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9.xml" ContentType="application/vnd.openxmlformats-officedocument.drawing+xml"/>
  <Override PartName="/xl/worksheets/sheet16.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drawings/drawing11.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nel" sheetId="1" state="visible" r:id="rId1"/>
    <sheet xmlns:r="http://schemas.openxmlformats.org/officeDocument/2006/relationships" name="Citas" sheetId="2" state="visible" r:id="rId2"/>
    <sheet xmlns:r="http://schemas.openxmlformats.org/officeDocument/2006/relationships" name="Balance" sheetId="3" state="visible" r:id="rId3"/>
    <sheet xmlns:r="http://schemas.openxmlformats.org/officeDocument/2006/relationships" name="PresupuestoReal" sheetId="4" state="visible" r:id="rId4"/>
    <sheet xmlns:r="http://schemas.openxmlformats.org/officeDocument/2006/relationships" name="Facturas" sheetId="5" state="visible" r:id="rId5"/>
    <sheet xmlns:r="http://schemas.openxmlformats.org/officeDocument/2006/relationships" name="Prioridad" sheetId="6" state="visible" r:id="rId6"/>
    <sheet xmlns:r="http://schemas.openxmlformats.org/officeDocument/2006/relationships" name="Disponibilidad" sheetId="7" state="visible" r:id="rId7"/>
    <sheet xmlns:r="http://schemas.openxmlformats.org/officeDocument/2006/relationships" name="Caja" sheetId="8" state="visible" r:id="rId8"/>
    <sheet xmlns:r="http://schemas.openxmlformats.org/officeDocument/2006/relationships" name="Tesoreria" sheetId="9" state="visible" r:id="rId9"/>
    <sheet xmlns:r="http://schemas.openxmlformats.org/officeDocument/2006/relationships" name="Resultados" sheetId="10" state="visible" r:id="rId10"/>
    <sheet xmlns:r="http://schemas.openxmlformats.org/officeDocument/2006/relationships" name="FlujoCaja" sheetId="11" state="visible" r:id="rId11"/>
    <sheet xmlns:r="http://schemas.openxmlformats.org/officeDocument/2006/relationships" name="Caja13Semanas" sheetId="12" state="visible" r:id="rId12"/>
    <sheet xmlns:r="http://schemas.openxmlformats.org/officeDocument/2006/relationships" name="Diagnóstico" sheetId="13" state="visible" r:id="rId13"/>
    <sheet xmlns:r="http://schemas.openxmlformats.org/officeDocument/2006/relationships" name="Escenarios" sheetId="14" state="visible" r:id="rId14"/>
    <sheet xmlns:r="http://schemas.openxmlformats.org/officeDocument/2006/relationships" name="Ratios" sheetId="15" state="visible" r:id="rId15"/>
    <sheet xmlns:r="http://schemas.openxmlformats.org/officeDocument/2006/relationships" name="Inversiones" sheetId="16" state="visible" r:id="rId16"/>
    <sheet xmlns:r="http://schemas.openxmlformats.org/officeDocument/2006/relationships" name="Comparativa" sheetId="17" state="visible" r:id="rId17"/>
    <sheet xmlns:r="http://schemas.openxmlformats.org/officeDocument/2006/relationships" name="LEEME" sheetId="18" state="visible" r:id="rId18"/>
    <sheet xmlns:r="http://schemas.openxmlformats.org/officeDocument/2006/relationships" name="Acuerdos" sheetId="19" state="visible" r:id="rId19"/>
    <sheet xmlns:r="http://schemas.openxmlformats.org/officeDocument/2006/relationships" name="Recurrentes" sheetId="20" state="visible" r:id="rId20"/>
    <sheet xmlns:r="http://schemas.openxmlformats.org/officeDocument/2006/relationships" name="SalidaDeuda" sheetId="21" state="visible" r:id="rId21"/>
  </sheets>
  <definedNames/>
  <calcPr calcId="124519" fullCalcOnLoad="1"/>
</workbook>
</file>

<file path=xl/styles.xml><?xml version="1.0" encoding="utf-8"?>
<styleSheet xmlns="http://schemas.openxmlformats.org/spreadsheetml/2006/main">
  <numFmts count="17">
    <numFmt numFmtId="164" formatCode="#,##0.00&quot; €&quot;"/>
    <numFmt numFmtId="165" formatCode="0.0%"/>
    <numFmt numFmtId="166" formatCode="dd/mm/yyyy"/>
    <numFmt numFmtId="167" formatCode="yyyy-mm"/>
    <numFmt numFmtId="168" formatCode="0.00000"/>
    <numFmt numFmtId="169" formatCode="0.0"/>
    <numFmt numFmtId="170" formatCode="0.0000"/>
    <numFmt numFmtId="171" formatCode="mm/yyyy"/>
    <numFmt numFmtId="172" formatCode="DD/MM/YYYY"/>
    <numFmt numFmtId="173" formatCode="0.0&quot; meses&quot;"/>
    <numFmt numFmtId="174" formatCode="0.0&quot;  / 100&quot;"/>
    <numFmt numFmtId="175" formatCode="0.0\%"/>
    <numFmt numFmtId="176" formatCode="+0.0;-0.0;0"/>
    <numFmt numFmtId="177" formatCode="#,##0.0000"/>
    <numFmt numFmtId="178" formatCode="MMM-YYYY"/>
    <numFmt numFmtId="179" formatCode="d"/>
    <numFmt numFmtId="180" formatCode="HH:MM"/>
  </numFmts>
  <fonts count="87">
    <font>
      <name val="Calibri"/>
      <color theme="1"/>
      <sz val="11"/>
      <scheme val="minor"/>
    </font>
    <font>
      <name val="Calibri"/>
      <color theme="1"/>
      <sz val="11"/>
    </font>
    <font>
      <name val="Calibri"/>
      <b val="1"/>
      <color rgb="FFFFFFFF"/>
      <sz val="16"/>
    </font>
    <font>
      <name val="Calibri"/>
      <color rgb="FF5A6472"/>
      <sz val="9"/>
    </font>
    <font>
      <name val="Calibri"/>
      <b val="1"/>
      <color rgb="FF1B1B1B"/>
      <sz val="10"/>
    </font>
    <font>
      <name val="Calibri"/>
      <b val="1"/>
      <color rgb="FF1B1B1B"/>
      <sz val="13"/>
    </font>
    <font/>
    <font>
      <name val="Calibri"/>
      <b val="1"/>
      <color rgb="FFFFFFFF"/>
      <sz val="11"/>
    </font>
    <font>
      <name val="Calibri"/>
      <b val="1"/>
      <color rgb="FFFFFFFF"/>
      <sz val="9"/>
    </font>
    <font>
      <name val="Calibri"/>
      <color rgb="FF1B1B1B"/>
      <sz val="10"/>
    </font>
    <font>
      <name val="Arial"/>
      <b val="1"/>
      <color rgb="FF0F2942"/>
      <sz val="18"/>
    </font>
    <font>
      <name val="Arial"/>
      <i val="1"/>
      <color rgb="FF6B7A8D"/>
      <sz val="9"/>
    </font>
    <font>
      <name val="Arial"/>
      <b val="1"/>
      <color rgb="FFFFFFFF"/>
      <sz val="11"/>
    </font>
    <font>
      <name val="Arial"/>
      <b val="1"/>
      <color theme="1"/>
      <sz val="10"/>
    </font>
    <font>
      <name val="Arial"/>
      <i val="1"/>
      <color rgb="FF6B7A8D"/>
      <sz val="8"/>
    </font>
    <font>
      <name val="Arial"/>
      <b val="1"/>
      <color rgb="FF0B7C6B"/>
      <sz val="10"/>
    </font>
    <font>
      <name val="Arial"/>
      <color theme="1"/>
      <sz val="9"/>
    </font>
    <font>
      <name val="Arial"/>
      <b val="1"/>
      <color theme="1"/>
      <sz val="9"/>
    </font>
    <font>
      <name val="Arial"/>
      <b val="1"/>
      <color rgb="FFFFFFFF"/>
      <sz val="10"/>
    </font>
    <font>
      <name val="Arial"/>
      <b val="1"/>
      <color rgb="FF0F2942"/>
      <sz val="20"/>
    </font>
    <font>
      <name val="Arial"/>
      <color rgb="FFB0B8C4"/>
      <sz val="8"/>
    </font>
    <font>
      <name val="Arial"/>
      <color theme="1"/>
      <sz val="10"/>
    </font>
    <font>
      <name val="Arial"/>
      <color rgb="FF1B4DB1"/>
      <sz val="10"/>
    </font>
    <font>
      <name val="Calibri"/>
      <b val="1"/>
      <color rgb="FF1B1B1B"/>
      <sz val="11"/>
    </font>
    <font>
      <name val="Arial"/>
      <color rgb="FF1B4DB1"/>
      <sz val="9"/>
    </font>
    <font>
      <name val="Arial"/>
      <b val="1"/>
      <color rgb="FFFFFFFF"/>
      <sz val="12"/>
    </font>
    <font>
      <name val="Arial"/>
      <b val="1"/>
      <color rgb="FF1B4DB1"/>
      <sz val="12"/>
    </font>
    <font>
      <name val="Calibri"/>
      <color rgb="FF9AA4B2"/>
      <sz val="9"/>
    </font>
    <font>
      <name val="Arial"/>
      <color theme="1"/>
      <sz val="8"/>
    </font>
    <font>
      <name val="Arial"/>
      <color rgb="FF2D7FF9"/>
      <sz val="9"/>
    </font>
    <font>
      <name val="Arial"/>
      <b val="1"/>
      <color rgb="FFFFFFFF"/>
      <sz val="9"/>
    </font>
    <font>
      <name val="Arial"/>
      <b val="1"/>
      <color theme="1"/>
      <sz val="14"/>
    </font>
    <font>
      <name val="Arial"/>
      <i val="1"/>
      <color rgb="FF6B7A8D"/>
      <sz val="7"/>
    </font>
    <font>
      <name val="Arial"/>
      <b val="1"/>
      <color rgb="FF0F2942"/>
      <sz val="12"/>
    </font>
    <font>
      <name val="Arial"/>
      <b val="1"/>
      <color theme="1"/>
      <sz val="12"/>
    </font>
    <font>
      <name val="Arial"/>
      <b val="1"/>
      <color rgb="FF0F2942"/>
      <sz val="11"/>
    </font>
    <font>
      <name val="Arial"/>
      <b val="1"/>
      <color theme="1"/>
      <sz val="13"/>
    </font>
    <font>
      <name val="Calibri"/>
      <b val="1"/>
      <color rgb="FFFFFFFF"/>
      <sz val="13"/>
    </font>
    <font>
      <name val="Arial"/>
      <b val="1"/>
      <color rgb="FF0F2942"/>
      <sz val="7"/>
    </font>
    <font>
      <name val="Calibri"/>
      <b val="1"/>
      <color theme="1"/>
      <sz val="10"/>
    </font>
    <font>
      <name val="Arial"/>
      <b val="1"/>
      <color rgb="FF0F2942"/>
      <sz val="13"/>
    </font>
    <font>
      <name val="Calibri"/>
      <color rgb="FF8A6D00"/>
      <sz val="9"/>
    </font>
    <font>
      <name val="Calibri"/>
      <color theme="1"/>
    </font>
    <font>
      <name val="Arial"/>
      <color rgb="FF12B5A5"/>
      <sz val="10"/>
    </font>
    <font>
      <name val="Arial"/>
      <color rgb="FFE5484D"/>
      <sz val="9"/>
    </font>
    <font>
      <name val="Arial"/>
      <color rgb="FF0B7C6B"/>
      <sz val="10"/>
    </font>
    <font>
      <name val="Arial"/>
      <color rgb="FF30A46C"/>
      <sz val="9"/>
    </font>
    <font>
      <name val="Arial"/>
      <color rgb="FF12B5A5"/>
      <sz val="9"/>
    </font>
    <font>
      <name val="Arial"/>
      <color rgb="FF0000FF"/>
      <sz val="10"/>
      <u val="single"/>
    </font>
    <font>
      <name val="Arial"/>
      <b val="1"/>
      <color rgb="FFFFFFFF"/>
      <sz val="8"/>
    </font>
    <font>
      <name val="Arial"/>
      <color rgb="FF0B7C6B"/>
      <sz val="9"/>
    </font>
    <font>
      <name val="Calibri"/>
      <b val="1"/>
      <color theme="1"/>
      <sz val="9"/>
    </font>
    <font>
      <name val="Arial"/>
      <b val="1"/>
      <color theme="1"/>
      <sz val="11"/>
    </font>
    <font>
      <name val="Arial"/>
      <b val="1"/>
      <color rgb="FF0F2942"/>
      <sz val="10"/>
    </font>
    <font>
      <name val="Calibri"/>
      <b val="1"/>
      <color rgb="FFFFFFFF"/>
      <sz val="18"/>
    </font>
    <font>
      <name val="Calibri"/>
      <b val="1"/>
      <color rgb="FF1B1B1B"/>
      <sz val="16"/>
    </font>
    <font>
      <name val="Calibri"/>
      <color rgb="FF1E3A57"/>
      <sz val="11"/>
    </font>
    <font>
      <name val="Calibri"/>
      <color rgb="FF5A6472"/>
      <sz val="10"/>
    </font>
    <font>
      <name val="Arial"/>
      <color rgb="FFD9D9D9"/>
      <sz val="8"/>
    </font>
    <font>
      <name val="Calibri"/>
      <b val="1"/>
      <color rgb="FFFFFFFF"/>
      <sz val="12"/>
    </font>
    <font>
      <name val="Calibri"/>
      <b val="1"/>
      <color rgb="FF8A6D00"/>
      <sz val="9"/>
    </font>
    <font>
      <name val="Arial"/>
      <color rgb="FF1B4DB1"/>
      <sz val="10"/>
      <u val="single"/>
    </font>
    <font>
      <name val="Arial"/>
      <b val="1"/>
      <color rgb="FF0F2942"/>
      <sz val="16"/>
    </font>
    <font>
      <name val="Arial"/>
      <b val="1"/>
      <color rgb="FF000000"/>
      <sz val="10"/>
    </font>
    <font>
      <name val="Arial"/>
      <color rgb="FF000000"/>
      <sz val="10"/>
    </font>
    <font>
      <name val="Arial"/>
      <color rgb="FF1F3864"/>
      <sz val="10"/>
    </font>
    <font>
      <name val="Arial"/>
      <b val="1"/>
      <color theme="1"/>
      <sz val="10"/>
      <u val="single"/>
    </font>
    <font>
      <name val="Calibri"/>
      <color rgb="FF1B1B1B"/>
      <sz val="9"/>
    </font>
    <font>
      <name val="Calibri"/>
      <color rgb="FF5A6472"/>
      <sz val="8"/>
    </font>
    <font>
      <name val="Calibri"/>
      <b val="1"/>
      <color rgb="FF1B1B1B"/>
      <sz val="9"/>
    </font>
    <font>
      <name val="Arial"/>
      <color rgb="FF6B7A8D"/>
      <sz val="9"/>
    </font>
    <font>
      <name val="Arial"/>
      <b val="1"/>
      <color rgb="FF1B4DB1"/>
      <sz val="11"/>
    </font>
    <font>
      <name val="Arial"/>
      <b val="1"/>
      <color rgb="FF1B4DB1"/>
      <sz val="9"/>
    </font>
    <font>
      <name val="Arial"/>
      <b val="1"/>
      <color rgb="FF6B7A8D"/>
      <sz val="9"/>
    </font>
    <font>
      <name val="Arial"/>
      <b val="1"/>
      <color rgb="FF9B1C21"/>
      <sz val="9"/>
    </font>
    <font>
      <name val="Arial"/>
      <b val="1"/>
      <color rgb="FF8A5A12"/>
      <sz val="9"/>
    </font>
    <font>
      <name val="Arial"/>
      <b val="1"/>
      <color rgb="FF1B4F86"/>
      <sz val="9"/>
    </font>
    <font>
      <name val="Arial"/>
      <b val="1"/>
      <color rgb="FF13563F"/>
      <sz val="9"/>
    </font>
    <font>
      <name val="Arial"/>
      <b val="1"/>
      <color rgb="FF3D4A5A"/>
      <sz val="9"/>
    </font>
    <font>
      <name val="Arial"/>
      <b val="1"/>
      <color rgb="FF0F2942"/>
      <sz val="14"/>
    </font>
    <font>
      <name val="Arial"/>
      <color rgb="FF6B7A8D"/>
      <sz val="8"/>
    </font>
    <font>
      <name val="Arial"/>
      <b val="1"/>
      <color rgb="FFFFFFFF"/>
      <sz val="13"/>
    </font>
    <font>
      <name val="Arial"/>
      <color rgb="FFB9C6D4"/>
      <sz val="9"/>
    </font>
    <font>
      <name val="Arial"/>
      <color rgb="FF3D4A5A"/>
      <sz val="14"/>
    </font>
    <font>
      <name val="Arial"/>
      <color rgb="FFB9C6D4"/>
      <sz val="8"/>
    </font>
    <font>
      <name val="Arial"/>
      <color rgb="FF3D4A5A"/>
      <sz val="9"/>
    </font>
    <font>
      <name val="Arial"/>
      <b val="1"/>
      <color rgb="FF1B4DB1"/>
      <sz val="9"/>
      <u val="single"/>
    </font>
  </fonts>
  <fills count="33">
    <fill>
      <patternFill/>
    </fill>
    <fill>
      <patternFill patternType="lightGray"/>
    </fill>
    <fill>
      <patternFill patternType="solid">
        <fgColor rgb="FF0F2942"/>
        <bgColor rgb="FF0F2942"/>
      </patternFill>
    </fill>
    <fill>
      <patternFill patternType="solid">
        <fgColor rgb="FFEAF0F7"/>
        <bgColor rgb="FFEAF0F7"/>
      </patternFill>
    </fill>
    <fill>
      <patternFill patternType="solid">
        <fgColor rgb="FF1E3A57"/>
        <bgColor rgb="FF1E3A57"/>
      </patternFill>
    </fill>
    <fill>
      <patternFill patternType="solid">
        <fgColor rgb="FFFFF7E0"/>
        <bgColor rgb="FFFFF7E0"/>
      </patternFill>
    </fill>
    <fill>
      <patternFill patternType="solid">
        <fgColor rgb="FFB0621F"/>
        <bgColor rgb="FFB0621F"/>
      </patternFill>
    </fill>
    <fill>
      <patternFill patternType="solid">
        <fgColor rgb="FF30A46C"/>
        <bgColor rgb="FF30A46C"/>
      </patternFill>
    </fill>
    <fill>
      <patternFill patternType="solid">
        <fgColor rgb="FF2D7FF9"/>
        <bgColor rgb="FF2D7FF9"/>
      </patternFill>
    </fill>
    <fill>
      <patternFill patternType="solid">
        <fgColor rgb="FF12B5A5"/>
        <bgColor rgb="FF12B5A5"/>
      </patternFill>
    </fill>
    <fill>
      <patternFill patternType="solid">
        <fgColor rgb="FFFFFFFF"/>
        <bgColor rgb="FFFFFFFF"/>
      </patternFill>
    </fill>
    <fill>
      <patternFill patternType="solid">
        <fgColor rgb="FFDDF3E4"/>
        <bgColor rgb="FFDDF3E4"/>
      </patternFill>
    </fill>
    <fill>
      <patternFill patternType="solid">
        <fgColor rgb="FFFBC5C9"/>
        <bgColor rgb="FFFBC5C9"/>
      </patternFill>
    </fill>
    <fill>
      <patternFill patternType="solid">
        <fgColor rgb="FF7C5CFF"/>
        <bgColor rgb="FF7C5CFF"/>
      </patternFill>
    </fill>
    <fill>
      <patternFill patternType="solid">
        <fgColor rgb="FFF5A623"/>
        <bgColor rgb="FFF5A623"/>
      </patternFill>
    </fill>
    <fill>
      <patternFill patternType="solid">
        <fgColor rgb="FFE5484D"/>
        <bgColor rgb="FFE5484D"/>
      </patternFill>
    </fill>
    <fill>
      <patternFill patternType="solid">
        <fgColor rgb="FFFDE7E9"/>
        <bgColor rgb="FFFDE7E9"/>
      </patternFill>
    </fill>
    <fill>
      <patternFill patternType="solid">
        <fgColor rgb="FFFFF2CC"/>
        <bgColor rgb="FFFFF2CC"/>
      </patternFill>
    </fill>
    <fill>
      <patternFill patternType="solid">
        <fgColor rgb="FF1C4587"/>
        <bgColor rgb="FF1C4587"/>
      </patternFill>
    </fill>
    <fill>
      <patternFill patternType="solid">
        <fgColor rgb="FFF7F9FC"/>
        <bgColor rgb="FFF7F9FC"/>
      </patternFill>
    </fill>
    <fill>
      <patternFill patternType="solid">
        <fgColor rgb="FFFFF7E0"/>
      </patternFill>
    </fill>
    <fill>
      <patternFill patternType="solid">
        <fgColor rgb="FFFDD8DB"/>
      </patternFill>
    </fill>
    <fill>
      <patternFill patternType="solid">
        <fgColor rgb="FFFDE7C9"/>
      </patternFill>
    </fill>
    <fill>
      <patternFill patternType="solid">
        <fgColor rgb="FFD9E9FB"/>
      </patternFill>
    </fill>
    <fill>
      <patternFill patternType="solid">
        <fgColor rgb="FFD9F0E7"/>
      </patternFill>
    </fill>
    <fill>
      <patternFill patternType="solid">
        <fgColor rgb="FFE8ECF1"/>
      </patternFill>
    </fill>
    <fill>
      <patternFill patternType="solid">
        <fgColor rgb="FF1E3A57"/>
      </patternFill>
    </fill>
    <fill>
      <patternFill patternType="solid">
        <fgColor rgb="FFFFFFFF"/>
      </patternFill>
    </fill>
    <fill>
      <patternFill patternType="solid">
        <fgColor rgb="FF1F6FB2"/>
      </patternFill>
    </fill>
    <fill>
      <patternFill patternType="solid">
        <fgColor rgb="FFE5484D"/>
      </patternFill>
    </fill>
    <fill>
      <patternFill patternType="solid">
        <fgColor rgb="FF1E7A5A"/>
      </patternFill>
    </fill>
    <fill>
      <patternFill patternType="solid">
        <fgColor rgb="FF0F2942"/>
      </patternFill>
    </fill>
    <fill>
      <patternFill patternType="solid">
        <fgColor rgb="FFF4F6F8"/>
      </patternFill>
    </fill>
  </fills>
  <borders count="16">
    <border/>
    <border>
      <left style="thin">
        <color rgb="FFD0D7DE"/>
      </left>
      <right style="thin">
        <color rgb="FFD0D7DE"/>
      </right>
      <top style="thin">
        <color rgb="FFD0D7DE"/>
      </top>
      <bottom style="thin">
        <color rgb="FFD0D7DE"/>
      </bottom>
    </border>
    <border>
      <left style="thin">
        <color rgb="FFD0D7DE"/>
      </left>
      <top style="thin">
        <color rgb="FFD0D7DE"/>
      </top>
      <bottom style="thin">
        <color rgb="FFD0D7DE"/>
      </bottom>
    </border>
    <border>
      <right style="thin">
        <color rgb="FFD0D7DE"/>
      </right>
      <top style="thin">
        <color rgb="FFD0D7DE"/>
      </top>
      <bottom style="thin">
        <color rgb="FFD0D7DE"/>
      </bottom>
    </border>
    <border>
      <left/>
      <right/>
      <top/>
      <bottom/>
    </border>
    <border>
      <left style="thin">
        <color rgb="FFD5DEE8"/>
      </left>
      <right style="thin">
        <color rgb="FFD5DEE8"/>
      </right>
      <top style="thin">
        <color rgb="FFD5DEE8"/>
      </top>
      <bottom style="thin">
        <color rgb="FFD5DEE8"/>
      </bottom>
    </border>
    <border>
      <left style="thin">
        <color rgb="FFD5DEE8"/>
      </left>
      <top style="thin">
        <color rgb="FFD5DEE8"/>
      </top>
      <bottom style="thin">
        <color rgb="FFD5DEE8"/>
      </bottom>
    </border>
    <border>
      <top style="thin">
        <color rgb="FFD5DEE8"/>
      </top>
      <bottom style="thin">
        <color rgb="FFD5DEE8"/>
      </bottom>
    </border>
    <border>
      <right style="thin">
        <color rgb="FFD5DEE8"/>
      </right>
      <top style="thin">
        <color rgb="FFD5DEE8"/>
      </top>
      <bottom style="thin">
        <color rgb="FFD5DEE8"/>
      </bottom>
    </border>
    <border>
      <right/>
      <top style="thin">
        <color rgb="FFD5DEE8"/>
      </top>
      <bottom style="thin">
        <color rgb="FFD5DEE8"/>
      </bottom>
    </border>
    <border>
      <left style="thin">
        <color rgb="FFD5DEE8"/>
      </left>
      <right/>
      <top style="thin">
        <color rgb="FFD5DEE8"/>
      </top>
      <bottom style="thin">
        <color rgb="FFD5DEE8"/>
      </bottom>
    </border>
    <border>
      <top style="thin">
        <color rgb="FFD0D7DE"/>
      </top>
      <bottom style="thin">
        <color rgb="FFD0D7DE"/>
      </bottom>
    </border>
    <border>
      <top style="thin">
        <color rgb="FFD5DEE8"/>
      </top>
    </border>
    <border>
      <right style="thin">
        <color rgb="FFD5DEE8"/>
      </right>
      <top style="thin">
        <color rgb="FFD5DEE8"/>
      </top>
    </border>
    <border>
      <top style="thin">
        <color rgb="FFD0D7DE"/>
      </top>
    </border>
    <border>
      <right style="thin">
        <color rgb="FFD0D7DE"/>
      </right>
      <top style="thin">
        <color rgb="FFD0D7DE"/>
      </top>
    </border>
  </borders>
  <cellStyleXfs count="1">
    <xf numFmtId="0" fontId="0" fillId="0" borderId="0"/>
  </cellStyleXfs>
  <cellXfs count="407">
    <xf numFmtId="0" fontId="0" fillId="0" borderId="0" applyAlignment="1" pivotButton="0" quotePrefix="0" xfId="0">
      <alignment vertical="bottom"/>
    </xf>
    <xf numFmtId="0" fontId="1" fillId="0" borderId="0" pivotButton="0" quotePrefix="0" xfId="0"/>
    <xf numFmtId="0" fontId="2" fillId="2" borderId="0" applyAlignment="1" pivotButton="0" quotePrefix="0" xfId="0">
      <alignment horizontal="left" vertical="center"/>
    </xf>
    <xf numFmtId="0" fontId="3" fillId="0" borderId="0" applyAlignment="1" pivotButton="0" quotePrefix="0" xfId="0">
      <alignment horizontal="left" vertical="top" wrapText="1"/>
    </xf>
    <xf numFmtId="0" fontId="4" fillId="0" borderId="1" applyAlignment="1" pivotButton="0" quotePrefix="0" xfId="0">
      <alignment horizontal="left" vertical="center"/>
    </xf>
    <xf numFmtId="0" fontId="5" fillId="3" borderId="1" applyAlignment="1" pivotButton="0" quotePrefix="0" xfId="0">
      <alignment horizontal="center" vertical="center"/>
    </xf>
    <xf numFmtId="0" fontId="4" fillId="0" borderId="2" applyAlignment="1" pivotButton="0" quotePrefix="0" xfId="0">
      <alignment horizontal="right" vertical="center"/>
    </xf>
    <xf numFmtId="0" fontId="6" fillId="0" borderId="3" pivotButton="0" quotePrefix="0" xfId="0"/>
    <xf numFmtId="1" fontId="5" fillId="3" borderId="1" applyAlignment="1" pivotButton="0" quotePrefix="0" xfId="0">
      <alignment horizontal="center" vertical="center"/>
    </xf>
    <xf numFmtId="0" fontId="4" fillId="0" borderId="0" applyAlignment="1" pivotButton="0" quotePrefix="0" xfId="0">
      <alignment horizontal="left" vertical="center"/>
    </xf>
    <xf numFmtId="0" fontId="7" fillId="2" borderId="0" applyAlignment="1" pivotButton="0" quotePrefix="0" xfId="0">
      <alignment horizontal="left" vertical="center"/>
    </xf>
    <xf numFmtId="0" fontId="8" fillId="4" borderId="1" applyAlignment="1" pivotButton="0" quotePrefix="0" xfId="0">
      <alignment horizontal="center" vertical="center" wrapText="1"/>
    </xf>
    <xf numFmtId="164" fontId="9" fillId="5" borderId="1" applyAlignment="1" pivotButton="0" quotePrefix="0" xfId="0">
      <alignment horizontal="right" vertical="center"/>
    </xf>
    <xf numFmtId="164" fontId="9" fillId="0" borderId="1" applyAlignment="1" pivotButton="0" quotePrefix="0" xfId="0">
      <alignment horizontal="right" vertical="center"/>
    </xf>
    <xf numFmtId="165" fontId="9" fillId="0" borderId="1" applyAlignment="1" pivotButton="0" quotePrefix="0" xfId="0">
      <alignment horizontal="center" vertical="center"/>
    </xf>
    <xf numFmtId="0" fontId="4" fillId="0" borderId="1" applyAlignment="1" pivotButton="0" quotePrefix="0" xfId="0">
      <alignment horizontal="center" vertical="center"/>
    </xf>
    <xf numFmtId="1" fontId="9" fillId="0" borderId="1" applyAlignment="1" pivotButton="0" quotePrefix="0" xfId="0">
      <alignment horizontal="center" vertical="center"/>
    </xf>
    <xf numFmtId="0" fontId="3" fillId="5" borderId="1" applyAlignment="1" pivotButton="0" quotePrefix="0" xfId="0">
      <alignment horizontal="left" vertical="center" wrapText="1"/>
    </xf>
    <xf numFmtId="0" fontId="1" fillId="0" borderId="0" applyAlignment="1" pivotButton="0" quotePrefix="0" xfId="0">
      <alignment vertical="bottom"/>
    </xf>
    <xf numFmtId="0" fontId="10" fillId="0" borderId="0" applyAlignment="1" pivotButton="0" quotePrefix="0" xfId="0">
      <alignment vertical="bottom"/>
    </xf>
    <xf numFmtId="0" fontId="11" fillId="0" borderId="0" applyAlignment="1" pivotButton="0" quotePrefix="0" xfId="0">
      <alignment vertical="top" wrapText="1"/>
    </xf>
    <xf numFmtId="0" fontId="12" fillId="2" borderId="4" applyAlignment="1" pivotButton="0" quotePrefix="0" xfId="0">
      <alignment vertical="center"/>
    </xf>
    <xf numFmtId="0" fontId="1" fillId="2" borderId="4" applyAlignment="1" pivotButton="0" quotePrefix="0" xfId="0">
      <alignment vertical="bottom"/>
    </xf>
    <xf numFmtId="0" fontId="13" fillId="0" borderId="5" applyAlignment="1" pivotButton="0" quotePrefix="0" xfId="0">
      <alignment vertical="center"/>
    </xf>
    <xf numFmtId="0" fontId="14" fillId="2" borderId="5" applyAlignment="1" pivotButton="0" quotePrefix="0" xfId="0">
      <alignment vertical="center"/>
    </xf>
    <xf numFmtId="166" fontId="15" fillId="0" borderId="5" applyAlignment="1" pivotButton="0" quotePrefix="0" xfId="0">
      <alignment horizontal="center" vertical="center"/>
    </xf>
    <xf numFmtId="0" fontId="14" fillId="2" borderId="6" applyAlignment="1" pivotButton="0" quotePrefix="0" xfId="0">
      <alignment vertical="center"/>
    </xf>
    <xf numFmtId="0" fontId="6" fillId="0" borderId="7" pivotButton="0" quotePrefix="0" xfId="0"/>
    <xf numFmtId="167" fontId="16" fillId="3" borderId="5" applyAlignment="1" pivotButton="0" quotePrefix="0" xfId="0">
      <alignment horizontal="center" vertical="center"/>
    </xf>
    <xf numFmtId="0" fontId="6" fillId="0" borderId="8" pivotButton="0" quotePrefix="0" xfId="0"/>
    <xf numFmtId="0" fontId="1" fillId="4" borderId="4" applyAlignment="1" pivotButton="0" quotePrefix="0" xfId="0">
      <alignment vertical="bottom"/>
    </xf>
    <xf numFmtId="0" fontId="17" fillId="3" borderId="5" applyAlignment="1" pivotButton="0" quotePrefix="0" xfId="0">
      <alignment vertical="center"/>
    </xf>
    <xf numFmtId="0" fontId="12" fillId="4" borderId="4" applyAlignment="1" pivotButton="0" quotePrefix="0" xfId="0">
      <alignment vertical="center"/>
    </xf>
    <xf numFmtId="0" fontId="18" fillId="4" borderId="5" applyAlignment="1" pivotButton="0" quotePrefix="0" xfId="0">
      <alignment horizontal="center" vertical="center" wrapText="1"/>
    </xf>
    <xf numFmtId="0" fontId="19" fillId="0" borderId="0" applyAlignment="1" pivotButton="0" quotePrefix="0" xfId="0">
      <alignment vertical="bottom"/>
    </xf>
    <xf numFmtId="0" fontId="18" fillId="6" borderId="5" applyAlignment="1" pivotButton="0" quotePrefix="0" xfId="0">
      <alignment horizontal="center" vertical="center" wrapText="1"/>
    </xf>
    <xf numFmtId="0" fontId="16" fillId="3" borderId="5" applyAlignment="1" pivotButton="0" quotePrefix="0" xfId="0">
      <alignment horizontal="center" vertical="center"/>
    </xf>
    <xf numFmtId="0" fontId="20" fillId="0" borderId="0" applyAlignment="1" pivotButton="0" quotePrefix="0" xfId="0">
      <alignment horizontal="center" vertical="bottom"/>
    </xf>
    <xf numFmtId="0" fontId="13" fillId="3" borderId="5" applyAlignment="1" pivotButton="0" quotePrefix="0" xfId="0">
      <alignment vertical="center"/>
    </xf>
    <xf numFmtId="0" fontId="21" fillId="3" borderId="5" applyAlignment="1" pivotButton="0" quotePrefix="0" xfId="0">
      <alignment vertical="center"/>
    </xf>
    <xf numFmtId="0" fontId="16" fillId="0" borderId="5" applyAlignment="1" pivotButton="0" quotePrefix="0" xfId="0">
      <alignment vertical="center"/>
    </xf>
    <xf numFmtId="0" fontId="16" fillId="0" borderId="5" applyAlignment="1" pivotButton="0" quotePrefix="0" xfId="0">
      <alignment horizontal="center" vertical="center"/>
    </xf>
    <xf numFmtId="164" fontId="21" fillId="0" borderId="5" applyAlignment="1" pivotButton="0" quotePrefix="0" xfId="0">
      <alignment vertical="center"/>
    </xf>
    <xf numFmtId="0" fontId="22" fillId="5" borderId="5" applyAlignment="1" pivotButton="0" quotePrefix="0" xfId="0">
      <alignment horizontal="center" vertical="center"/>
    </xf>
    <xf numFmtId="0" fontId="22" fillId="5" borderId="5" applyAlignment="1" pivotButton="0" quotePrefix="0" xfId="0">
      <alignment vertical="center"/>
    </xf>
    <xf numFmtId="0" fontId="23" fillId="3" borderId="1" applyAlignment="1" pivotButton="0" quotePrefix="0" xfId="0">
      <alignment horizontal="left" vertical="center"/>
    </xf>
    <xf numFmtId="0" fontId="21" fillId="0" borderId="5" applyAlignment="1" pivotButton="0" quotePrefix="0" xfId="0">
      <alignment vertical="center"/>
    </xf>
    <xf numFmtId="164" fontId="4" fillId="3" borderId="1" applyAlignment="1" pivotButton="0" quotePrefix="0" xfId="0">
      <alignment horizontal="right" vertical="center"/>
    </xf>
    <xf numFmtId="0" fontId="24" fillId="5" borderId="5" applyAlignment="1" pivotButton="0" quotePrefix="0" xfId="0">
      <alignment horizontal="center" vertical="center"/>
    </xf>
    <xf numFmtId="0" fontId="25" fillId="2" borderId="5" applyAlignment="1" pivotButton="0" quotePrefix="0" xfId="0">
      <alignment vertical="center"/>
    </xf>
    <xf numFmtId="166" fontId="22" fillId="5" borderId="5" applyAlignment="1" pivotButton="0" quotePrefix="0" xfId="0">
      <alignment horizontal="center" vertical="center"/>
    </xf>
    <xf numFmtId="165" fontId="4" fillId="3" borderId="1" applyAlignment="1" pivotButton="0" quotePrefix="0" xfId="0">
      <alignment horizontal="center" vertical="center"/>
    </xf>
    <xf numFmtId="164" fontId="22" fillId="5" borderId="5" applyAlignment="1" pivotButton="0" quotePrefix="0" xfId="0">
      <alignment vertical="center"/>
    </xf>
    <xf numFmtId="0" fontId="9" fillId="3" borderId="1" applyAlignment="1" pivotButton="0" quotePrefix="0" xfId="0">
      <alignment horizontal="left" vertical="center"/>
    </xf>
    <xf numFmtId="0" fontId="26" fillId="5" borderId="6" applyAlignment="1" pivotButton="0" quotePrefix="0" xfId="0">
      <alignment horizontal="center" vertical="center"/>
    </xf>
    <xf numFmtId="1" fontId="4" fillId="3" borderId="1" applyAlignment="1" pivotButton="0" quotePrefix="0" xfId="0">
      <alignment horizontal="center" vertical="center"/>
    </xf>
    <xf numFmtId="49" fontId="26" fillId="5" borderId="5" applyAlignment="1" pivotButton="0" quotePrefix="0" xfId="0">
      <alignment horizontal="center" vertical="center"/>
    </xf>
    <xf numFmtId="164" fontId="13" fillId="0" borderId="5" applyAlignment="1" pivotButton="0" quotePrefix="0" xfId="0">
      <alignment vertical="center"/>
    </xf>
    <xf numFmtId="0" fontId="27" fillId="0" borderId="0" applyAlignment="1" pivotButton="0" quotePrefix="0" xfId="0">
      <alignment vertical="bottom"/>
    </xf>
    <xf numFmtId="1" fontId="21" fillId="0" borderId="5" applyAlignment="1" pivotButton="0" quotePrefix="0" xfId="0">
      <alignment horizontal="center" vertical="center"/>
    </xf>
    <xf numFmtId="1" fontId="28" fillId="3" borderId="5" applyAlignment="1" pivotButton="0" quotePrefix="0" xfId="0">
      <alignment horizontal="center" vertical="center"/>
    </xf>
    <xf numFmtId="164" fontId="21" fillId="0" borderId="5" applyAlignment="1" pivotButton="0" quotePrefix="0" xfId="0">
      <alignment horizontal="center" vertical="center"/>
    </xf>
    <xf numFmtId="0" fontId="13" fillId="0" borderId="5" applyAlignment="1" pivotButton="0" quotePrefix="0" xfId="0">
      <alignment horizontal="center" vertical="center"/>
    </xf>
    <xf numFmtId="166" fontId="28" fillId="3" borderId="5" applyAlignment="1" pivotButton="0" quotePrefix="0" xfId="0">
      <alignment horizontal="center" vertical="center"/>
    </xf>
    <xf numFmtId="0" fontId="21" fillId="0" borderId="5" applyAlignment="1" pivotButton="0" quotePrefix="0" xfId="0">
      <alignment horizontal="center" vertical="center"/>
    </xf>
    <xf numFmtId="165" fontId="21" fillId="0" borderId="5" applyAlignment="1" pivotButton="0" quotePrefix="0" xfId="0">
      <alignment vertical="center"/>
    </xf>
    <xf numFmtId="0" fontId="29" fillId="0" borderId="5" applyAlignment="1" pivotButton="0" quotePrefix="0" xfId="0">
      <alignment vertical="center"/>
    </xf>
    <xf numFmtId="168" fontId="16" fillId="0" borderId="5" applyAlignment="1" pivotButton="0" quotePrefix="0" xfId="0">
      <alignment vertical="center"/>
    </xf>
    <xf numFmtId="164" fontId="13" fillId="3" borderId="5" applyAlignment="1" pivotButton="0" quotePrefix="0" xfId="0">
      <alignment horizontal="center" vertical="center"/>
    </xf>
    <xf numFmtId="0" fontId="30" fillId="4" borderId="6" applyAlignment="1" pivotButton="0" quotePrefix="0" xfId="0">
      <alignment horizontal="center" vertical="center"/>
    </xf>
    <xf numFmtId="0" fontId="30" fillId="7" borderId="6" applyAlignment="1" pivotButton="0" quotePrefix="0" xfId="0">
      <alignment horizontal="center" vertical="center"/>
    </xf>
    <xf numFmtId="165" fontId="21" fillId="0" borderId="5" applyAlignment="1" pivotButton="0" quotePrefix="0" xfId="0">
      <alignment horizontal="center" vertical="center"/>
    </xf>
    <xf numFmtId="0" fontId="30" fillId="8" borderId="6" applyAlignment="1" pivotButton="0" quotePrefix="0" xfId="0">
      <alignment horizontal="center" vertical="center"/>
    </xf>
    <xf numFmtId="0" fontId="30" fillId="9" borderId="6" applyAlignment="1" pivotButton="0" quotePrefix="0" xfId="0">
      <alignment horizontal="center" vertical="center"/>
    </xf>
    <xf numFmtId="164" fontId="16" fillId="0" borderId="5" applyAlignment="1" pivotButton="0" quotePrefix="0" xfId="0">
      <alignment vertical="center"/>
    </xf>
    <xf numFmtId="164" fontId="31" fillId="10" borderId="6" applyAlignment="1" pivotButton="0" quotePrefix="0" xfId="0">
      <alignment horizontal="center" vertical="center"/>
    </xf>
    <xf numFmtId="164" fontId="22" fillId="5" borderId="5" applyAlignment="1" pivotButton="0" quotePrefix="0" xfId="0">
      <alignment vertical="center"/>
    </xf>
    <xf numFmtId="165" fontId="13" fillId="3" borderId="5" applyAlignment="1" pivotButton="0" quotePrefix="0" xfId="0">
      <alignment horizontal="center" vertical="center"/>
    </xf>
    <xf numFmtId="0" fontId="14" fillId="10" borderId="6" applyAlignment="1" pivotButton="0" quotePrefix="0" xfId="0">
      <alignment horizontal="center" vertical="center"/>
    </xf>
    <xf numFmtId="0" fontId="32" fillId="10" borderId="6" applyAlignment="1" pivotButton="0" quotePrefix="0" xfId="0">
      <alignment horizontal="center" vertical="center"/>
    </xf>
    <xf numFmtId="164" fontId="13" fillId="0" borderId="5" applyAlignment="1" pivotButton="0" quotePrefix="0" xfId="0">
      <alignment horizontal="center" vertical="center"/>
    </xf>
    <xf numFmtId="0" fontId="33" fillId="11" borderId="5" applyAlignment="1" pivotButton="0" quotePrefix="0" xfId="0">
      <alignment vertical="center"/>
    </xf>
    <xf numFmtId="164" fontId="13" fillId="11" borderId="5" applyAlignment="1" pivotButton="0" quotePrefix="0" xfId="0">
      <alignment horizontal="center" vertical="center"/>
    </xf>
    <xf numFmtId="0" fontId="22" fillId="5" borderId="5" applyAlignment="1" pivotButton="0" quotePrefix="0" xfId="0">
      <alignment horizontal="center" vertical="center"/>
    </xf>
    <xf numFmtId="164" fontId="34" fillId="11" borderId="5" applyAlignment="1" pivotButton="0" quotePrefix="0" xfId="0">
      <alignment horizontal="center" vertical="center"/>
    </xf>
    <xf numFmtId="165" fontId="13" fillId="11" borderId="5" applyAlignment="1" pivotButton="0" quotePrefix="0" xfId="0">
      <alignment horizontal="center" vertical="center"/>
    </xf>
    <xf numFmtId="164" fontId="13" fillId="3" borderId="5" applyAlignment="1" pivotButton="0" quotePrefix="0" xfId="0">
      <alignment vertical="center"/>
    </xf>
    <xf numFmtId="0" fontId="17" fillId="3" borderId="5" applyAlignment="1" pivotButton="0" quotePrefix="0" xfId="0">
      <alignment horizontal="center" vertical="center"/>
    </xf>
    <xf numFmtId="164" fontId="13" fillId="3" borderId="6" applyAlignment="1" pivotButton="0" quotePrefix="0" xfId="0">
      <alignment horizontal="center" vertical="center"/>
    </xf>
    <xf numFmtId="164" fontId="21" fillId="0" borderId="6" applyAlignment="1" pivotButton="0" quotePrefix="0" xfId="0">
      <alignment horizontal="center" vertical="center"/>
    </xf>
    <xf numFmtId="0" fontId="33" fillId="12" borderId="5" applyAlignment="1" pivotButton="0" quotePrefix="0" xfId="0">
      <alignment vertical="center"/>
    </xf>
    <xf numFmtId="164" fontId="13" fillId="12" borderId="5" applyAlignment="1" pivotButton="0" quotePrefix="0" xfId="0">
      <alignment horizontal="center" vertical="center"/>
    </xf>
    <xf numFmtId="165" fontId="13" fillId="12" borderId="5" applyAlignment="1" pivotButton="0" quotePrefix="0" xfId="0">
      <alignment horizontal="center" vertical="center"/>
    </xf>
    <xf numFmtId="2" fontId="21" fillId="0" borderId="6" applyAlignment="1" pivotButton="0" quotePrefix="0" xfId="0">
      <alignment horizontal="center" vertical="center"/>
    </xf>
    <xf numFmtId="0" fontId="35" fillId="11" borderId="5" applyAlignment="1" pivotButton="0" quotePrefix="0" xfId="0">
      <alignment vertical="center"/>
    </xf>
    <xf numFmtId="164" fontId="36" fillId="11" borderId="5" applyAlignment="1" pivotButton="0" quotePrefix="0" xfId="0">
      <alignment horizontal="center" vertical="center"/>
    </xf>
    <xf numFmtId="169" fontId="21" fillId="0" borderId="6" applyAlignment="1" pivotButton="0" quotePrefix="0" xfId="0">
      <alignment horizontal="center" vertical="center"/>
    </xf>
    <xf numFmtId="0" fontId="37" fillId="2" borderId="0" applyAlignment="1" pivotButton="0" quotePrefix="0" xfId="0">
      <alignment horizontal="left" vertical="center"/>
    </xf>
    <xf numFmtId="0" fontId="38" fillId="11" borderId="5" applyAlignment="1" pivotButton="0" quotePrefix="0" xfId="0">
      <alignment vertical="center"/>
    </xf>
    <xf numFmtId="0" fontId="23" fillId="0" borderId="0" applyAlignment="1" pivotButton="0" quotePrefix="0" xfId="0">
      <alignment horizontal="left" vertical="center" wrapText="1"/>
    </xf>
    <xf numFmtId="0" fontId="39" fillId="0" borderId="0" applyAlignment="1" pivotButton="0" quotePrefix="0" xfId="0">
      <alignment vertical="top" wrapText="1"/>
    </xf>
    <xf numFmtId="0" fontId="40" fillId="11" borderId="5" applyAlignment="1" pivotButton="0" quotePrefix="0" xfId="0">
      <alignment vertical="center"/>
    </xf>
    <xf numFmtId="164" fontId="13" fillId="11" borderId="6" applyAlignment="1" pivotButton="0" quotePrefix="0" xfId="0">
      <alignment horizontal="left" vertical="center"/>
    </xf>
    <xf numFmtId="0" fontId="35" fillId="3" borderId="5" applyAlignment="1" pivotButton="0" quotePrefix="0" xfId="0">
      <alignment vertical="center"/>
    </xf>
    <xf numFmtId="0" fontId="17" fillId="3" borderId="6" applyAlignment="1" pivotButton="0" quotePrefix="0" xfId="0">
      <alignment horizontal="center" vertical="center"/>
    </xf>
    <xf numFmtId="0" fontId="41" fillId="5" borderId="0" applyAlignment="1" pivotButton="0" quotePrefix="0" xfId="0">
      <alignment horizontal="left" vertical="top" wrapText="1"/>
    </xf>
    <xf numFmtId="2" fontId="13" fillId="0" borderId="5" applyAlignment="1" pivotButton="0" quotePrefix="0" xfId="0">
      <alignment horizontal="center" vertical="center"/>
    </xf>
    <xf numFmtId="165" fontId="13" fillId="0" borderId="5" applyAlignment="1" pivotButton="0" quotePrefix="0" xfId="0">
      <alignment horizontal="center" vertical="center"/>
    </xf>
    <xf numFmtId="165" fontId="13" fillId="3" borderId="5" applyAlignment="1" pivotButton="0" quotePrefix="0" xfId="0">
      <alignment vertical="center"/>
    </xf>
    <xf numFmtId="1" fontId="13" fillId="3" borderId="5" applyAlignment="1" pivotButton="0" quotePrefix="0" xfId="0">
      <alignment horizontal="center" vertical="center"/>
    </xf>
    <xf numFmtId="0" fontId="42" fillId="0" borderId="0" pivotButton="0" quotePrefix="0" xfId="0"/>
    <xf numFmtId="165" fontId="13" fillId="3" borderId="6" applyAlignment="1" pivotButton="0" quotePrefix="0" xfId="0">
      <alignment horizontal="center" vertical="center"/>
    </xf>
    <xf numFmtId="0" fontId="43" fillId="0" borderId="6" applyAlignment="1" pivotButton="0" quotePrefix="0" xfId="0">
      <alignment horizontal="left" vertical="center"/>
    </xf>
    <xf numFmtId="164" fontId="22" fillId="5" borderId="5" applyAlignment="1" pivotButton="0" quotePrefix="0" xfId="0">
      <alignment horizontal="center" vertical="center"/>
    </xf>
    <xf numFmtId="169" fontId="13" fillId="3" borderId="6" applyAlignment="1" pivotButton="0" quotePrefix="0" xfId="0">
      <alignment horizontal="center" vertical="center"/>
    </xf>
    <xf numFmtId="0" fontId="44" fillId="0" borderId="5" applyAlignment="1" pivotButton="0" quotePrefix="0" xfId="0">
      <alignment vertical="center"/>
    </xf>
    <xf numFmtId="0" fontId="13" fillId="3" borderId="6" applyAlignment="1" pivotButton="0" quotePrefix="0" xfId="0">
      <alignment horizontal="center" vertical="center"/>
    </xf>
    <xf numFmtId="0" fontId="6" fillId="0" borderId="9" pivotButton="0" quotePrefix="0" xfId="0"/>
    <xf numFmtId="4" fontId="22" fillId="5" borderId="5" applyAlignment="1" pivotButton="0" quotePrefix="0" xfId="0">
      <alignment horizontal="center" vertical="center"/>
    </xf>
    <xf numFmtId="165" fontId="21" fillId="0" borderId="6" applyAlignment="1" pivotButton="0" quotePrefix="0" xfId="0">
      <alignment horizontal="center" vertical="center"/>
    </xf>
    <xf numFmtId="170" fontId="45" fillId="0" borderId="5" applyAlignment="1" pivotButton="0" quotePrefix="0" xfId="0">
      <alignment horizontal="center" vertical="center"/>
    </xf>
    <xf numFmtId="0" fontId="30" fillId="13" borderId="6" applyAlignment="1" pivotButton="0" quotePrefix="0" xfId="0">
      <alignment horizontal="center" vertical="center"/>
    </xf>
    <xf numFmtId="0" fontId="30" fillId="14" borderId="6" applyAlignment="1" pivotButton="0" quotePrefix="0" xfId="0">
      <alignment horizontal="center" vertical="center"/>
    </xf>
    <xf numFmtId="165" fontId="31" fillId="10" borderId="6" applyAlignment="1" pivotButton="0" quotePrefix="0" xfId="0">
      <alignment horizontal="center" vertical="center"/>
    </xf>
    <xf numFmtId="0" fontId="30" fillId="6" borderId="6" applyAlignment="1" pivotButton="0" quotePrefix="0" xfId="0">
      <alignment horizontal="center" vertical="center"/>
    </xf>
    <xf numFmtId="0" fontId="30" fillId="15" borderId="6" applyAlignment="1" pivotButton="0" quotePrefix="0" xfId="0">
      <alignment horizontal="center" vertical="center"/>
    </xf>
    <xf numFmtId="164" fontId="45" fillId="5" borderId="5" applyAlignment="1" pivotButton="0" quotePrefix="0" xfId="0">
      <alignment horizontal="center" vertical="center"/>
    </xf>
    <xf numFmtId="169" fontId="31" fillId="10" borderId="6" applyAlignment="1" pivotButton="0" quotePrefix="0" xfId="0">
      <alignment horizontal="center" vertical="center"/>
    </xf>
    <xf numFmtId="0" fontId="31" fillId="10" borderId="6" applyAlignment="1" pivotButton="0" quotePrefix="0" xfId="0">
      <alignment horizontal="center" vertical="center"/>
    </xf>
    <xf numFmtId="1" fontId="31" fillId="10" borderId="6" applyAlignment="1" pivotButton="0" quotePrefix="0" xfId="0">
      <alignment horizontal="center" vertical="center"/>
    </xf>
    <xf numFmtId="0" fontId="22" fillId="5" borderId="5" applyAlignment="1" pivotButton="0" quotePrefix="0" xfId="0">
      <alignment horizontal="center" vertical="bottom"/>
    </xf>
    <xf numFmtId="0" fontId="46" fillId="0" borderId="5" applyAlignment="1" pivotButton="0" quotePrefix="0" xfId="0">
      <alignment vertical="center"/>
    </xf>
    <xf numFmtId="165" fontId="13" fillId="0" borderId="5" applyAlignment="1" pivotButton="0" quotePrefix="0" xfId="0">
      <alignment vertical="center"/>
    </xf>
    <xf numFmtId="169" fontId="21" fillId="0" borderId="5" applyAlignment="1" pivotButton="0" quotePrefix="0" xfId="0">
      <alignment horizontal="center" vertical="center"/>
    </xf>
    <xf numFmtId="0" fontId="47" fillId="0" borderId="5" applyAlignment="1" pivotButton="0" quotePrefix="0" xfId="0">
      <alignment vertical="center"/>
    </xf>
    <xf numFmtId="171" fontId="24" fillId="5" borderId="5" applyAlignment="1" pivotButton="0" quotePrefix="0" xfId="0">
      <alignment horizontal="center" vertical="center"/>
    </xf>
    <xf numFmtId="166" fontId="22" fillId="5" borderId="5" applyAlignment="1" pivotButton="0" quotePrefix="0" xfId="0">
      <alignment vertical="center"/>
    </xf>
    <xf numFmtId="4" fontId="13" fillId="3" borderId="5" applyAlignment="1" pivotButton="0" quotePrefix="0" xfId="0">
      <alignment horizontal="center" vertical="center"/>
    </xf>
    <xf numFmtId="0" fontId="18" fillId="2" borderId="4" applyAlignment="1" pivotButton="0" quotePrefix="0" xfId="0">
      <alignment vertical="center"/>
    </xf>
    <xf numFmtId="0" fontId="13" fillId="3" borderId="10" applyAlignment="1" pivotButton="0" quotePrefix="0" xfId="0">
      <alignment horizontal="left" vertical="center"/>
    </xf>
    <xf numFmtId="171" fontId="22" fillId="5" borderId="5" applyAlignment="1" pivotButton="0" quotePrefix="0" xfId="0">
      <alignment horizontal="center" vertical="center"/>
    </xf>
    <xf numFmtId="1" fontId="22" fillId="5" borderId="5" applyAlignment="1" pivotButton="0" quotePrefix="0" xfId="0">
      <alignment horizontal="center" vertical="center"/>
    </xf>
    <xf numFmtId="9" fontId="1" fillId="0" borderId="0" applyAlignment="1" pivotButton="0" quotePrefix="0" xfId="0">
      <alignment vertical="bottom"/>
    </xf>
    <xf numFmtId="0" fontId="1" fillId="0" borderId="0" applyAlignment="1" pivotButton="0" quotePrefix="0" xfId="0">
      <alignment vertical="bottom" wrapText="1"/>
    </xf>
    <xf numFmtId="166" fontId="22" fillId="5" borderId="5" applyAlignment="1" pivotButton="0" quotePrefix="0" xfId="0">
      <alignment horizontal="center" vertical="center"/>
    </xf>
    <xf numFmtId="0" fontId="1" fillId="0" borderId="0" applyAlignment="1" pivotButton="0" quotePrefix="0" xfId="0">
      <alignment vertical="bottom"/>
    </xf>
    <xf numFmtId="0" fontId="22" fillId="5" borderId="5" applyAlignment="1" pivotButton="0" quotePrefix="0" xfId="0">
      <alignment vertical="center"/>
    </xf>
    <xf numFmtId="172" fontId="22" fillId="5" borderId="5" applyAlignment="1" pivotButton="0" quotePrefix="0" xfId="0">
      <alignment horizontal="center" vertical="center"/>
    </xf>
    <xf numFmtId="0" fontId="48" fillId="5" borderId="5" applyAlignment="1" pivotButton="0" quotePrefix="0" xfId="0">
      <alignment vertical="center"/>
    </xf>
    <xf numFmtId="0" fontId="49" fillId="2" borderId="4" applyAlignment="1" pivotButton="0" quotePrefix="0" xfId="0">
      <alignment vertical="center"/>
    </xf>
    <xf numFmtId="0" fontId="39" fillId="0" borderId="0" applyAlignment="1" pivotButton="0" quotePrefix="0" xfId="0">
      <alignment vertical="bottom"/>
    </xf>
    <xf numFmtId="1" fontId="16" fillId="0" borderId="5" applyAlignment="1" pivotButton="0" quotePrefix="0" xfId="0">
      <alignment horizontal="center" vertical="center"/>
    </xf>
    <xf numFmtId="166" fontId="21" fillId="0" borderId="5" applyAlignment="1" pivotButton="0" quotePrefix="0" xfId="0">
      <alignment horizontal="center" vertical="center"/>
    </xf>
    <xf numFmtId="2" fontId="28" fillId="0" borderId="5" applyAlignment="1" pivotButton="0" quotePrefix="0" xfId="0">
      <alignment horizontal="center" vertical="center"/>
    </xf>
    <xf numFmtId="0" fontId="18" fillId="4" borderId="5" applyAlignment="1" pivotButton="0" quotePrefix="0" xfId="0">
      <alignment horizontal="center" vertical="center"/>
    </xf>
    <xf numFmtId="4" fontId="22" fillId="5" borderId="5" applyAlignment="1" pivotButton="0" quotePrefix="0" xfId="0">
      <alignment vertical="center"/>
    </xf>
    <xf numFmtId="170" fontId="22" fillId="5" borderId="5" applyAlignment="1" pivotButton="0" quotePrefix="0" xfId="0">
      <alignment horizontal="center" vertical="center"/>
    </xf>
    <xf numFmtId="164" fontId="22" fillId="5" borderId="1" applyAlignment="1" pivotButton="0" quotePrefix="0" xfId="0">
      <alignment horizontal="center" vertical="center"/>
    </xf>
    <xf numFmtId="164" fontId="21" fillId="0" borderId="1" applyAlignment="1" pivotButton="0" quotePrefix="0" xfId="0">
      <alignment vertical="center"/>
    </xf>
    <xf numFmtId="164" fontId="13" fillId="0" borderId="1" applyAlignment="1" pivotButton="0" quotePrefix="0" xfId="0">
      <alignment vertical="center"/>
    </xf>
    <xf numFmtId="164" fontId="13" fillId="5" borderId="1" applyAlignment="1" pivotButton="0" quotePrefix="0" xfId="0">
      <alignment vertical="center"/>
    </xf>
    <xf numFmtId="0" fontId="16" fillId="0" borderId="1" applyAlignment="1" pivotButton="0" quotePrefix="0" xfId="0">
      <alignment horizontal="center" vertical="center"/>
    </xf>
    <xf numFmtId="4" fontId="22" fillId="5" borderId="5" applyAlignment="1" pivotButton="0" quotePrefix="0" xfId="0">
      <alignment vertical="center"/>
    </xf>
    <xf numFmtId="0" fontId="28" fillId="0" borderId="5" applyAlignment="1" pivotButton="0" quotePrefix="0" xfId="0">
      <alignment horizontal="center" vertical="center"/>
    </xf>
    <xf numFmtId="0" fontId="50" fillId="0" borderId="5" applyAlignment="1" pivotButton="0" quotePrefix="0" xfId="0">
      <alignment horizontal="center" vertical="center"/>
    </xf>
    <xf numFmtId="1" fontId="22" fillId="5" borderId="5" applyAlignment="1" pivotButton="0" quotePrefix="0" xfId="0">
      <alignment vertical="center"/>
    </xf>
    <xf numFmtId="164" fontId="39" fillId="3" borderId="5" applyAlignment="1" pivotButton="0" quotePrefix="0" xfId="0">
      <alignment vertical="center"/>
    </xf>
    <xf numFmtId="0" fontId="51" fillId="0" borderId="0" applyAlignment="1" pivotButton="0" quotePrefix="0" xfId="0">
      <alignment vertical="top" wrapText="1"/>
    </xf>
    <xf numFmtId="2" fontId="13" fillId="3" borderId="5" applyAlignment="1" pivotButton="0" quotePrefix="0" xfId="0">
      <alignment horizontal="center" vertical="center"/>
    </xf>
    <xf numFmtId="169" fontId="13" fillId="3" borderId="5" applyAlignment="1" pivotButton="0" quotePrefix="0" xfId="0">
      <alignment horizontal="center" vertical="center"/>
    </xf>
    <xf numFmtId="0" fontId="52" fillId="3" borderId="5" applyAlignment="1" pivotButton="0" quotePrefix="0" xfId="0">
      <alignment horizontal="center" vertical="center"/>
    </xf>
    <xf numFmtId="0" fontId="52" fillId="3" borderId="6" applyAlignment="1" pivotButton="0" quotePrefix="0" xfId="0">
      <alignment horizontal="center" vertical="center"/>
    </xf>
    <xf numFmtId="0" fontId="28" fillId="3" borderId="5" applyAlignment="1" pivotButton="0" quotePrefix="0" xfId="0">
      <alignment horizontal="center" vertical="center"/>
    </xf>
    <xf numFmtId="168" fontId="28" fillId="0" borderId="5" applyAlignment="1" pivotButton="0" quotePrefix="0" xfId="0">
      <alignment horizontal="center" vertical="center"/>
    </xf>
    <xf numFmtId="164" fontId="45" fillId="0" borderId="5" applyAlignment="1" pivotButton="0" quotePrefix="0" xfId="0">
      <alignment vertical="center"/>
    </xf>
    <xf numFmtId="167" fontId="15" fillId="3" borderId="5" applyAlignment="1" pivotButton="0" quotePrefix="0" xfId="0">
      <alignment horizontal="center" vertical="center"/>
    </xf>
    <xf numFmtId="0" fontId="13" fillId="11" borderId="5" applyAlignment="1" pivotButton="0" quotePrefix="0" xfId="0">
      <alignment vertical="center"/>
    </xf>
    <xf numFmtId="0" fontId="13" fillId="16" borderId="5" applyAlignment="1" pivotButton="0" quotePrefix="0" xfId="0">
      <alignment vertical="center"/>
    </xf>
    <xf numFmtId="164" fontId="13" fillId="16" borderId="5" applyAlignment="1" pivotButton="0" quotePrefix="0" xfId="0">
      <alignment horizontal="center" vertical="center"/>
    </xf>
    <xf numFmtId="165" fontId="13" fillId="16" borderId="5" applyAlignment="1" pivotButton="0" quotePrefix="0" xfId="0">
      <alignment horizontal="center" vertical="center"/>
    </xf>
    <xf numFmtId="165" fontId="22" fillId="5" borderId="5" applyAlignment="1" pivotButton="0" quotePrefix="0" xfId="0">
      <alignment horizontal="center" vertical="center"/>
    </xf>
    <xf numFmtId="0" fontId="13" fillId="12" borderId="5" applyAlignment="1" pivotButton="0" quotePrefix="0" xfId="0">
      <alignment vertical="center"/>
    </xf>
    <xf numFmtId="0" fontId="53" fillId="11" borderId="5" applyAlignment="1" pivotButton="0" quotePrefix="0" xfId="0">
      <alignment vertical="center"/>
    </xf>
    <xf numFmtId="0" fontId="21" fillId="11" borderId="5" applyAlignment="1" pivotButton="0" quotePrefix="0" xfId="0">
      <alignment vertical="center"/>
    </xf>
    <xf numFmtId="0" fontId="13" fillId="17" borderId="6" applyAlignment="1" pivotButton="0" quotePrefix="0" xfId="0">
      <alignment horizontal="center" vertical="center"/>
    </xf>
    <xf numFmtId="0" fontId="13" fillId="4" borderId="5" applyAlignment="1" pivotButton="0" quotePrefix="0" xfId="0">
      <alignment vertical="center"/>
    </xf>
    <xf numFmtId="0" fontId="11" fillId="4" borderId="5" applyAlignment="1" pivotButton="0" quotePrefix="0" xfId="0">
      <alignment vertical="top" wrapText="1"/>
    </xf>
    <xf numFmtId="164" fontId="18" fillId="4" borderId="5" applyAlignment="1" pivotButton="0" quotePrefix="0" xfId="0">
      <alignment horizontal="center" vertical="center" wrapText="1"/>
    </xf>
    <xf numFmtId="0" fontId="12" fillId="2" borderId="5" applyAlignment="1" pivotButton="0" quotePrefix="0" xfId="0">
      <alignment vertical="center"/>
    </xf>
    <xf numFmtId="164" fontId="21" fillId="0" borderId="5" applyAlignment="1" pivotButton="0" quotePrefix="0" xfId="0">
      <alignment horizontal="center" vertical="bottom"/>
    </xf>
    <xf numFmtId="1" fontId="28" fillId="0" borderId="5" applyAlignment="1" pivotButton="0" quotePrefix="0" xfId="0">
      <alignment horizontal="center" vertical="center"/>
    </xf>
    <xf numFmtId="0" fontId="54" fillId="2" borderId="0" applyAlignment="1" pivotButton="0" quotePrefix="0" xfId="0">
      <alignment horizontal="left" vertical="center"/>
    </xf>
    <xf numFmtId="0" fontId="4" fillId="0" borderId="2" applyAlignment="1" pivotButton="0" quotePrefix="0" xfId="0">
      <alignment horizontal="left" vertical="center"/>
    </xf>
    <xf numFmtId="172" fontId="4" fillId="3" borderId="1" applyAlignment="1" pivotButton="0" quotePrefix="0" xfId="0">
      <alignment horizontal="center" vertical="center"/>
    </xf>
    <xf numFmtId="0" fontId="4" fillId="0" borderId="1" applyAlignment="1" pivotButton="0" quotePrefix="0" xfId="0">
      <alignment horizontal="right" vertical="center"/>
    </xf>
    <xf numFmtId="0" fontId="4" fillId="3" borderId="1" applyAlignment="1" pivotButton="0" quotePrefix="0" xfId="0">
      <alignment horizontal="center" vertical="center"/>
    </xf>
    <xf numFmtId="0" fontId="3" fillId="0" borderId="0" applyAlignment="1" pivotButton="0" quotePrefix="0" xfId="0">
      <alignment horizontal="left" vertical="center"/>
    </xf>
    <xf numFmtId="164" fontId="4" fillId="3" borderId="1" applyAlignment="1" pivotButton="0" quotePrefix="0" xfId="0">
      <alignment horizontal="center" vertical="center"/>
    </xf>
    <xf numFmtId="0" fontId="6" fillId="0" borderId="11" pivotButton="0" quotePrefix="0" xfId="0"/>
    <xf numFmtId="1" fontId="4" fillId="5" borderId="1" applyAlignment="1" pivotButton="0" quotePrefix="0" xfId="0">
      <alignment horizontal="center" vertical="center"/>
    </xf>
    <xf numFmtId="0" fontId="23" fillId="0" borderId="1" applyAlignment="1" pivotButton="0" quotePrefix="0" xfId="0">
      <alignment horizontal="left" vertical="center"/>
    </xf>
    <xf numFmtId="169" fontId="55" fillId="3" borderId="1" applyAlignment="1" pivotButton="0" quotePrefix="0" xfId="0">
      <alignment horizontal="center" vertical="center"/>
    </xf>
    <xf numFmtId="0" fontId="23" fillId="3" borderId="1" applyAlignment="1" pivotButton="0" quotePrefix="0" xfId="0">
      <alignment horizontal="center" vertical="center"/>
    </xf>
    <xf numFmtId="0" fontId="56" fillId="0" borderId="2" applyAlignment="1" pivotButton="0" quotePrefix="0" xfId="0">
      <alignment horizontal="left" vertical="center"/>
    </xf>
    <xf numFmtId="1" fontId="3" fillId="0" borderId="1" applyAlignment="1" pivotButton="0" quotePrefix="0" xfId="0">
      <alignment horizontal="center" vertical="center"/>
    </xf>
    <xf numFmtId="164" fontId="55" fillId="3" borderId="1" applyAlignment="1" pivotButton="0" quotePrefix="0" xfId="0">
      <alignment horizontal="center" vertical="center"/>
    </xf>
    <xf numFmtId="0" fontId="9" fillId="5" borderId="1" applyAlignment="1" pivotButton="0" quotePrefix="0" xfId="0">
      <alignment horizontal="left" vertical="center"/>
    </xf>
    <xf numFmtId="1" fontId="9" fillId="5" borderId="1" applyAlignment="1" pivotButton="0" quotePrefix="0" xfId="0">
      <alignment horizontal="center" vertical="center"/>
    </xf>
    <xf numFmtId="0" fontId="9" fillId="5" borderId="1" applyAlignment="1" pivotButton="0" quotePrefix="0" xfId="0">
      <alignment horizontal="center" vertical="center"/>
    </xf>
    <xf numFmtId="0" fontId="3" fillId="0" borderId="1" applyAlignment="1" pivotButton="0" quotePrefix="0" xfId="0">
      <alignment horizontal="left" vertical="center" wrapText="1"/>
    </xf>
    <xf numFmtId="0" fontId="57" fillId="0" borderId="2" applyAlignment="1" pivotButton="0" quotePrefix="0" xfId="0">
      <alignment horizontal="left" vertical="center"/>
    </xf>
    <xf numFmtId="0" fontId="8" fillId="4" borderId="2" applyAlignment="1" pivotButton="0" quotePrefix="0" xfId="0">
      <alignment horizontal="center" vertical="center" wrapText="1"/>
    </xf>
    <xf numFmtId="164" fontId="23" fillId="0" borderId="1" applyAlignment="1" pivotButton="0" quotePrefix="0" xfId="0">
      <alignment horizontal="center" vertical="center"/>
    </xf>
    <xf numFmtId="0" fontId="3" fillId="0" borderId="1" applyAlignment="1" pivotButton="0" quotePrefix="0" xfId="0">
      <alignment horizontal="center" vertical="center"/>
    </xf>
    <xf numFmtId="0" fontId="23" fillId="0" borderId="1" applyAlignment="1" pivotButton="0" quotePrefix="0" xfId="0">
      <alignment horizontal="center" vertical="center"/>
    </xf>
    <xf numFmtId="0" fontId="3" fillId="0" borderId="0" applyAlignment="1" pivotButton="0" quotePrefix="0" xfId="0">
      <alignment horizontal="left" vertical="center" wrapText="1"/>
    </xf>
    <xf numFmtId="0" fontId="4" fillId="3" borderId="1" applyAlignment="1" pivotButton="0" quotePrefix="0" xfId="0">
      <alignment horizontal="left" vertical="center"/>
    </xf>
    <xf numFmtId="173" fontId="23" fillId="0" borderId="1" applyAlignment="1" pivotButton="0" quotePrefix="0" xfId="0">
      <alignment horizontal="center" vertical="center"/>
    </xf>
    <xf numFmtId="165" fontId="23" fillId="0" borderId="1" applyAlignment="1" pivotButton="0" quotePrefix="0" xfId="0">
      <alignment horizontal="center" vertical="center"/>
    </xf>
    <xf numFmtId="1" fontId="4" fillId="0" borderId="1" applyAlignment="1" pivotButton="0" quotePrefix="0" xfId="0">
      <alignment horizontal="center" vertical="center"/>
    </xf>
    <xf numFmtId="172" fontId="9" fillId="0" borderId="1" applyAlignment="1" pivotButton="0" quotePrefix="0" xfId="0">
      <alignment horizontal="center" vertical="center"/>
    </xf>
    <xf numFmtId="0" fontId="9" fillId="0" borderId="0" applyAlignment="1" pivotButton="0" quotePrefix="0" xfId="0">
      <alignment horizontal="left" vertical="center" wrapText="1"/>
    </xf>
    <xf numFmtId="164" fontId="4" fillId="0" borderId="1" applyAlignment="1" pivotButton="0" quotePrefix="0" xfId="0">
      <alignment horizontal="right" vertical="center"/>
    </xf>
    <xf numFmtId="0" fontId="3" fillId="0" borderId="1" applyAlignment="1" pivotButton="0" quotePrefix="0" xfId="0">
      <alignment horizontal="left" vertical="center"/>
    </xf>
    <xf numFmtId="169" fontId="4" fillId="3" borderId="1" applyAlignment="1" pivotButton="0" quotePrefix="0" xfId="0">
      <alignment horizontal="right" vertical="center"/>
    </xf>
    <xf numFmtId="0" fontId="4" fillId="3" borderId="2" applyAlignment="1" pivotButton="0" quotePrefix="0" xfId="0">
      <alignment horizontal="center" vertical="center"/>
    </xf>
    <xf numFmtId="172" fontId="9" fillId="5" borderId="1" applyAlignment="1" pivotButton="0" quotePrefix="0" xfId="0">
      <alignment horizontal="center" vertical="center"/>
    </xf>
    <xf numFmtId="169" fontId="9" fillId="5" borderId="1" applyAlignment="1" pivotButton="0" quotePrefix="0" xfId="0">
      <alignment horizontal="right" vertical="center"/>
    </xf>
    <xf numFmtId="0" fontId="9" fillId="5" borderId="2" applyAlignment="1" pivotButton="0" quotePrefix="0" xfId="0">
      <alignment horizontal="center" vertical="center"/>
    </xf>
    <xf numFmtId="0" fontId="57" fillId="0" borderId="0" applyAlignment="1" pivotButton="0" quotePrefix="0" xfId="0">
      <alignment horizontal="left" vertical="center"/>
    </xf>
    <xf numFmtId="169" fontId="9" fillId="0" borderId="1" applyAlignment="1" pivotButton="0" quotePrefix="0" xfId="0">
      <alignment horizontal="right" vertical="center"/>
    </xf>
    <xf numFmtId="164" fontId="23" fillId="3" borderId="1" applyAlignment="1" pivotButton="0" quotePrefix="0" xfId="0">
      <alignment horizontal="center" vertical="center"/>
    </xf>
    <xf numFmtId="0" fontId="21" fillId="0" borderId="5" applyAlignment="1" pivotButton="0" quotePrefix="0" xfId="0">
      <alignment vertical="center" wrapText="1"/>
    </xf>
    <xf numFmtId="0" fontId="13" fillId="0" borderId="5" applyAlignment="1" pivotButton="0" quotePrefix="0" xfId="0">
      <alignment vertical="center" wrapText="1"/>
    </xf>
    <xf numFmtId="164" fontId="21" fillId="10" borderId="5" applyAlignment="1" pivotButton="0" quotePrefix="0" xfId="0">
      <alignment horizontal="center" vertical="center"/>
    </xf>
    <xf numFmtId="0" fontId="13" fillId="3" borderId="5" applyAlignment="1" pivotButton="0" quotePrefix="0" xfId="0">
      <alignment vertical="center" wrapText="1"/>
    </xf>
    <xf numFmtId="165" fontId="21" fillId="10" borderId="5" applyAlignment="1" pivotButton="0" quotePrefix="0" xfId="0">
      <alignment horizontal="center" vertical="center"/>
    </xf>
    <xf numFmtId="169" fontId="21" fillId="10" borderId="5" applyAlignment="1" pivotButton="0" quotePrefix="0" xfId="0">
      <alignment horizontal="center" vertical="center"/>
    </xf>
    <xf numFmtId="0" fontId="11" fillId="0" borderId="5" applyAlignment="1" pivotButton="0" quotePrefix="0" xfId="0">
      <alignment vertical="center"/>
    </xf>
    <xf numFmtId="0" fontId="58" fillId="0" borderId="5" applyAlignment="1" pivotButton="0" quotePrefix="0" xfId="0">
      <alignment vertical="center"/>
    </xf>
    <xf numFmtId="169" fontId="13" fillId="0" borderId="5" applyAlignment="1" pivotButton="0" quotePrefix="0" xfId="0">
      <alignment horizontal="center" vertical="center"/>
    </xf>
    <xf numFmtId="1" fontId="16" fillId="0" borderId="5" applyAlignment="1" pivotButton="0" quotePrefix="0" xfId="0">
      <alignment vertical="center"/>
    </xf>
    <xf numFmtId="0" fontId="21" fillId="18" borderId="5" applyAlignment="1" pivotButton="0" quotePrefix="0" xfId="0">
      <alignment vertical="center" wrapText="1"/>
    </xf>
    <xf numFmtId="174" fontId="31" fillId="3" borderId="5" applyAlignment="1" pivotButton="0" quotePrefix="0" xfId="0">
      <alignment horizontal="center" vertical="center"/>
    </xf>
    <xf numFmtId="0" fontId="31" fillId="3" borderId="5" applyAlignment="1" pivotButton="0" quotePrefix="0" xfId="0">
      <alignment horizontal="center" vertical="center"/>
    </xf>
    <xf numFmtId="175" fontId="13" fillId="0" borderId="5" applyAlignment="1" pivotButton="0" quotePrefix="0" xfId="0">
      <alignment horizontal="center" vertical="center"/>
    </xf>
    <xf numFmtId="169" fontId="16" fillId="0" borderId="5" applyAlignment="1" pivotButton="0" quotePrefix="0" xfId="0">
      <alignment vertical="center"/>
    </xf>
    <xf numFmtId="0" fontId="21" fillId="0" borderId="6" applyAlignment="1" pivotButton="0" quotePrefix="0" xfId="0">
      <alignment vertical="center" wrapText="1"/>
    </xf>
    <xf numFmtId="0" fontId="21" fillId="5" borderId="6" applyAlignment="1" pivotButton="0" quotePrefix="0" xfId="0">
      <alignment vertical="center" wrapText="1"/>
    </xf>
    <xf numFmtId="0" fontId="59" fillId="2" borderId="0" applyAlignment="1" pivotButton="0" quotePrefix="0" xfId="0">
      <alignment horizontal="left" vertical="center"/>
    </xf>
    <xf numFmtId="9" fontId="4" fillId="3" borderId="1" applyAlignment="1" pivotButton="0" quotePrefix="0" xfId="0">
      <alignment horizontal="right" vertical="center"/>
    </xf>
    <xf numFmtId="2" fontId="4" fillId="3" borderId="1" applyAlignment="1" pivotButton="0" quotePrefix="0" xfId="0">
      <alignment horizontal="right" vertical="center"/>
    </xf>
    <xf numFmtId="0" fontId="60" fillId="5" borderId="0" applyAlignment="1" pivotButton="0" quotePrefix="0" xfId="0">
      <alignment horizontal="left" vertical="center"/>
    </xf>
    <xf numFmtId="9" fontId="9" fillId="5" borderId="1" applyAlignment="1" pivotButton="0" quotePrefix="0" xfId="0">
      <alignment horizontal="right" vertical="center"/>
    </xf>
    <xf numFmtId="2" fontId="9" fillId="5" borderId="1" applyAlignment="1" pivotButton="0" quotePrefix="0" xfId="0">
      <alignment horizontal="right" vertical="center"/>
    </xf>
    <xf numFmtId="9" fontId="9" fillId="0" borderId="1" applyAlignment="1" pivotButton="0" quotePrefix="0" xfId="0">
      <alignment horizontal="right" vertical="center"/>
    </xf>
    <xf numFmtId="2" fontId="9" fillId="0" borderId="1" applyAlignment="1" pivotButton="0" quotePrefix="0" xfId="0">
      <alignment horizontal="right" vertical="center"/>
    </xf>
    <xf numFmtId="1" fontId="23" fillId="0" borderId="1" applyAlignment="1" pivotButton="0" quotePrefix="0" xfId="0">
      <alignment horizontal="center" vertical="center"/>
    </xf>
    <xf numFmtId="176" fontId="23" fillId="0" borderId="1" applyAlignment="1" pivotButton="0" quotePrefix="0" xfId="0">
      <alignment horizontal="center" vertical="center"/>
    </xf>
    <xf numFmtId="0" fontId="57" fillId="0" borderId="0" applyAlignment="1" pivotButton="0" quotePrefix="0" xfId="0">
      <alignment horizontal="left" vertical="center" wrapText="1"/>
    </xf>
    <xf numFmtId="0" fontId="41" fillId="5" borderId="0" applyAlignment="1" pivotButton="0" quotePrefix="0" xfId="0">
      <alignment horizontal="left" vertical="center" wrapText="1"/>
    </xf>
    <xf numFmtId="177" fontId="22" fillId="5" borderId="5" applyAlignment="1" pivotButton="0" quotePrefix="0" xfId="0">
      <alignment vertical="center"/>
    </xf>
    <xf numFmtId="0" fontId="61" fillId="5" borderId="5" applyAlignment="1" pivotButton="0" quotePrefix="0" xfId="0">
      <alignment vertical="center"/>
    </xf>
    <xf numFmtId="169" fontId="21" fillId="0" borderId="5" applyAlignment="1" pivotButton="0" quotePrefix="0" xfId="0">
      <alignment vertical="center"/>
    </xf>
    <xf numFmtId="0" fontId="62" fillId="0" borderId="0" applyAlignment="1" pivotButton="0" quotePrefix="0" xfId="0">
      <alignment vertical="bottom"/>
    </xf>
    <xf numFmtId="0" fontId="18" fillId="4" borderId="5" applyAlignment="1" pivotButton="0" quotePrefix="0" xfId="0">
      <alignment vertical="center" wrapText="1"/>
    </xf>
    <xf numFmtId="0" fontId="63" fillId="0" borderId="0" applyAlignment="1" pivotButton="0" quotePrefix="0" xfId="0">
      <alignment vertical="top" wrapText="1"/>
    </xf>
    <xf numFmtId="0" fontId="64" fillId="0" borderId="0" applyAlignment="1" pivotButton="0" quotePrefix="0" xfId="0">
      <alignment vertical="top" wrapText="1"/>
    </xf>
    <xf numFmtId="0" fontId="65" fillId="0" borderId="0" applyAlignment="1" pivotButton="0" quotePrefix="0" xfId="0">
      <alignment vertical="top" wrapText="1"/>
    </xf>
    <xf numFmtId="164" fontId="13" fillId="11" borderId="5" applyAlignment="1" pivotButton="0" quotePrefix="0" xfId="0">
      <alignment vertical="center"/>
    </xf>
    <xf numFmtId="0" fontId="63" fillId="0" borderId="5" applyAlignment="1" pivotButton="0" quotePrefix="0" xfId="0">
      <alignment vertical="top" wrapText="1"/>
    </xf>
    <xf numFmtId="164" fontId="5" fillId="3" borderId="1" applyAlignment="1" pivotButton="0" quotePrefix="0" xfId="0">
      <alignment horizontal="center" vertical="center"/>
    </xf>
    <xf numFmtId="0" fontId="64" fillId="0" borderId="5" applyAlignment="1" pivotButton="0" quotePrefix="0" xfId="0">
      <alignment vertical="top" wrapText="1"/>
    </xf>
    <xf numFmtId="0" fontId="65" fillId="0" borderId="5" applyAlignment="1" pivotButton="0" quotePrefix="0" xfId="0">
      <alignment vertical="top" wrapText="1"/>
    </xf>
    <xf numFmtId="0" fontId="63" fillId="19" borderId="5" applyAlignment="1" pivotButton="0" quotePrefix="0" xfId="0">
      <alignment vertical="top" wrapText="1"/>
    </xf>
    <xf numFmtId="0" fontId="64" fillId="19" borderId="5" applyAlignment="1" pivotButton="0" quotePrefix="0" xfId="0">
      <alignment vertical="top" wrapText="1"/>
    </xf>
    <xf numFmtId="0" fontId="65" fillId="19" borderId="5" applyAlignment="1" pivotButton="0" quotePrefix="0" xfId="0">
      <alignment vertical="top" wrapText="1"/>
    </xf>
    <xf numFmtId="0" fontId="4" fillId="5" borderId="1" applyAlignment="1" pivotButton="0" quotePrefix="0" xfId="0">
      <alignment horizontal="left" vertical="center"/>
    </xf>
    <xf numFmtId="1" fontId="21" fillId="0" borderId="6" applyAlignment="1" pivotButton="0" quotePrefix="0" xfId="0">
      <alignment horizontal="center" vertical="center"/>
    </xf>
    <xf numFmtId="0" fontId="66" fillId="0" borderId="5" applyAlignment="1" pivotButton="0" quotePrefix="0" xfId="0">
      <alignment horizontal="center" vertical="center"/>
    </xf>
    <xf numFmtId="0" fontId="4" fillId="3" borderId="2" applyAlignment="1" pivotButton="0" quotePrefix="0" xfId="0">
      <alignment horizontal="left" vertical="center"/>
    </xf>
    <xf numFmtId="165" fontId="1" fillId="0" borderId="0" applyAlignment="1" pivotButton="0" quotePrefix="0" xfId="0">
      <alignment vertical="bottom"/>
    </xf>
    <xf numFmtId="0" fontId="67" fillId="0" borderId="1" applyAlignment="1" pivotButton="0" quotePrefix="0" xfId="0">
      <alignment horizontal="left" vertical="center" wrapText="1"/>
    </xf>
    <xf numFmtId="165" fontId="21" fillId="3" borderId="5" applyAlignment="1" pivotButton="0" quotePrefix="0" xfId="0">
      <alignment vertical="center"/>
    </xf>
    <xf numFmtId="164" fontId="1" fillId="0" borderId="0" applyAlignment="1" pivotButton="0" quotePrefix="0" xfId="0">
      <alignment vertical="bottom"/>
    </xf>
    <xf numFmtId="164" fontId="21" fillId="3" borderId="5" applyAlignment="1" pivotButton="0" quotePrefix="0" xfId="0">
      <alignment vertical="center"/>
    </xf>
    <xf numFmtId="1" fontId="5" fillId="5" borderId="1" applyAlignment="1" pivotButton="0" quotePrefix="0" xfId="0">
      <alignment horizontal="center" vertical="center"/>
    </xf>
    <xf numFmtId="0" fontId="23" fillId="0" borderId="0" applyAlignment="1" pivotButton="0" quotePrefix="0" xfId="0">
      <alignment horizontal="left" vertical="center"/>
    </xf>
    <xf numFmtId="0" fontId="8" fillId="4" borderId="1" applyAlignment="1" pivotButton="0" quotePrefix="0" xfId="0">
      <alignment horizontal="center" vertical="center"/>
    </xf>
    <xf numFmtId="0" fontId="9" fillId="0" borderId="1" applyAlignment="1" pivotButton="0" quotePrefix="0" xfId="0">
      <alignment horizontal="left" vertical="center"/>
    </xf>
    <xf numFmtId="165" fontId="9" fillId="5" borderId="1" applyAlignment="1" pivotButton="0" quotePrefix="0" xfId="0">
      <alignment horizontal="center" vertical="center"/>
    </xf>
    <xf numFmtId="0" fontId="3" fillId="0" borderId="2" applyAlignment="1" pivotButton="0" quotePrefix="0" xfId="0">
      <alignment horizontal="left" vertical="center" wrapText="1"/>
    </xf>
    <xf numFmtId="0" fontId="9" fillId="0" borderId="1" applyAlignment="1" pivotButton="0" quotePrefix="0" xfId="0">
      <alignment horizontal="center" vertical="center"/>
    </xf>
    <xf numFmtId="164" fontId="3" fillId="0" borderId="1" applyAlignment="1" pivotButton="0" quotePrefix="0" xfId="0">
      <alignment horizontal="right" vertical="center"/>
    </xf>
    <xf numFmtId="165" fontId="3" fillId="0" borderId="1" applyAlignment="1" pivotButton="0" quotePrefix="0" xfId="0">
      <alignment horizontal="center" vertical="center"/>
    </xf>
    <xf numFmtId="0" fontId="3" fillId="0" borderId="2" applyAlignment="1" pivotButton="0" quotePrefix="0" xfId="0">
      <alignment horizontal="left" vertical="center"/>
    </xf>
    <xf numFmtId="10" fontId="4" fillId="3" borderId="1" applyAlignment="1" pivotButton="0" quotePrefix="0" xfId="0">
      <alignment horizontal="left" vertical="center"/>
    </xf>
    <xf numFmtId="164" fontId="5" fillId="3" borderId="1" applyAlignment="1" pivotButton="0" quotePrefix="0" xfId="0">
      <alignment horizontal="right" vertical="center"/>
    </xf>
    <xf numFmtId="164" fontId="4" fillId="5" borderId="1" applyAlignment="1" pivotButton="0" quotePrefix="0" xfId="0">
      <alignment horizontal="right" vertical="center"/>
    </xf>
    <xf numFmtId="0" fontId="68" fillId="0" borderId="0" applyAlignment="1" pivotButton="0" quotePrefix="0" xfId="0">
      <alignment horizontal="right" vertical="center"/>
    </xf>
    <xf numFmtId="165" fontId="68" fillId="0" borderId="1" applyAlignment="1" pivotButton="0" quotePrefix="0" xfId="0">
      <alignment horizontal="center" vertical="center"/>
    </xf>
    <xf numFmtId="164" fontId="68" fillId="0" borderId="1" applyAlignment="1" pivotButton="0" quotePrefix="0" xfId="0">
      <alignment horizontal="center" vertical="center"/>
    </xf>
    <xf numFmtId="1" fontId="68" fillId="0" borderId="1" applyAlignment="1" pivotButton="0" quotePrefix="0" xfId="0">
      <alignment horizontal="center" vertical="center"/>
    </xf>
    <xf numFmtId="1" fontId="67" fillId="0" borderId="1" applyAlignment="1" pivotButton="0" quotePrefix="0" xfId="0">
      <alignment horizontal="center" vertical="center"/>
    </xf>
    <xf numFmtId="178" fontId="67" fillId="0" borderId="1" applyAlignment="1" pivotButton="0" quotePrefix="0" xfId="0">
      <alignment horizontal="center" vertical="center"/>
    </xf>
    <xf numFmtId="164" fontId="67" fillId="0" borderId="1" applyAlignment="1" pivotButton="0" quotePrefix="0" xfId="0">
      <alignment horizontal="right" vertical="center"/>
    </xf>
    <xf numFmtId="164" fontId="69" fillId="0" borderId="1" applyAlignment="1" pivotButton="0" quotePrefix="0" xfId="0">
      <alignment horizontal="right" vertical="center"/>
    </xf>
    <xf numFmtId="178" fontId="9" fillId="0" borderId="1" applyAlignment="1" pivotButton="0" quotePrefix="0" xfId="0">
      <alignment horizontal="center" vertical="center"/>
    </xf>
    <xf numFmtId="4" fontId="4" fillId="3" borderId="1" applyAlignment="1" pivotButton="0" quotePrefix="0" xfId="0">
      <alignment horizontal="center" vertical="center"/>
    </xf>
    <xf numFmtId="4" fontId="9" fillId="0" borderId="1" applyAlignment="1" pivotButton="0" quotePrefix="0" xfId="0">
      <alignment horizontal="right" vertical="center"/>
    </xf>
    <xf numFmtId="4" fontId="4" fillId="3" borderId="1" applyAlignment="1" pivotButton="0" quotePrefix="0" xfId="0">
      <alignment horizontal="right" vertical="center"/>
    </xf>
    <xf numFmtId="0" fontId="0" fillId="0" borderId="0" pivotButton="0" quotePrefix="0" xfId="0"/>
    <xf numFmtId="0" fontId="26" fillId="5" borderId="5" applyAlignment="1" pivotButton="0" quotePrefix="0" xfId="0">
      <alignment horizontal="center" vertical="center"/>
    </xf>
    <xf numFmtId="0" fontId="0" fillId="0" borderId="7" pivotButton="0" quotePrefix="0" xfId="0"/>
    <xf numFmtId="0" fontId="0" fillId="0" borderId="8" pivotButton="0" quotePrefix="0" xfId="0"/>
    <xf numFmtId="0" fontId="30" fillId="4" borderId="5" applyAlignment="1" pivotButton="0" quotePrefix="0" xfId="0">
      <alignment horizontal="center" vertical="center"/>
    </xf>
    <xf numFmtId="0" fontId="30" fillId="7" borderId="5" applyAlignment="1" pivotButton="0" quotePrefix="0" xfId="0">
      <alignment horizontal="center" vertical="center"/>
    </xf>
    <xf numFmtId="0" fontId="30" fillId="8" borderId="5" applyAlignment="1" pivotButton="0" quotePrefix="0" xfId="0">
      <alignment horizontal="center" vertical="center"/>
    </xf>
    <xf numFmtId="0" fontId="30" fillId="9" borderId="5" applyAlignment="1" pivotButton="0" quotePrefix="0" xfId="0">
      <alignment horizontal="center" vertical="center"/>
    </xf>
    <xf numFmtId="164" fontId="31" fillId="10" borderId="5" applyAlignment="1" pivotButton="0" quotePrefix="0" xfId="0">
      <alignment horizontal="center" vertical="center"/>
    </xf>
    <xf numFmtId="0" fontId="14" fillId="10" borderId="5" applyAlignment="1" pivotButton="0" quotePrefix="0" xfId="0">
      <alignment horizontal="center" vertical="center"/>
    </xf>
    <xf numFmtId="0" fontId="32" fillId="10" borderId="5" applyAlignment="1" pivotButton="0" quotePrefix="0" xfId="0">
      <alignment horizontal="center" vertical="center"/>
    </xf>
    <xf numFmtId="2" fontId="21" fillId="0" borderId="5" applyAlignment="1" pivotButton="0" quotePrefix="0" xfId="0">
      <alignment horizontal="center" vertical="center"/>
    </xf>
    <xf numFmtId="0" fontId="43" fillId="0" borderId="5" applyAlignment="1" pivotButton="0" quotePrefix="0" xfId="0">
      <alignment horizontal="left" vertical="center"/>
    </xf>
    <xf numFmtId="0" fontId="13" fillId="3" borderId="5" applyAlignment="1" pivotButton="0" quotePrefix="0" xfId="0">
      <alignment horizontal="center" vertical="center"/>
    </xf>
    <xf numFmtId="0" fontId="30" fillId="7" borderId="10" applyAlignment="1" pivotButton="0" quotePrefix="0" xfId="0">
      <alignment horizontal="center" vertical="center"/>
    </xf>
    <xf numFmtId="0" fontId="30" fillId="4" borderId="10" applyAlignment="1" pivotButton="0" quotePrefix="0" xfId="0">
      <alignment horizontal="center" vertical="center"/>
    </xf>
    <xf numFmtId="0" fontId="30" fillId="8" borderId="10" applyAlignment="1" pivotButton="0" quotePrefix="0" xfId="0">
      <alignment horizontal="center" vertical="center"/>
    </xf>
    <xf numFmtId="0" fontId="30" fillId="13" borderId="10" applyAlignment="1" pivotButton="0" quotePrefix="0" xfId="0">
      <alignment horizontal="center" vertical="center"/>
    </xf>
    <xf numFmtId="164" fontId="31" fillId="10" borderId="10" applyAlignment="1" pivotButton="0" quotePrefix="0" xfId="0">
      <alignment horizontal="center" vertical="center"/>
    </xf>
    <xf numFmtId="0" fontId="14" fillId="10" borderId="10" applyAlignment="1" pivotButton="0" quotePrefix="0" xfId="0">
      <alignment horizontal="center" vertical="center"/>
    </xf>
    <xf numFmtId="0" fontId="30" fillId="9" borderId="10" applyAlignment="1" pivotButton="0" quotePrefix="0" xfId="0">
      <alignment horizontal="center" vertical="center"/>
    </xf>
    <xf numFmtId="0" fontId="30" fillId="14" borderId="10" applyAlignment="1" pivotButton="0" quotePrefix="0" xfId="0">
      <alignment horizontal="center" vertical="center"/>
    </xf>
    <xf numFmtId="165" fontId="31" fillId="10" borderId="10" applyAlignment="1" pivotButton="0" quotePrefix="0" xfId="0">
      <alignment horizontal="center" vertical="center"/>
    </xf>
    <xf numFmtId="0" fontId="30" fillId="6" borderId="10" applyAlignment="1" pivotButton="0" quotePrefix="0" xfId="0">
      <alignment horizontal="center" vertical="center"/>
    </xf>
    <xf numFmtId="0" fontId="30" fillId="15" borderId="10" applyAlignment="1" pivotButton="0" quotePrefix="0" xfId="0">
      <alignment horizontal="center" vertical="center"/>
    </xf>
    <xf numFmtId="169" fontId="31" fillId="10" borderId="10" applyAlignment="1" pivotButton="0" quotePrefix="0" xfId="0">
      <alignment horizontal="center" vertical="center"/>
    </xf>
    <xf numFmtId="0" fontId="31" fillId="10" borderId="10" applyAlignment="1" pivotButton="0" quotePrefix="0" xfId="0">
      <alignment horizontal="center" vertical="center"/>
    </xf>
    <xf numFmtId="1" fontId="31" fillId="10" borderId="10" applyAlignment="1" pivotButton="0" quotePrefix="0" xfId="0">
      <alignment horizontal="center" vertical="center"/>
    </xf>
    <xf numFmtId="0" fontId="10" fillId="0" borderId="0" pivotButton="0" quotePrefix="0" xfId="0"/>
    <xf numFmtId="0" fontId="70" fillId="0" borderId="0" applyAlignment="1" pivotButton="0" quotePrefix="0" xfId="0">
      <alignment vertical="top" wrapText="1"/>
    </xf>
    <xf numFmtId="0" fontId="53" fillId="0" borderId="0" applyAlignment="1" pivotButton="0" quotePrefix="0" xfId="0">
      <alignment horizontal="right" vertical="center"/>
    </xf>
    <xf numFmtId="1" fontId="26" fillId="20" borderId="5" applyAlignment="1" pivotButton="0" quotePrefix="0" xfId="0">
      <alignment horizontal="center" vertical="center"/>
    </xf>
    <xf numFmtId="0" fontId="0" fillId="20" borderId="5" pivotButton="0" quotePrefix="0" xfId="0"/>
    <xf numFmtId="0" fontId="71" fillId="20" borderId="5" applyAlignment="1" pivotButton="0" quotePrefix="0" xfId="0">
      <alignment horizontal="center" vertical="center"/>
    </xf>
    <xf numFmtId="1" fontId="14" fillId="0" borderId="0" applyAlignment="1" pivotButton="0" quotePrefix="0" xfId="0">
      <alignment horizontal="center" vertical="center"/>
    </xf>
    <xf numFmtId="0" fontId="72" fillId="0" borderId="0" applyAlignment="1" pivotButton="0" quotePrefix="0" xfId="0">
      <alignment horizontal="left" vertical="center" indent="1"/>
    </xf>
    <xf numFmtId="0" fontId="73" fillId="0" borderId="0" applyAlignment="1" pivotButton="0" quotePrefix="0" xfId="0">
      <alignment horizontal="right" vertical="center"/>
    </xf>
    <xf numFmtId="0" fontId="74" fillId="21" borderId="5" applyAlignment="1" pivotButton="0" quotePrefix="0" xfId="0">
      <alignment horizontal="center" vertical="center"/>
    </xf>
    <xf numFmtId="0" fontId="0" fillId="21" borderId="5" pivotButton="0" quotePrefix="0" xfId="0"/>
    <xf numFmtId="0" fontId="75" fillId="22" borderId="5" applyAlignment="1" pivotButton="0" quotePrefix="0" xfId="0">
      <alignment horizontal="center" vertical="center"/>
    </xf>
    <xf numFmtId="0" fontId="0" fillId="22" borderId="5" pivotButton="0" quotePrefix="0" xfId="0"/>
    <xf numFmtId="0" fontId="76" fillId="23" borderId="5" applyAlignment="1" pivotButton="0" quotePrefix="0" xfId="0">
      <alignment horizontal="center" vertical="center"/>
    </xf>
    <xf numFmtId="0" fontId="0" fillId="23" borderId="5" pivotButton="0" quotePrefix="0" xfId="0"/>
    <xf numFmtId="0" fontId="77" fillId="24" borderId="5" applyAlignment="1" pivotButton="0" quotePrefix="0" xfId="0">
      <alignment horizontal="center" vertical="center"/>
    </xf>
    <xf numFmtId="0" fontId="0" fillId="24" borderId="5" pivotButton="0" quotePrefix="0" xfId="0"/>
    <xf numFmtId="0" fontId="78" fillId="25" borderId="5" applyAlignment="1" pivotButton="0" quotePrefix="0" xfId="0">
      <alignment horizontal="center" vertical="center"/>
    </xf>
    <xf numFmtId="0" fontId="0" fillId="25" borderId="5" pivotButton="0" quotePrefix="0" xfId="0"/>
    <xf numFmtId="0" fontId="49" fillId="26" borderId="5" applyAlignment="1" pivotButton="0" quotePrefix="0" xfId="0">
      <alignment horizontal="center" vertical="center"/>
    </xf>
    <xf numFmtId="0" fontId="0" fillId="26" borderId="5" pivotButton="0" quotePrefix="0" xfId="0"/>
    <xf numFmtId="0" fontId="49" fillId="28" borderId="5" applyAlignment="1" pivotButton="0" quotePrefix="0" xfId="0">
      <alignment horizontal="center" vertical="center"/>
    </xf>
    <xf numFmtId="0" fontId="0" fillId="28" borderId="5" pivotButton="0" quotePrefix="0" xfId="0"/>
    <xf numFmtId="0" fontId="49" fillId="29" borderId="5" applyAlignment="1" pivotButton="0" quotePrefix="0" xfId="0">
      <alignment horizontal="center" vertical="center"/>
    </xf>
    <xf numFmtId="0" fontId="0" fillId="29" borderId="5" pivotButton="0" quotePrefix="0" xfId="0"/>
    <xf numFmtId="0" fontId="49" fillId="30" borderId="5" applyAlignment="1" pivotButton="0" quotePrefix="0" xfId="0">
      <alignment horizontal="center" vertical="center"/>
    </xf>
    <xf numFmtId="0" fontId="0" fillId="30" borderId="5" pivotButton="0" quotePrefix="0" xfId="0"/>
    <xf numFmtId="1" fontId="79" fillId="27" borderId="5" applyAlignment="1" pivotButton="0" quotePrefix="0" xfId="0">
      <alignment horizontal="center" vertical="center"/>
    </xf>
    <xf numFmtId="0" fontId="0" fillId="27" borderId="5" pivotButton="0" quotePrefix="0" xfId="0"/>
    <xf numFmtId="172" fontId="79" fillId="27" borderId="5" applyAlignment="1" pivotButton="0" quotePrefix="0" xfId="0">
      <alignment horizontal="center" vertical="center"/>
    </xf>
    <xf numFmtId="0" fontId="80" fillId="27" borderId="5" applyAlignment="1" pivotButton="0" quotePrefix="0" xfId="0">
      <alignment horizontal="center" vertical="center"/>
    </xf>
    <xf numFmtId="0" fontId="53" fillId="0" borderId="0" applyAlignment="1" pivotButton="0" quotePrefix="0" xfId="0">
      <alignment vertical="center"/>
    </xf>
    <xf numFmtId="0" fontId="81" fillId="31" borderId="5" applyAlignment="1" pivotButton="0" quotePrefix="0" xfId="0">
      <alignment horizontal="left" vertical="center" indent="1"/>
    </xf>
    <xf numFmtId="0" fontId="0" fillId="31" borderId="5" pivotButton="0" quotePrefix="0" xfId="0"/>
    <xf numFmtId="0" fontId="82" fillId="31" borderId="5" applyAlignment="1" pivotButton="0" quotePrefix="0" xfId="0">
      <alignment horizontal="right" vertical="center" indent="1"/>
    </xf>
    <xf numFmtId="0" fontId="12" fillId="26" borderId="5" applyAlignment="1" pivotButton="0" quotePrefix="0" xfId="0">
      <alignment horizontal="center" vertical="center"/>
    </xf>
    <xf numFmtId="179" fontId="83" fillId="0" borderId="5" applyAlignment="1" pivotButton="0" quotePrefix="0" xfId="0">
      <alignment horizontal="center" vertical="center"/>
    </xf>
    <xf numFmtId="179" fontId="83" fillId="32" borderId="5" applyAlignment="1" pivotButton="0" quotePrefix="0" xfId="0">
      <alignment horizontal="center" vertical="center"/>
    </xf>
    <xf numFmtId="0" fontId="12" fillId="31" borderId="0" applyAlignment="1" pivotButton="0" quotePrefix="0" xfId="0">
      <alignment vertical="center" indent="1"/>
    </xf>
    <xf numFmtId="0" fontId="0" fillId="31" borderId="0" pivotButton="0" quotePrefix="0" xfId="0"/>
    <xf numFmtId="0" fontId="12" fillId="31" borderId="5" applyAlignment="1" pivotButton="0" quotePrefix="0" xfId="0">
      <alignment horizontal="left" vertical="center" indent="1"/>
    </xf>
    <xf numFmtId="0" fontId="84" fillId="31" borderId="5" applyAlignment="1" pivotButton="0" quotePrefix="0" xfId="0">
      <alignment horizontal="right" vertical="center" indent="1"/>
    </xf>
    <xf numFmtId="179" fontId="85" fillId="0" borderId="5" applyAlignment="1" pivotButton="0" quotePrefix="0" xfId="0">
      <alignment horizontal="center" vertical="center"/>
    </xf>
    <xf numFmtId="179" fontId="85" fillId="32" borderId="5" applyAlignment="1" pivotButton="0" quotePrefix="0" xfId="0">
      <alignment horizontal="center" vertical="center"/>
    </xf>
    <xf numFmtId="0" fontId="18" fillId="26" borderId="5" applyAlignment="1" pivotButton="0" quotePrefix="0" xfId="0">
      <alignment horizontal="center" vertical="center" wrapText="1"/>
    </xf>
    <xf numFmtId="0" fontId="80" fillId="0" borderId="0" pivotButton="0" quotePrefix="0" xfId="0"/>
    <xf numFmtId="172" fontId="24" fillId="20" borderId="5" applyAlignment="1" pivotButton="0" quotePrefix="0" xfId="0">
      <alignment horizontal="center" vertical="center"/>
    </xf>
    <xf numFmtId="180" fontId="24" fillId="20" borderId="5" applyAlignment="1" pivotButton="0" quotePrefix="0" xfId="0">
      <alignment horizontal="center" vertical="center"/>
    </xf>
    <xf numFmtId="1" fontId="24" fillId="20" borderId="5" applyAlignment="1" pivotButton="0" quotePrefix="0" xfId="0">
      <alignment horizontal="center" vertical="center"/>
    </xf>
    <xf numFmtId="0" fontId="24" fillId="20" borderId="5" applyAlignment="1" pivotButton="0" quotePrefix="0" xfId="0">
      <alignment horizontal="left" vertical="center"/>
    </xf>
    <xf numFmtId="0" fontId="24" fillId="20" borderId="5" applyAlignment="1" pivotButton="0" quotePrefix="0" xfId="0">
      <alignment horizontal="center" vertical="center"/>
    </xf>
    <xf numFmtId="0" fontId="86" fillId="0" borderId="5" applyAlignment="1" pivotButton="0" quotePrefix="0" xfId="0">
      <alignment horizontal="center" vertical="center"/>
    </xf>
    <xf numFmtId="172" fontId="70" fillId="0" borderId="0" pivotButton="0" quotePrefix="0" xfId="0"/>
    <xf numFmtId="0" fontId="53" fillId="0" borderId="0" pivotButton="0" quotePrefix="0" xfId="0"/>
    <xf numFmtId="164" fontId="13" fillId="11" borderId="5" applyAlignment="1" pivotButton="0" quotePrefix="0" xfId="0">
      <alignment horizontal="left" vertical="center"/>
    </xf>
    <xf numFmtId="0" fontId="13" fillId="3" borderId="10" applyAlignment="1" pivotButton="0" quotePrefix="0" xfId="0">
      <alignment horizontal="center" vertical="center"/>
    </xf>
    <xf numFmtId="0" fontId="0" fillId="0" borderId="3" pivotButton="0" quotePrefix="0" xfId="0"/>
    <xf numFmtId="0" fontId="30" fillId="6" borderId="5" applyAlignment="1" pivotButton="0" quotePrefix="0" xfId="0">
      <alignment horizontal="center" vertical="center"/>
    </xf>
    <xf numFmtId="0" fontId="30" fillId="15" borderId="5" applyAlignment="1" pivotButton="0" quotePrefix="0" xfId="0">
      <alignment horizontal="center" vertical="center"/>
    </xf>
    <xf numFmtId="0" fontId="30" fillId="14" borderId="5" applyAlignment="1" pivotButton="0" quotePrefix="0" xfId="0">
      <alignment horizontal="center" vertical="center"/>
    </xf>
    <xf numFmtId="0" fontId="30" fillId="13" borderId="5" applyAlignment="1" pivotButton="0" quotePrefix="0" xfId="0">
      <alignment horizontal="center" vertical="center"/>
    </xf>
    <xf numFmtId="1" fontId="31" fillId="10" borderId="5" applyAlignment="1" pivotButton="0" quotePrefix="0" xfId="0">
      <alignment horizontal="center" vertical="center"/>
    </xf>
    <xf numFmtId="165" fontId="31" fillId="10" borderId="5" applyAlignment="1" pivotButton="0" quotePrefix="0" xfId="0">
      <alignment horizontal="center" vertical="center"/>
    </xf>
    <xf numFmtId="0" fontId="13" fillId="17" borderId="10" applyAlignment="1" pivotButton="0" quotePrefix="0" xfId="0">
      <alignment horizontal="center" vertical="center"/>
    </xf>
    <xf numFmtId="0" fontId="0" fillId="0" borderId="11" pivotButton="0" quotePrefix="0" xfId="0"/>
    <xf numFmtId="0" fontId="56" fillId="0" borderId="1" applyAlignment="1" pivotButton="0" quotePrefix="0" xfId="0">
      <alignment horizontal="left" vertical="center"/>
    </xf>
    <xf numFmtId="0" fontId="57" fillId="0" borderId="1" applyAlignment="1" pivotButton="0" quotePrefix="0" xfId="0">
      <alignment horizontal="left" vertical="center"/>
    </xf>
    <xf numFmtId="0" fontId="21" fillId="5" borderId="10" applyAlignment="1" pivotButton="0" quotePrefix="0" xfId="0">
      <alignment vertical="center" wrapText="1"/>
    </xf>
  </cellXfs>
  <cellStyles count="1">
    <cellStyle name="Normal" xfId="0" builtinId="0"/>
  </cellStyles>
  <dxfs count="27">
    <dxf>
      <font>
        <b val="1"/>
        <color rgb="FFB00020"/>
      </font>
      <fill>
        <patternFill patternType="solid">
          <fgColor rgb="FFFDE0E0"/>
          <bgColor rgb="FFFDE0E0"/>
        </patternFill>
      </fill>
      <border/>
    </dxf>
    <dxf>
      <font>
        <color rgb="FF1E7A34"/>
      </font>
      <fill>
        <patternFill patternType="solid">
          <fgColor rgb="FFE3F4E6"/>
          <bgColor rgb="FFE3F4E6"/>
        </patternFill>
      </fill>
      <border/>
    </dxf>
    <dxf>
      <font/>
      <fill>
        <patternFill patternType="solid">
          <fgColor rgb="FFFFF1D6"/>
          <bgColor rgb="FFFFF1D6"/>
        </patternFill>
      </fill>
      <border/>
    </dxf>
    <dxf>
      <font/>
      <fill>
        <patternFill patternType="solid">
          <fgColor rgb="FFFFD7D9"/>
          <bgColor rgb="FFFFD7D9"/>
        </patternFill>
      </fill>
      <border/>
    </dxf>
    <dxf>
      <font/>
      <fill>
        <patternFill patternType="solid">
          <fgColor rgb="FFFFE8CC"/>
          <bgColor rgb="FFFFE8CC"/>
        </patternFill>
      </fill>
      <border/>
    </dxf>
    <dxf>
      <font>
        <name val="Arial"/>
        <strike val="1"/>
        <color rgb="FF9AA7B4"/>
        <sz val="10"/>
      </font>
      <fill>
        <patternFill/>
      </fill>
      <border/>
    </dxf>
    <dxf>
      <font/>
      <fill>
        <patternFill patternType="solid">
          <fgColor rgb="FFFFF2CC"/>
          <bgColor rgb="FFFFF2CC"/>
        </patternFill>
      </fill>
      <border/>
    </dxf>
    <dxf>
      <font/>
      <fill>
        <patternFill patternType="solid">
          <fgColor rgb="FFFFEBED"/>
          <bgColor rgb="FFFFEBED"/>
        </patternFill>
      </fill>
      <border/>
    </dxf>
    <dxf>
      <font>
        <name val="Arial"/>
        <b val="1"/>
        <color rgb="FFC00000"/>
        <sz val="10"/>
      </font>
      <fill>
        <patternFill/>
      </fill>
      <border/>
    </dxf>
    <dxf>
      <font>
        <name val="Arial"/>
        <color rgb="FFC00000"/>
        <sz val="10"/>
      </font>
      <fill>
        <patternFill/>
      </fill>
      <border/>
    </dxf>
    <dxf>
      <font/>
      <fill>
        <patternFill patternType="solid">
          <fgColor rgb="FFE3F4E6"/>
          <bgColor rgb="FFE3F4E6"/>
        </patternFill>
      </fill>
      <border/>
    </dxf>
    <dxf>
      <font/>
      <fill>
        <patternFill patternType="solid">
          <fgColor rgb="FFFDE0E0"/>
          <bgColor rgb="FFFDE0E0"/>
        </patternFill>
      </fill>
      <border/>
    </dxf>
    <dxf>
      <font>
        <b val="1"/>
        <color rgb="FF1E7A34"/>
      </font>
      <fill>
        <patternFill patternType="solid">
          <fgColor rgb="FFE3F4E6"/>
          <bgColor rgb="FFE3F4E6"/>
        </patternFill>
      </fill>
      <border/>
    </dxf>
    <dxf>
      <font/>
      <fill>
        <patternFill patternType="solid">
          <fgColor rgb="FFEDF8F1"/>
          <bgColor rgb="FFEDF8F1"/>
        </patternFill>
      </fill>
      <border/>
    </dxf>
    <dxf>
      <font/>
      <fill>
        <patternFill patternType="solid">
          <fgColor rgb="FFDDF3E4"/>
          <bgColor rgb="FFDDF3E4"/>
        </patternFill>
      </fill>
      <border/>
    </dxf>
    <dxf>
      <font>
        <name val="Arial"/>
        <b val="1"/>
        <color rgb="FF9B1C21"/>
      </font>
      <fill>
        <patternFill patternType="solid">
          <fgColor rgb="FFFDD8DB"/>
          <bgColor rgb="FFFDD8DB"/>
        </patternFill>
      </fill>
    </dxf>
    <dxf>
      <font>
        <name val="Arial"/>
        <b val="1"/>
        <color rgb="FF8A5A12"/>
      </font>
      <fill>
        <patternFill patternType="solid">
          <fgColor rgb="FFFDE7C9"/>
          <bgColor rgb="FFFDE7C9"/>
        </patternFill>
      </fill>
    </dxf>
    <dxf>
      <font>
        <name val="Arial"/>
        <b val="1"/>
        <color rgb="FF1B4F86"/>
      </font>
      <fill>
        <patternFill patternType="solid">
          <fgColor rgb="FFD9E9FB"/>
          <bgColor rgb="FFD9E9FB"/>
        </patternFill>
      </fill>
    </dxf>
    <dxf>
      <font>
        <name val="Arial"/>
        <b val="1"/>
        <color rgb="FF13563F"/>
      </font>
      <fill>
        <patternFill patternType="solid">
          <fgColor rgb="FFD9F0E7"/>
          <bgColor rgb="FFD9F0E7"/>
        </patternFill>
      </fill>
    </dxf>
    <dxf>
      <font>
        <name val="Arial"/>
        <b val="1"/>
        <color rgb="FF3D4A5A"/>
      </font>
      <fill>
        <patternFill patternType="solid">
          <fgColor rgb="FFE8ECF1"/>
          <bgColor rgb="FFE8ECF1"/>
        </patternFill>
      </fill>
    </dxf>
    <dxf>
      <font>
        <name val="Arial"/>
        <b val="1"/>
        <color rgb="FF0F2942"/>
        <u val="single"/>
      </font>
      <border>
        <left style="medium">
          <color rgb="FF0F2942"/>
        </left>
        <right style="medium">
          <color rgb="FF0F2942"/>
        </right>
        <top style="medium">
          <color rgb="FF0F2942"/>
        </top>
        <bottom style="medium">
          <color rgb="FF0F2942"/>
        </bottom>
      </border>
    </dxf>
    <dxf>
      <font>
        <name val="Arial"/>
        <b val="1"/>
        <color rgb="FF9B1C21"/>
        <sz val="9"/>
      </font>
      <fill>
        <patternFill patternType="solid">
          <fgColor rgb="FFFDD8DB"/>
          <bgColor rgb="FFFDD8DB"/>
        </patternFill>
      </fill>
    </dxf>
    <dxf>
      <font>
        <name val="Arial"/>
        <b val="1"/>
        <color rgb="FF8A5A12"/>
        <sz val="9"/>
      </font>
      <fill>
        <patternFill patternType="solid">
          <fgColor rgb="FFFDE7C9"/>
          <bgColor rgb="FFFDE7C9"/>
        </patternFill>
      </fill>
    </dxf>
    <dxf>
      <font>
        <name val="Arial"/>
        <b val="1"/>
        <color rgb="FF1B4F86"/>
        <sz val="9"/>
      </font>
      <fill>
        <patternFill patternType="solid">
          <fgColor rgb="FFD9E9FB"/>
          <bgColor rgb="FFD9E9FB"/>
        </patternFill>
      </fill>
    </dxf>
    <dxf>
      <font>
        <name val="Arial"/>
        <b val="1"/>
        <color rgb="FF13563F"/>
        <sz val="9"/>
      </font>
      <fill>
        <patternFill patternType="solid">
          <fgColor rgb="FFD9F0E7"/>
          <bgColor rgb="FFD9F0E7"/>
        </patternFill>
      </fill>
    </dxf>
    <dxf>
      <font>
        <name val="Arial"/>
        <strike val="1"/>
        <color rgb="FFAAB4C0"/>
        <sz val="9"/>
      </font>
    </dxf>
    <dxf>
      <fill>
        <patternFill patternType="solid">
          <fgColor rgb="FFFFEBED"/>
          <bgColor rgb="FFFFEBE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A dónde va cada euro de tu ingreso</a:t>
            </a:r>
          </a:p>
        </rich>
      </tx>
      <overlay val="0"/>
    </title>
    <plotArea>
      <layout/>
      <pieChart>
        <varyColors val="1"/>
        <ser>
          <idx val="0"/>
          <order val="0"/>
          <tx>
            <strRef>
              <f>Panel!$L$8</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5"/>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showLegendKey val="0"/>
            <showVal val="0"/>
            <showCatName val="0"/>
            <showSerName val="0"/>
            <showPercent val="0"/>
            <showBubbleSize val="0"/>
            <showLeaderLines val="1"/>
          </dLbls>
          <cat>
            <strRef>
              <f>Panel!$K$9:$K$14</f>
            </strRef>
          </cat>
          <val>
            <numRef>
              <f>Panel!$L$9:$L$14</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Comparativa de escenarios (€/mes)</a:t>
            </a:r>
          </a:p>
        </rich>
      </tx>
      <overlay val="0"/>
    </title>
    <plotArea>
      <layout/>
      <barChart>
        <barDir val="col"/>
        <grouping val="clustered"/>
        <ser>
          <idx val="0"/>
          <order val="0"/>
          <tx>
            <v>Te queda</v>
          </tx>
          <spPr>
            <a:solidFill xmlns:a="http://schemas.openxmlformats.org/drawingml/2006/main">
              <a:srgbClr val="4F81BD"/>
            </a:solidFill>
            <a:ln xmlns:a="http://schemas.openxmlformats.org/drawingml/2006/main" cmpd="sng">
              <a:noFill/>
              <a:prstDash val="solid"/>
            </a:ln>
          </spPr>
          <cat>
            <strRef>
              <f>Panel!$K$19:$K$23</f>
            </strRef>
          </cat>
          <val>
            <numRef>
              <f>Panel!$L$19:$L$23</f>
              <numCache/>
            </numRef>
          </val>
        </ser>
        <ser>
          <idx val="1"/>
          <order val="1"/>
          <tx>
            <v>Ahorro</v>
          </tx>
          <spPr>
            <a:solidFill xmlns:a="http://schemas.openxmlformats.org/drawingml/2006/main">
              <a:srgbClr val="C0504D"/>
            </a:solidFill>
            <a:ln xmlns:a="http://schemas.openxmlformats.org/drawingml/2006/main" cmpd="sng">
              <a:noFill/>
              <a:prstDash val="solid"/>
            </a:ln>
          </spPr>
          <cat>
            <strRef>
              <f>Panel!$K$19:$K$23</f>
            </strRef>
          </cat>
          <val>
            <numRef>
              <f>Panel!$M$19:$M$23</f>
              <numCache/>
            </numRef>
          </val>
        </ser>
        <ser>
          <idx val="2"/>
          <order val="2"/>
          <tx>
            <v>Superávit hogar</v>
          </tx>
          <spPr>
            <a:solidFill xmlns:a="http://schemas.openxmlformats.org/drawingml/2006/main">
              <a:srgbClr val="9BBB59"/>
            </a:solidFill>
            <a:ln xmlns:a="http://schemas.openxmlformats.org/drawingml/2006/main" cmpd="sng">
              <a:noFill/>
              <a:prstDash val="solid"/>
            </a:ln>
          </spPr>
          <cat>
            <strRef>
              <f>Panel!$K$19:$K$23</f>
            </strRef>
          </cat>
          <val>
            <numRef>
              <f>Panel!$N$19:$N$23</f>
              <numCache/>
            </numRef>
          </val>
        </ser>
        <gapWidth val="150"/>
        <axId val="589205059"/>
        <axId val="1219760365"/>
      </barChart>
      <catAx>
        <axId val="589205059"/>
        <scaling>
          <orientation val="minMax"/>
        </scaling>
        <delete val="0"/>
        <axPos val="b"/>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19760365"/>
        <lblOffset val="100"/>
      </catAx>
      <valAx>
        <axId val="121976036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89205059"/>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Independencia financiera: dónde estás y a dónde vas</a:t>
            </a:r>
          </a:p>
        </rich>
      </tx>
      <overlay val="0"/>
    </title>
    <plotArea>
      <layout/>
      <barChart>
        <barDir val="bar"/>
        <grouping val="clustered"/>
        <ser>
          <idx val="0"/>
          <order val="0"/>
          <tx>
            <v>Importe (€)</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Panel!$K$27:$K$29</f>
            </strRef>
          </cat>
          <val>
            <numRef>
              <f>Panel!$L$27:$L$29</f>
              <numCache/>
            </numRef>
          </val>
        </ser>
        <gapWidth val="150"/>
        <axId val="1989803207"/>
        <axId val="809596647"/>
      </barChart>
      <catAx>
        <axId val="1989803207"/>
        <scaling>
          <orientation val="maxMin"/>
        </scaling>
        <delete val="0"/>
        <axPos val="l"/>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09596647"/>
        <lblOffset val="100"/>
      </catAx>
      <valAx>
        <axId val="809596647"/>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89803207"/>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Estructura del balance (€)</a:t>
            </a:r>
          </a:p>
        </rich>
      </tx>
      <overlay val="0"/>
    </title>
    <plotArea>
      <layout/>
      <barChart>
        <barDir val="col"/>
        <grouping val="clustered"/>
        <ser>
          <idx val="0"/>
          <order val="0"/>
          <tx>
            <v>€</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Balance!$I$8:$I$12</f>
            </strRef>
          </cat>
          <val>
            <numRef>
              <f>Balance!$J$8:$J$12</f>
              <numCache/>
            </numRef>
          </val>
        </ser>
        <gapWidth val="150"/>
        <axId val="1602048846"/>
        <axId val="1367832139"/>
      </barChart>
      <catAx>
        <axId val="1602048846"/>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67832139"/>
        <lblOffset val="100"/>
      </catAx>
      <valAx>
        <axId val="1367832139"/>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02048846"/>
      </valAx>
    </plotArea>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De qué está hecho tu activo</a:t>
            </a:r>
          </a:p>
        </rich>
      </tx>
      <overlay val="0"/>
    </title>
    <plotArea>
      <layout/>
      <pieChart>
        <varyColors val="1"/>
        <ser>
          <idx val="0"/>
          <order val="0"/>
          <tx>
            <strRef>
              <f>Balance!$J$28</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showLegendKey val="0"/>
            <showVal val="0"/>
            <showCatName val="0"/>
            <showSerName val="0"/>
            <showPercent val="0"/>
            <showBubbleSize val="0"/>
            <showLeaderLines val="1"/>
          </dLbls>
          <cat>
            <strRef>
              <f>Balance!$I$29:$I$34</f>
            </strRef>
          </cat>
          <val>
            <numRef>
              <f>Balance!$J$29:$J$34</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Saldo pendiente por categoría (€)</a:t>
            </a:r>
          </a:p>
        </rich>
      </tx>
      <overlay val="0"/>
    </title>
    <plotArea>
      <layout/>
      <barChart>
        <barDir val="bar"/>
        <grouping val="clustered"/>
        <ser>
          <idx val="0"/>
          <order val="0"/>
          <spPr>
            <a:ln xmlns:a="http://schemas.openxmlformats.org/drawingml/2006/main">
              <a:prstDash val="solid"/>
            </a:ln>
          </spPr>
          <cat>
            <strRef>
              <f>Facturas!$R$6:$R$19</f>
            </strRef>
          </cat>
          <val>
            <numRef>
              <f>Facturas!$S$6:$S$19</f>
              <numCache/>
            </numRef>
          </val>
        </ser>
        <gapWidth val="150"/>
        <axId val="693774113"/>
        <axId val="1554294294"/>
      </barChart>
      <catAx>
        <axId val="693774113"/>
        <scaling>
          <orientation val="maxMin"/>
        </scaling>
        <delete val="0"/>
        <axPos val="l"/>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54294294"/>
        <lblOffset val="100"/>
      </catAx>
      <valAx>
        <axId val="1554294294"/>
        <scaling>
          <orientation val="minMax"/>
        </scaling>
        <delete val="0"/>
        <axPos val="b"/>
        <majorTickMark val="none"/>
        <minorTickMark val="none"/>
        <tickLblPos val="nextTo"/>
        <spPr>
          <a:ln xmlns:a="http://schemas.openxmlformats.org/drawingml/2006/main">
            <a:noFill/>
            <a:prstDash val="solid"/>
          </a:ln>
        </spPr>
        <crossAx val="693774113"/>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Vencimientos por mes: saldo pendiente vs ya abonado (€)</a:t>
            </a:r>
          </a:p>
        </rich>
      </tx>
      <overlay val="0"/>
    </title>
    <plotArea>
      <layout/>
      <barChart>
        <barDir val="col"/>
        <grouping val="clustered"/>
        <ser>
          <idx val="0"/>
          <order val="0"/>
          <spPr>
            <a:ln xmlns:a="http://schemas.openxmlformats.org/drawingml/2006/main">
              <a:prstDash val="solid"/>
            </a:ln>
          </spPr>
          <cat>
            <strRef>
              <f>Facturas!$R$40:$R$51</f>
            </strRef>
          </cat>
          <val>
            <numRef>
              <f>Facturas!$S$40:$S$51</f>
              <numCache/>
            </numRef>
          </val>
        </ser>
        <ser>
          <idx val="1"/>
          <order val="1"/>
          <spPr>
            <a:ln xmlns:a="http://schemas.openxmlformats.org/drawingml/2006/main">
              <a:prstDash val="solid"/>
            </a:ln>
          </spPr>
          <cat>
            <strRef>
              <f>Facturas!$R$40:$R$51</f>
            </strRef>
          </cat>
          <val>
            <numRef>
              <f>Facturas!$U$40:$U$51</f>
              <numCache/>
            </numRef>
          </val>
        </ser>
        <gapWidth val="150"/>
        <axId val="759022040"/>
        <axId val="125659400"/>
      </barChart>
      <catAx>
        <axId val="759022040"/>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5659400"/>
        <lblOffset val="100"/>
      </catAx>
      <valAx>
        <axId val="125659400"/>
        <scaling>
          <orientation val="minMax"/>
        </scaling>
        <delete val="0"/>
        <axPos val="l"/>
        <majorTickMark val="none"/>
        <minorTickMark val="none"/>
        <tickLblPos val="nextTo"/>
        <spPr>
          <a:ln xmlns:a="http://schemas.openxmlformats.org/drawingml/2006/main">
            <a:noFill/>
            <a:prstDash val="solid"/>
          </a:ln>
        </spPr>
        <crossAx val="759022040"/>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Saldo priorizado por nivel de urgencia (€)</a:t>
            </a:r>
          </a:p>
        </rich>
      </tx>
      <overlay val="0"/>
    </title>
    <plotArea>
      <layout/>
      <barChart>
        <barDir val="col"/>
        <grouping val="clustered"/>
        <ser>
          <idx val="0"/>
          <order val="0"/>
          <tx>
            <v>Saldo (€)</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Prioridad!$B$50:$B$53</f>
            </strRef>
          </cat>
          <val>
            <numRef>
              <f>Prioridad!$D$50:$D$53</f>
              <numCache/>
            </numRef>
          </val>
        </ser>
        <gapWidth val="150"/>
        <axId val="1255904450"/>
        <axId val="1963026165"/>
      </barChart>
      <catAx>
        <axId val="1255904450"/>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63026165"/>
        <lblOffset val="100"/>
      </catAx>
      <valAx>
        <axId val="196302616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559044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Dónde está tu dinero disponible</a:t>
            </a:r>
          </a:p>
        </rich>
      </tx>
      <overlay val="0"/>
    </title>
    <plotArea>
      <layout/>
      <pieChart>
        <varyColors val="1"/>
        <ser>
          <idx val="0"/>
          <order val="0"/>
          <tx>
            <strRef>
              <f>Disponibilidad!$G$47</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showLegendKey val="0"/>
            <showVal val="0"/>
            <showCatName val="0"/>
            <showSerName val="0"/>
            <showPercent val="0"/>
            <showBubbleSize val="0"/>
            <showLeaderLines val="1"/>
          </dLbls>
          <cat>
            <strRef>
              <f>Disponibilidad!$B$48:$B$52</f>
            </strRef>
          </cat>
          <val>
            <numRef>
              <f>Disponibilidad!$G$48:$G$52</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Disponible neto por cuenta (€)</a:t>
            </a:r>
          </a:p>
        </rich>
      </tx>
      <overlay val="0"/>
    </title>
    <plotArea>
      <layout/>
      <barChart>
        <barDir val="bar"/>
        <grouping val="clustered"/>
        <ser>
          <idx val="0"/>
          <order val="0"/>
          <tx>
            <v>DISPONIBLE
NETO (€)</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Disponibilidad!$B$6:$B$18</f>
            </strRef>
          </cat>
          <val>
            <numRef>
              <f>Disponibilidad!$J$6:$J$18</f>
              <numCache/>
            </numRef>
          </val>
        </ser>
        <gapWidth val="150"/>
        <axId val="827728093"/>
        <axId val="699357881"/>
      </barChart>
      <catAx>
        <axId val="827728093"/>
        <scaling>
          <orientation val="maxMin"/>
        </scaling>
        <delete val="0"/>
        <axPos val="l"/>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99357881"/>
        <lblOffset val="100"/>
      </catAx>
      <valAx>
        <axId val="699357881"/>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27728093"/>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Proyección del saldo disponible (30 días)</a:t>
            </a:r>
          </a:p>
        </rich>
      </tx>
      <overlay val="0"/>
    </title>
    <plotArea>
      <layout/>
      <lineChart>
        <grouping val="standard"/>
        <varyColors val="0"/>
        <ser>
          <idx val="0"/>
          <order val="0"/>
          <tx>
            <v>Saldo final</v>
          </tx>
          <spPr>
            <a:ln xmlns:a="http://schemas.openxmlformats.org/drawingml/2006/main" w="19050" cmpd="sng">
              <a:solidFill>
                <a:srgbClr val="2D7FF9"/>
              </a:solidFill>
              <a:prstDash val="solid"/>
            </a:ln>
          </spPr>
          <marker>
            <symbol val="none"/>
            <spPr>
              <a:ln xmlns:a="http://schemas.openxmlformats.org/drawingml/2006/main">
                <a:prstDash val="solid"/>
              </a:ln>
            </spPr>
          </marker>
          <cat>
            <strRef>
              <f>Tesoreria!$K$36:$K$65</f>
            </strRef>
          </cat>
          <val>
            <numRef>
              <f>Tesoreria!$P$36:$P$65</f>
              <numCache/>
            </numRef>
          </val>
          <smooth val="1"/>
        </ser>
        <axId val="242590967"/>
        <axId val="1159466866"/>
      </lineChart>
      <catAx>
        <axId val="242590967"/>
        <scaling>
          <orientation val="minMax"/>
        </scaling>
        <delete val="0"/>
        <axPos val="b"/>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159466866"/>
        <lblOffset val="100"/>
      </catAx>
      <valAx>
        <axId val="1159466866"/>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42590967"/>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Importe pendiente por tramo de urgencia (€)</a:t>
            </a:r>
          </a:p>
        </rich>
      </tx>
      <overlay val="0"/>
    </title>
    <plotArea>
      <layout/>
      <barChart>
        <barDir val="col"/>
        <grouping val="clustered"/>
        <ser>
          <idx val="0"/>
          <order val="0"/>
          <tx>
            <v>Importe (€)</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Tesoreria!$B$12:$B$15</f>
            </strRef>
          </cat>
          <val>
            <numRef>
              <f>Tesoreria!$C$12:$C$15</f>
              <numCache/>
            </numRef>
          </val>
        </ser>
        <gapWidth val="150"/>
        <axId val="2107177340"/>
        <axId val="1305157773"/>
      </barChart>
      <catAx>
        <axId val="2107177340"/>
        <scaling>
          <orientation val="minMax"/>
        </scaling>
        <delete val="0"/>
        <axPos val="b"/>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05157773"/>
        <lblOffset val="100"/>
      </catAx>
      <valAx>
        <axId val="1305157773"/>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10717734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Ingresos frente a gastos, mes a mes (€)</a:t>
            </a:r>
          </a:p>
        </rich>
      </tx>
      <overlay val="0"/>
    </title>
    <plotArea>
      <layout/>
      <barChart>
        <barDir val="col"/>
        <grouping val="clustered"/>
        <ser>
          <idx val="0"/>
          <order val="0"/>
          <tx>
            <v>INGRESOS (€)</v>
          </tx>
          <spPr>
            <a:solidFill xmlns:a="http://schemas.openxmlformats.org/drawingml/2006/main">
              <a:srgbClr val="4F81BD"/>
            </a:solidFill>
            <a:ln xmlns:a="http://schemas.openxmlformats.org/drawingml/2006/main" cmpd="sng">
              <a:noFill/>
              <a:prstDash val="solid"/>
            </a:ln>
          </spPr>
          <cat>
            <strRef>
              <f>Resultados!$B$60:$B$71</f>
            </strRef>
          </cat>
          <val>
            <numRef>
              <f>Resultados!$C$60:$C$71</f>
              <numCache/>
            </numRef>
          </val>
        </ser>
        <ser>
          <idx val="1"/>
          <order val="1"/>
          <tx>
            <v>GASTOS (€)</v>
          </tx>
          <spPr>
            <a:solidFill xmlns:a="http://schemas.openxmlformats.org/drawingml/2006/main">
              <a:srgbClr val="C0504D"/>
            </a:solidFill>
            <a:ln xmlns:a="http://schemas.openxmlformats.org/drawingml/2006/main" cmpd="sng">
              <a:noFill/>
              <a:prstDash val="solid"/>
            </a:ln>
          </spPr>
          <cat>
            <strRef>
              <f>Resultados!$B$60:$B$71</f>
            </strRef>
          </cat>
          <val>
            <numRef>
              <f>Resultados!$D$60:$D$71</f>
              <numCache/>
            </numRef>
          </val>
        </ser>
        <gapWidth val="150"/>
        <axId val="1873308907"/>
        <axId val="168092415"/>
      </barChart>
      <catAx>
        <axId val="1873308907"/>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8092415"/>
        <lblOffset val="100"/>
      </catAx>
      <valAx>
        <axId val="16809241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73308907"/>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Resultado mensual: cómo varía (€)</a:t>
            </a:r>
          </a:p>
        </rich>
      </tx>
      <overlay val="0"/>
    </title>
    <plotArea>
      <layout/>
      <lineChart>
        <grouping val="standard"/>
        <varyColors val="0"/>
        <ser>
          <idx val="0"/>
          <order val="0"/>
          <tx>
            <v>RESULTADO (€)</v>
          </tx>
          <spPr>
            <a:ln xmlns:a="http://schemas.openxmlformats.org/drawingml/2006/main" cmpd="sng">
              <a:solidFill>
                <a:srgbClr val="FFFFFF"/>
              </a:solidFill>
              <a:prstDash val="solid"/>
            </a:ln>
          </spPr>
          <marker>
            <symbol val="none"/>
            <spPr>
              <a:ln xmlns:a="http://schemas.openxmlformats.org/drawingml/2006/main">
                <a:prstDash val="solid"/>
              </a:ln>
            </spPr>
          </marker>
          <cat>
            <strRef>
              <f>Resultados!$B$60:$B$71</f>
            </strRef>
          </cat>
          <val>
            <numRef>
              <f>Resultados!$E$60:$E$71</f>
              <numCache/>
            </numRef>
          </val>
          <smooth val="1"/>
        </ser>
        <axId val="108937500"/>
        <axId val="982298871"/>
      </lineChart>
      <catAx>
        <axId val="108937500"/>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982298871"/>
        <lblOffset val="100"/>
      </catAx>
      <valAx>
        <axId val="98229887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893750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Tasa de ahorro mensual (%)</a:t>
            </a:r>
          </a:p>
        </rich>
      </tx>
      <overlay val="0"/>
    </title>
    <plotArea>
      <layout/>
      <lineChart>
        <grouping val="standard"/>
        <varyColors val="0"/>
        <ser>
          <idx val="0"/>
          <order val="0"/>
          <tx>
            <v>Tasa de
ahorro</v>
          </tx>
          <spPr>
            <a:ln xmlns:a="http://schemas.openxmlformats.org/drawingml/2006/main" cmpd="sng">
              <a:solidFill>
                <a:srgbClr val="FFFFFF"/>
              </a:solidFill>
              <a:prstDash val="solid"/>
            </a:ln>
          </spPr>
          <marker>
            <symbol val="none"/>
            <spPr>
              <a:ln xmlns:a="http://schemas.openxmlformats.org/drawingml/2006/main">
                <a:prstDash val="solid"/>
              </a:ln>
            </spPr>
          </marker>
          <cat>
            <strRef>
              <f>Resultados!$B$60:$B$71</f>
            </strRef>
          </cat>
          <val>
            <numRef>
              <f>Resultados!$H$60:$H$71</f>
              <numCache/>
            </numRef>
          </val>
          <smooth val="1"/>
        </ser>
        <axId val="1430913307"/>
        <axId val="1580578951"/>
      </lineChart>
      <catAx>
        <axId val="1430913307"/>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580578951"/>
        <lblOffset val="100"/>
      </catAx>
      <valAx>
        <axId val="1580578951"/>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430913307"/>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A dónde va el dinero del mes</a:t>
            </a:r>
          </a:p>
        </rich>
      </tx>
      <overlay val="0"/>
    </title>
    <plotArea>
      <layout/>
      <pieChart>
        <varyColors val="1"/>
        <ser>
          <idx val="0"/>
          <order val="0"/>
          <tx>
            <strRef>
              <f>Resultados!$N$7</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Pt>
            <idx val="3"/>
            <spPr>
              <a:solidFill xmlns:a="http://schemas.openxmlformats.org/drawingml/2006/main">
                <a:srgbClr val="8064A2"/>
              </a:solidFill>
              <a:ln xmlns:a="http://schemas.openxmlformats.org/drawingml/2006/main">
                <a:prstDash val="solid"/>
              </a:ln>
            </spPr>
          </dPt>
          <dPt>
            <idx val="4"/>
            <spPr>
              <a:solidFill xmlns:a="http://schemas.openxmlformats.org/drawingml/2006/main">
                <a:srgbClr val="4BACC6"/>
              </a:solidFill>
              <a:ln xmlns:a="http://schemas.openxmlformats.org/drawingml/2006/main">
                <a:prstDash val="solid"/>
              </a:ln>
            </spPr>
          </dPt>
          <dPt>
            <idx val="5"/>
            <spPr>
              <a:solidFill xmlns:a="http://schemas.openxmlformats.org/drawingml/2006/main">
                <a:srgbClr val="F79646"/>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5"/>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showLegendKey val="0"/>
            <showVal val="0"/>
            <showCatName val="0"/>
            <showSerName val="0"/>
            <showPercent val="0"/>
            <showBubbleSize val="0"/>
            <showLeaderLines val="1"/>
          </dLbls>
          <cat>
            <strRef>
              <f>Resultados!$M$8:$M$13</f>
            </strRef>
          </cat>
          <val>
            <numRef>
              <f>Resultados!$N$8:$N$13</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Tu economía frente a la del hogar (€/mes)</a:t>
            </a:r>
          </a:p>
        </rich>
      </tx>
      <overlay val="0"/>
    </title>
    <plotArea>
      <layout/>
      <barChart>
        <barDir val="col"/>
        <grouping val="clustered"/>
        <ser>
          <idx val="0"/>
          <order val="0"/>
          <tx>
            <v>Tú</v>
          </tx>
          <spPr>
            <a:solidFill xmlns:a="http://schemas.openxmlformats.org/drawingml/2006/main">
              <a:srgbClr val="4F81BD"/>
            </a:solidFill>
            <a:ln xmlns:a="http://schemas.openxmlformats.org/drawingml/2006/main" cmpd="sng">
              <a:noFill/>
              <a:prstDash val="solid"/>
            </a:ln>
          </spPr>
          <cat>
            <strRef>
              <f>Resultados!$M$37:$M$40</f>
            </strRef>
          </cat>
          <val>
            <numRef>
              <f>Resultados!$N$37:$N$40</f>
              <numCache/>
            </numRef>
          </val>
        </ser>
        <ser>
          <idx val="1"/>
          <order val="1"/>
          <tx>
            <v>Hogar</v>
          </tx>
          <spPr>
            <a:solidFill xmlns:a="http://schemas.openxmlformats.org/drawingml/2006/main">
              <a:srgbClr val="C0504D"/>
            </a:solidFill>
            <a:ln xmlns:a="http://schemas.openxmlformats.org/drawingml/2006/main" cmpd="sng">
              <a:noFill/>
              <a:prstDash val="solid"/>
            </a:ln>
          </spPr>
          <cat>
            <strRef>
              <f>Resultados!$M$37:$M$40</f>
            </strRef>
          </cat>
          <val>
            <numRef>
              <f>Resultados!$O$37:$O$40</f>
              <numCache/>
            </numRef>
          </val>
        </ser>
        <gapWidth val="150"/>
        <axId val="664627973"/>
        <axId val="827537147"/>
      </barChart>
      <catAx>
        <axId val="664627973"/>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827537147"/>
        <lblOffset val="100"/>
      </catAx>
      <valAx>
        <axId val="827537147"/>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64627973"/>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1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Saldo de caja proyectado a 12 meses (€)</a:t>
            </a:r>
          </a:p>
        </rich>
      </tx>
      <overlay val="0"/>
    </title>
    <plotArea>
      <layout/>
      <lineChart>
        <grouping val="standard"/>
        <varyColors val="0"/>
        <ser>
          <idx val="0"/>
          <order val="0"/>
          <tx>
            <v>Saldo de caja</v>
          </tx>
          <spPr>
            <a:ln xmlns:a="http://schemas.openxmlformats.org/drawingml/2006/main" cmpd="sng">
              <a:solidFill>
                <a:srgbClr val="FFFFFF"/>
              </a:solidFill>
              <a:prstDash val="solid"/>
            </a:ln>
          </spPr>
          <marker>
            <symbol val="none"/>
            <spPr>
              <a:ln xmlns:a="http://schemas.openxmlformats.org/drawingml/2006/main">
                <a:prstDash val="solid"/>
              </a:ln>
            </spPr>
          </marker>
          <cat>
            <strRef>
              <f>FlujoCaja!$B$43:$B$54</f>
            </strRef>
          </cat>
          <val>
            <numRef>
              <f>FlujoCaja!$G$43:$G$54</f>
              <numCache/>
            </numRef>
          </val>
          <smooth val="1"/>
        </ser>
        <axId val="493926710"/>
        <axId val="1945853745"/>
      </lineChart>
      <catAx>
        <axId val="493926710"/>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45853745"/>
        <lblOffset val="100"/>
      </catAx>
      <valAx>
        <axId val="1945853745"/>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49392671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1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Flujo de caja por actividad (€/mes)</a:t>
            </a:r>
          </a:p>
        </rich>
      </tx>
      <overlay val="0"/>
    </title>
    <plotArea>
      <layout/>
      <barChart>
        <barDir val="col"/>
        <grouping val="clustered"/>
        <ser>
          <idx val="0"/>
          <order val="0"/>
          <tx>
            <v>€/mes</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FlujoCaja!$K$7:$K$10</f>
            </strRef>
          </cat>
          <val>
            <numRef>
              <f>FlujoCaja!$L$7:$L$10</f>
              <numCache/>
            </numRef>
          </val>
        </ser>
        <gapWidth val="150"/>
        <axId val="1034396348"/>
        <axId val="1691822612"/>
      </barChart>
      <catAx>
        <axId val="1034396348"/>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691822612"/>
        <lblOffset val="100"/>
      </catAx>
      <valAx>
        <axId val="1691822612"/>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034396348"/>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Puntuación por bloque (%)</a:t>
            </a:r>
          </a:p>
        </rich>
      </tx>
      <overlay val="0"/>
    </title>
    <plotArea>
      <layout/>
      <barChart>
        <barDir val="bar"/>
        <grouping val="clustered"/>
        <ser>
          <idx val="0"/>
          <order val="0"/>
          <tx>
            <v>Puntos %</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Ratios!$K$48:$K$51</f>
            </strRef>
          </cat>
          <val>
            <numRef>
              <f>Ratios!$L$48:$L$51</f>
              <numCache/>
            </numRef>
          </val>
        </ser>
        <gapWidth val="150"/>
        <axId val="1420721178"/>
        <axId val="564877666"/>
      </barChart>
      <catAx>
        <axId val="1420721178"/>
        <scaling>
          <orientation val="maxMin"/>
        </scaling>
        <delete val="0"/>
        <axPos val="l"/>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64877666"/>
        <lblOffset val="100"/>
      </catAx>
      <valAx>
        <axId val="564877666"/>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420721178"/>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Reparto de los ratios por estado</a:t>
            </a:r>
          </a:p>
        </rich>
      </tx>
      <overlay val="0"/>
    </title>
    <plotArea>
      <layout/>
      <pieChart>
        <varyColors val="1"/>
        <ser>
          <idx val="0"/>
          <order val="0"/>
          <tx>
            <strRef>
              <f>Ratios!$L$30</f>
            </strRef>
          </tx>
          <spPr>
            <a:ln xmlns:a="http://schemas.openxmlformats.org/drawingml/2006/main">
              <a:prstDash val="solid"/>
            </a:ln>
          </spPr>
          <dPt>
            <idx val="0"/>
            <spPr>
              <a:solidFill xmlns:a="http://schemas.openxmlformats.org/drawingml/2006/main">
                <a:srgbClr val="4F81BD"/>
              </a:solidFill>
              <a:ln xmlns:a="http://schemas.openxmlformats.org/drawingml/2006/main">
                <a:prstDash val="solid"/>
              </a:ln>
            </spPr>
          </dPt>
          <dPt>
            <idx val="1"/>
            <spPr>
              <a:solidFill xmlns:a="http://schemas.openxmlformats.org/drawingml/2006/main">
                <a:srgbClr val="C0504D"/>
              </a:solidFill>
              <a:ln xmlns:a="http://schemas.openxmlformats.org/drawingml/2006/main">
                <a:prstDash val="solid"/>
              </a:ln>
            </spPr>
          </dPt>
          <dPt>
            <idx val="2"/>
            <spPr>
              <a:solidFill xmlns:a="http://schemas.openxmlformats.org/drawingml/2006/main">
                <a:srgbClr val="9BBB59"/>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showLegendKey val="0"/>
            <showVal val="0"/>
            <showCatName val="0"/>
            <showSerName val="0"/>
            <showPercent val="0"/>
            <showBubbleSize val="0"/>
            <showLeaderLines val="1"/>
          </dLbls>
          <cat>
            <strRef>
              <f>Ratios!$K$31:$K$33</f>
            </strRef>
          </cat>
          <val>
            <numRef>
              <f>Ratios!$L$31:$L$33</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Distribución de la cartera por tipo de activo</a:t>
            </a:r>
          </a:p>
        </rich>
      </tx>
      <overlay val="0"/>
    </title>
    <plotArea>
      <layout/>
      <pieChart>
        <varyColors val="1"/>
        <ser>
          <idx val="0"/>
          <order val="0"/>
          <tx>
            <strRef>
              <f>Inversiones!$D$69</f>
            </strRef>
          </tx>
          <spPr>
            <a:ln xmlns:a="http://schemas.openxmlformats.org/drawingml/2006/main">
              <a:prstDash val="solid"/>
            </a:ln>
          </spPr>
          <dPt>
            <idx val="0"/>
            <spPr>
              <a:solidFill xmlns:a="http://schemas.openxmlformats.org/drawingml/2006/main">
                <a:srgbClr val="4672A8"/>
              </a:solidFill>
              <a:ln xmlns:a="http://schemas.openxmlformats.org/drawingml/2006/main">
                <a:prstDash val="solid"/>
              </a:ln>
            </spPr>
          </dPt>
          <dPt>
            <idx val="1"/>
            <spPr>
              <a:solidFill xmlns:a="http://schemas.openxmlformats.org/drawingml/2006/main">
                <a:srgbClr val="AB4744"/>
              </a:solidFill>
              <a:ln xmlns:a="http://schemas.openxmlformats.org/drawingml/2006/main">
                <a:prstDash val="solid"/>
              </a:ln>
            </spPr>
          </dPt>
          <dPt>
            <idx val="2"/>
            <spPr>
              <a:solidFill xmlns:a="http://schemas.openxmlformats.org/drawingml/2006/main">
                <a:srgbClr val="8AA64F"/>
              </a:solidFill>
              <a:ln xmlns:a="http://schemas.openxmlformats.org/drawingml/2006/main">
                <a:prstDash val="solid"/>
              </a:ln>
            </spPr>
          </dPt>
          <dPt>
            <idx val="3"/>
            <spPr>
              <a:solidFill xmlns:a="http://schemas.openxmlformats.org/drawingml/2006/main">
                <a:srgbClr val="725990"/>
              </a:solidFill>
              <a:ln xmlns:a="http://schemas.openxmlformats.org/drawingml/2006/main">
                <a:prstDash val="solid"/>
              </a:ln>
            </spPr>
          </dPt>
          <dPt>
            <idx val="4"/>
            <spPr>
              <a:solidFill xmlns:a="http://schemas.openxmlformats.org/drawingml/2006/main">
                <a:srgbClr val="4299B0"/>
              </a:solidFill>
              <a:ln xmlns:a="http://schemas.openxmlformats.org/drawingml/2006/main">
                <a:prstDash val="solid"/>
              </a:ln>
            </spPr>
          </dPt>
          <dPt>
            <idx val="5"/>
            <spPr>
              <a:solidFill xmlns:a="http://schemas.openxmlformats.org/drawingml/2006/main">
                <a:srgbClr val="DC853E"/>
              </a:solidFill>
              <a:ln xmlns:a="http://schemas.openxmlformats.org/drawingml/2006/main">
                <a:prstDash val="solid"/>
              </a:ln>
            </spPr>
          </dPt>
          <dPt>
            <idx val="6"/>
            <spPr>
              <a:solidFill xmlns:a="http://schemas.openxmlformats.org/drawingml/2006/main">
                <a:srgbClr val="93A9CE"/>
              </a:solidFill>
              <a:ln xmlns:a="http://schemas.openxmlformats.org/drawingml/2006/main">
                <a:prstDash val="solid"/>
              </a:ln>
            </spPr>
          </dPt>
          <dPt>
            <idx val="7"/>
            <spPr>
              <a:solidFill xmlns:a="http://schemas.openxmlformats.org/drawingml/2006/main">
                <a:srgbClr val="D09493"/>
              </a:solidFill>
              <a:ln xmlns:a="http://schemas.openxmlformats.org/drawingml/2006/main">
                <a:prstDash val="solid"/>
              </a:ln>
            </spPr>
          </dPt>
          <dPt>
            <idx val="8"/>
            <spPr>
              <a:solidFill xmlns:a="http://schemas.openxmlformats.org/drawingml/2006/main">
                <a:srgbClr val="B8CD97"/>
              </a:solidFill>
              <a:ln xmlns:a="http://schemas.openxmlformats.org/drawingml/2006/main">
                <a:prstDash val="solid"/>
              </a:ln>
            </spPr>
          </dPt>
          <dPt>
            <idx val="9"/>
            <spPr>
              <a:solidFill xmlns:a="http://schemas.openxmlformats.org/drawingml/2006/main">
                <a:srgbClr val="A99BBD"/>
              </a:solidFill>
              <a:ln xmlns:a="http://schemas.openxmlformats.org/drawingml/2006/main">
                <a:prstDash val="solid"/>
              </a:ln>
            </spPr>
          </dPt>
          <dPt>
            <idx val="10"/>
            <spPr>
              <a:solidFill xmlns:a="http://schemas.openxmlformats.org/drawingml/2006/main">
                <a:srgbClr val="92C3D5"/>
              </a:solidFill>
              <a:ln xmlns:a="http://schemas.openxmlformats.org/drawingml/2006/main">
                <a:prstDash val="solid"/>
              </a:ln>
            </spPr>
          </dPt>
          <dLbls>
            <dLbl>
              <idx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1"/>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2"/>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3"/>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4"/>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5"/>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6"/>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7"/>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8"/>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9"/>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dLbl>
              <idx val="1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0"/>
              <showCatName val="0"/>
              <showSerName val="0"/>
              <showPercent val="0"/>
              <showBubbleSize val="0"/>
            </dLbl>
            <showLegendKey val="0"/>
            <showVal val="0"/>
            <showCatName val="0"/>
            <showSerName val="0"/>
            <showPercent val="0"/>
            <showBubbleSize val="0"/>
            <showLeaderLines val="1"/>
          </dLbls>
          <cat>
            <strRef>
              <f>Inversiones!$B$70:$B$80</f>
            </strRef>
          </cat>
          <val>
            <numRef>
              <f>Inversiones!$D$70:$D$80</f>
              <numCache/>
            </numRef>
          </val>
        </ser>
        <dLbls>
          <showLegendKey val="0"/>
          <showVal val="0"/>
          <showCatName val="0"/>
          <showSerName val="0"/>
          <showPercent val="0"/>
          <showBubbleSize val="0"/>
        </dLbls>
        <firstSliceAng val="0"/>
      </pieChart>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Valor actual por posición (€)</a:t>
            </a:r>
          </a:p>
        </rich>
      </tx>
      <overlay val="0"/>
    </title>
    <plotArea>
      <layout/>
      <barChart>
        <barDir val="bar"/>
        <grouping val="clustered"/>
        <ser>
          <idx val="0"/>
          <order val="0"/>
          <tx>
            <v>VALOR ACTUAL
(€)</v>
          </tx>
          <spPr>
            <a:solidFill xmlns:a="http://schemas.openxmlformats.org/drawingml/2006/main">
              <a:srgbClr val="4F81BD"/>
            </a:solidFill>
            <a:ln xmlns:a="http://schemas.openxmlformats.org/drawingml/2006/main" cmpd="sng">
              <a:noFill/>
              <a:prstDash val="solid"/>
            </a:ln>
          </spPr>
          <cat>
            <strRef>
              <f>Inversiones!$B$7:$B$47</f>
            </strRef>
          </cat>
          <val>
            <numRef>
              <f>Inversiones!$L$7:$L$47</f>
              <numCache/>
            </numRef>
          </val>
        </ser>
        <gapWidth val="150"/>
        <axId val="1290467432"/>
        <axId val="1737427804"/>
      </barChart>
      <catAx>
        <axId val="1290467432"/>
        <scaling>
          <orientation val="maxMin"/>
        </scaling>
        <delete val="0"/>
        <axPos val="l"/>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737427804"/>
        <lblOffset val="100"/>
      </catAx>
      <valAx>
        <axId val="1737427804"/>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290467432"/>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Resultado por posición (€)</a:t>
            </a:r>
          </a:p>
        </rich>
      </tx>
      <overlay val="0"/>
    </title>
    <plotArea>
      <layout/>
      <barChart>
        <barDir val="col"/>
        <grouping val="clustered"/>
        <ser>
          <idx val="0"/>
          <order val="0"/>
          <tx>
            <v>RESULTADO (€)</v>
          </tx>
          <spPr>
            <a:solidFill xmlns:a="http://schemas.openxmlformats.org/drawingml/2006/main">
              <a:srgbClr val="4F81BD"/>
            </a:solidFill>
            <a:ln xmlns:a="http://schemas.openxmlformats.org/drawingml/2006/main" cmpd="sng">
              <a:noFill/>
              <a:prstDash val="solid"/>
            </a:ln>
          </spPr>
          <cat>
            <strRef>
              <f>Inversiones!$B$7:$B$47</f>
            </strRef>
          </cat>
          <val>
            <numRef>
              <f>Inversiones!$R$7:$R$47</f>
              <numCache/>
            </numRef>
          </val>
        </ser>
        <gapWidth val="150"/>
        <axId val="1356006092"/>
        <axId val="543368828"/>
      </barChart>
      <catAx>
        <axId val="1356006092"/>
        <scaling>
          <orientation val="minMax"/>
        </scaling>
        <delete val="0"/>
        <axPos val="b"/>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543368828"/>
        <lblOffset val="100"/>
      </catAx>
      <valAx>
        <axId val="54336882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b="0" i="0">
                    <a:solidFill>
                      <a:srgbClr val="000000"/>
                    </a:solidFill>
                    <a:latin typeface="+mn-lt"/>
                  </a:defRPr>
                </a:pPr>
                <a:r>
                  <a:rPr b="0" i="0">
                    <a:solidFill>
                      <a:srgbClr val="000000"/>
                    </a:solidFill>
                    <a:latin typeface="+mn-lt"/>
                  </a:rPr>
                  <a:t>None</a:t>
                </a:r>
              </a:p>
            </rich>
          </tx>
          <overlay val="0"/>
        </title>
        <numFmt formatCode="#,##0.00&quot; €&quot;"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356006092"/>
      </valAx>
    </plotArea>
    <plotVisOnly val="1"/>
    <dispBlanksAs val="gap"/>
  </chart>
  <spPr>
    <a:solidFill xmlns:a="http://schemas.openxmlformats.org/drawingml/2006/main">
      <a:srgbClr val="FFFFFF"/>
    </a:solidFill>
    <a:ln xmlns:a="http://schemas.openxmlformats.org/drawingml/2006/main">
      <a:prstDash val="solid"/>
    </a:ln>
  </spPr>
</chartSpace>
</file>

<file path=xl/charts/chart2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Cómo se reparte tu ingreso en cada escenario (€/mes)</a:t>
            </a:r>
          </a:p>
        </rich>
      </tx>
      <overlay val="0"/>
    </title>
    <plotArea>
      <layout/>
      <barChart>
        <barDir val="col"/>
        <grouping val="stacked"/>
        <ser>
          <idx val="0"/>
          <order val="0"/>
          <tx>
            <v>Gastos personales</v>
          </tx>
          <spPr>
            <a:solidFill xmlns:a="http://schemas.openxmlformats.org/drawingml/2006/main">
              <a:srgbClr val="4F81BD"/>
            </a:solidFill>
            <a:ln xmlns:a="http://schemas.openxmlformats.org/drawingml/2006/main" cmpd="sng">
              <a:noFill/>
              <a:prstDash val="solid"/>
            </a:ln>
          </spPr>
          <cat>
            <strRef>
              <f>Comparativa!$J$6:$J$10</f>
            </strRef>
          </cat>
          <val>
            <numRef>
              <f>Comparativa!$K$6:$K$10</f>
              <numCache/>
            </numRef>
          </val>
        </ser>
        <ser>
          <idx val="1"/>
          <order val="1"/>
          <tx>
            <v>Aportas a la casa</v>
          </tx>
          <spPr>
            <a:solidFill xmlns:a="http://schemas.openxmlformats.org/drawingml/2006/main">
              <a:srgbClr val="C0504D"/>
            </a:solidFill>
            <a:ln xmlns:a="http://schemas.openxmlformats.org/drawingml/2006/main" cmpd="sng">
              <a:noFill/>
              <a:prstDash val="solid"/>
            </a:ln>
          </spPr>
          <cat>
            <strRef>
              <f>Comparativa!$J$6:$J$10</f>
            </strRef>
          </cat>
          <val>
            <numRef>
              <f>Comparativa!$L$6:$L$10</f>
              <numCache/>
            </numRef>
          </val>
        </ser>
        <ser>
          <idx val="2"/>
          <order val="2"/>
          <tx>
            <v>Te queda</v>
          </tx>
          <spPr>
            <a:solidFill xmlns:a="http://schemas.openxmlformats.org/drawingml/2006/main">
              <a:srgbClr val="9BBB59"/>
            </a:solidFill>
            <a:ln xmlns:a="http://schemas.openxmlformats.org/drawingml/2006/main" cmpd="sng">
              <a:noFill/>
              <a:prstDash val="solid"/>
            </a:ln>
          </spPr>
          <cat>
            <strRef>
              <f>Comparativa!$J$6:$J$10</f>
            </strRef>
          </cat>
          <val>
            <numRef>
              <f>Comparativa!$M$6:$M$10</f>
              <numCache/>
            </numRef>
          </val>
        </ser>
        <ser>
          <idx val="3"/>
          <order val="3"/>
          <tx>
            <v>Ahorro</v>
          </tx>
          <spPr>
            <a:solidFill xmlns:a="http://schemas.openxmlformats.org/drawingml/2006/main">
              <a:srgbClr val="8064A2"/>
            </a:solidFill>
            <a:ln xmlns:a="http://schemas.openxmlformats.org/drawingml/2006/main" cmpd="sng">
              <a:noFill/>
              <a:prstDash val="solid"/>
            </a:ln>
          </spPr>
          <cat>
            <strRef>
              <f>Comparativa!$J$6:$J$10</f>
            </strRef>
          </cat>
          <val>
            <numRef>
              <f>Comparativa!$N$6:$N$10</f>
              <numCache/>
            </numRef>
          </val>
        </ser>
        <gapWidth val="150"/>
        <overlap val="100"/>
        <axId val="1962366012"/>
        <axId val="348168396"/>
      </barChart>
      <catAx>
        <axId val="1962366012"/>
        <scaling>
          <orientation val="minMax"/>
        </scaling>
        <delete val="0"/>
        <axPos val="b"/>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48168396"/>
        <lblOffset val="100"/>
      </catAx>
      <valAx>
        <axId val="348168396"/>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962366012"/>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Capacidad de ahorro total y superávit del hogar (€/mes)</a:t>
            </a:r>
          </a:p>
        </rich>
      </tx>
      <overlay val="0"/>
    </title>
    <plotArea>
      <layout/>
      <barChart>
        <barDir val="col"/>
        <grouping val="clustered"/>
        <ser>
          <idx val="0"/>
          <order val="0"/>
          <tx>
            <v>Capacidad de ahorro total</v>
          </tx>
          <spPr>
            <a:solidFill xmlns:a="http://schemas.openxmlformats.org/drawingml/2006/main">
              <a:srgbClr val="4F81BD"/>
            </a:solidFill>
            <a:ln xmlns:a="http://schemas.openxmlformats.org/drawingml/2006/main" cmpd="sng">
              <a:noFill/>
              <a:prstDash val="solid"/>
            </a:ln>
          </spPr>
          <cat>
            <strRef>
              <f>Comparativa!$J$14:$J$18</f>
            </strRef>
          </cat>
          <val>
            <numRef>
              <f>Comparativa!$K$14:$K$18</f>
              <numCache/>
            </numRef>
          </val>
        </ser>
        <ser>
          <idx val="1"/>
          <order val="1"/>
          <tx>
            <v>Superávit del hogar</v>
          </tx>
          <spPr>
            <a:solidFill xmlns:a="http://schemas.openxmlformats.org/drawingml/2006/main">
              <a:srgbClr val="C0504D"/>
            </a:solidFill>
            <a:ln xmlns:a="http://schemas.openxmlformats.org/drawingml/2006/main" cmpd="sng">
              <a:noFill/>
              <a:prstDash val="solid"/>
            </a:ln>
          </spPr>
          <cat>
            <strRef>
              <f>Comparativa!$J$14:$J$18</f>
            </strRef>
          </cat>
          <val>
            <numRef>
              <f>Comparativa!$L$14:$L$18</f>
              <numCache/>
            </numRef>
          </val>
        </ser>
        <gapWidth val="150"/>
        <axId val="226974321"/>
        <axId val="679484758"/>
      </barChart>
      <catAx>
        <axId val="226974321"/>
        <scaling>
          <orientation val="minMax"/>
        </scaling>
        <delete val="0"/>
        <axPos val="b"/>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679484758"/>
        <lblOffset val="100"/>
      </catAx>
      <valAx>
        <axId val="67948475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226974321"/>
      </valAx>
    </plotArea>
    <legend>
      <legendPos val="b"/>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legend>
    <plotVisOnly val="1"/>
    <dispBlanksAs val="gap"/>
  </chart>
  <spPr>
    <a:solidFill xmlns:a="http://schemas.openxmlformats.org/drawingml/2006/main">
      <a:srgbClr val="FFFFFF"/>
    </a:solidFill>
    <a:ln xmlns:a="http://schemas.openxmlformats.org/drawingml/2006/main">
      <a:prstDash val="solid"/>
    </a:ln>
  </spPr>
</chartSpace>
</file>

<file path=xl/charts/chart2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300" b="0" i="0">
                <a:solidFill>
                  <a:srgbClr val="757575"/>
                </a:solidFill>
                <a:latin typeface="Arial"/>
              </a:defRPr>
            </a:pPr>
            <a:r>
              <a:rPr sz="1300" b="0" i="0">
                <a:solidFill>
                  <a:srgbClr val="757575"/>
                </a:solidFill>
                <a:latin typeface="Arial"/>
              </a:rPr>
              <a:t>Años hasta la independencia financiera (regla del 4%)</a:t>
            </a:r>
          </a:p>
        </rich>
      </tx>
      <overlay val="0"/>
    </title>
    <plotArea>
      <layout/>
      <barChart>
        <barDir val="bar"/>
        <grouping val="clustered"/>
        <ser>
          <idx val="0"/>
          <order val="0"/>
          <tx>
            <v>Años hasta el objetivo del 4%</v>
          </tx>
          <spPr>
            <a:solidFill xmlns:a="http://schemas.openxmlformats.org/drawingml/2006/main">
              <a:srgbClr val="4F81BD"/>
            </a:solidFill>
            <a:ln xmlns:a="http://schemas.openxmlformats.org/drawingml/2006/main" cmpd="sng">
              <a:noFill/>
              <a:prstDash val="solid"/>
            </a:ln>
          </spPr>
          <dLbls>
            <numFmt formatCode="General"/>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showLegendKey val="0"/>
            <showVal val="1"/>
            <showCatName val="0"/>
            <showSerName val="0"/>
            <showPercent val="0"/>
            <showBubbleSize val="0"/>
          </dLbls>
          <cat>
            <strRef>
              <f>Comparativa!$J$22:$J$26</f>
            </strRef>
          </cat>
          <val>
            <numRef>
              <f>Comparativa!$K$22:$K$26</f>
              <numCache/>
            </numRef>
          </val>
        </ser>
        <gapWidth val="150"/>
        <axId val="1899853316"/>
        <axId val="319423309"/>
      </barChart>
      <catAx>
        <axId val="1899853316"/>
        <scaling>
          <orientation val="maxMin"/>
        </scaling>
        <delete val="0"/>
        <axPos val="l"/>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319423309"/>
        <lblOffset val="100"/>
      </catAx>
      <valAx>
        <axId val="319423309"/>
        <scaling>
          <orientation val="minMax"/>
        </scaling>
        <delete val="0"/>
        <axPos val="b"/>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300" b="0" i="0">
                    <a:solidFill>
                      <a:srgbClr val="000000"/>
                    </a:solidFill>
                    <a:latin typeface="Arial"/>
                  </a:defRPr>
                </a:pPr>
                <a:r>
                  <a:rPr sz="1300" b="0" i="0">
                    <a:solidFill>
                      <a:srgbClr val="000000"/>
                    </a:solidFill>
                    <a:latin typeface="Arial"/>
                  </a:rPr>
                  <a:t>None</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
            </a:r>
          </a:p>
        </txPr>
        <crossAx val="1899853316"/>
        <crosses val="max"/>
      </valAx>
    </plotArea>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4.xml.rels><Relationships xmlns="http://schemas.openxmlformats.org/package/2006/relationships"><Relationship Type="http://schemas.openxmlformats.org/officeDocument/2006/relationships/chart" Target="/xl/charts/chart8.xml" Id="rId1"/></Relationships>
</file>

<file path=xl/drawings/_rels/drawing5.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6.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s>
</file>

<file path=xl/drawings/_rels/drawing7.xml.rels><Relationships xmlns="http://schemas.openxmlformats.org/package/2006/relationships"><Relationship Type="http://schemas.openxmlformats.org/officeDocument/2006/relationships/chart" Target="/xl/charts/chart13.xml" Id="rId1"/><Relationship Type="http://schemas.openxmlformats.org/officeDocument/2006/relationships/chart" Target="/xl/charts/chart14.xml" Id="rId2"/><Relationship Type="http://schemas.openxmlformats.org/officeDocument/2006/relationships/chart" Target="/xl/charts/chart15.xml" Id="rId3"/><Relationship Type="http://schemas.openxmlformats.org/officeDocument/2006/relationships/chart" Target="/xl/charts/chart16.xml" Id="rId4"/><Relationship Type="http://schemas.openxmlformats.org/officeDocument/2006/relationships/chart" Target="/xl/charts/chart17.xml" Id="rId5"/></Relationships>
</file>

<file path=xl/drawings/_rels/drawing8.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s>
</file>

<file path=xl/drawings/_rels/drawing9.xml.rels><Relationships xmlns="http://schemas.openxmlformats.org/package/2006/relationships"><Relationship Type="http://schemas.openxmlformats.org/officeDocument/2006/relationships/chart" Target="/xl/charts/chart20.xml" Id="rId1"/><Relationship Type="http://schemas.openxmlformats.org/officeDocument/2006/relationships/chart" Target="/xl/charts/chart21.xml" Id="rId2"/></Relationships>
</file>

<file path=xl/drawings/_rels/drawing10.xml.rels><Relationships xmlns="http://schemas.openxmlformats.org/package/2006/relationships"><Relationship Type="http://schemas.openxmlformats.org/officeDocument/2006/relationships/chart" Target="/xl/charts/chart22.xml" Id="rId1"/><Relationship Type="http://schemas.openxmlformats.org/officeDocument/2006/relationships/chart" Target="/xl/charts/chart23.xml" Id="rId2"/><Relationship Type="http://schemas.openxmlformats.org/officeDocument/2006/relationships/chart" Target="/xl/charts/chart24.xml" Id="rId3"/></Relationships>
</file>

<file path=xl/drawings/_rels/drawing11.xml.rels><Relationships xmlns="http://schemas.openxmlformats.org/package/2006/relationships"><Relationship Type="http://schemas.openxmlformats.org/officeDocument/2006/relationships/chart" Target="/xl/charts/chart25.xml" Id="rId1"/><Relationship Type="http://schemas.openxmlformats.org/officeDocument/2006/relationships/chart" Target="/xl/charts/chart26.xml" Id="rId2"/><Relationship Type="http://schemas.openxmlformats.org/officeDocument/2006/relationships/chart" Target="/xl/charts/chart27.xml" Id="rId3"/></Relationships>
</file>

<file path=xl/drawings/drawing1.xml><?xml version="1.0" encoding="utf-8"?>
<wsDr xmlns="http://schemas.openxmlformats.org/drawingml/2006/spreadsheetDrawing">
  <oneCellAnchor>
    <from>
      <col>10</col>
      <colOff>0</colOff>
      <row>31</row>
      <rowOff>66675</rowOff>
    </from>
    <ext cx="5457825" cy="22002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10</col>
      <colOff>0</colOff>
      <row>43</row>
      <rowOff>0</rowOff>
    </from>
    <ext cx="5505450" cy="35718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10</col>
      <colOff>0</colOff>
      <row>54</row>
      <rowOff>0</rowOff>
    </from>
    <ext cx="5505450" cy="318135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drawings/drawing2.xml><?xml version="1.0" encoding="utf-8"?>
<wsDr xmlns="http://schemas.openxmlformats.org/drawingml/2006/spreadsheetDrawing">
  <oneCellAnchor>
    <from>
      <col>8</col>
      <colOff>0</colOff>
      <row>12</row>
      <rowOff>66675</rowOff>
    </from>
    <ext cx="6924675" cy="31337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8</col>
      <colOff>0</colOff>
      <row>36</row>
      <rowOff>0</rowOff>
    </from>
    <ext cx="6229350" cy="32385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3.xml><?xml version="1.0" encoding="utf-8"?>
<wsDr xmlns="http://schemas.openxmlformats.org/drawingml/2006/spreadsheetDrawing">
  <oneCellAnchor>
    <from>
      <col>22</col>
      <colOff>142875</colOff>
      <row>5</row>
      <rowOff>38100</rowOff>
    </from>
    <ext cx="990600" cy="15430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22</col>
      <colOff>38100</colOff>
      <row>18</row>
      <rowOff>304800</rowOff>
    </from>
    <ext cx="1371600" cy="35623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4.xml><?xml version="1.0" encoding="utf-8"?>
<wsDr xmlns="http://schemas.openxmlformats.org/drawingml/2006/spreadsheetDrawing">
  <oneCellAnchor>
    <from>
      <col>10</col>
      <colOff>561975</colOff>
      <row>48</row>
      <rowOff>28575</rowOff>
    </from>
    <ext cx="5457825" cy="29432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drawings/drawing5.xml><?xml version="1.0" encoding="utf-8"?>
<wsDr xmlns="http://schemas.openxmlformats.org/drawingml/2006/spreadsheetDrawing">
  <oneCellAnchor>
    <from>
      <col>16</col>
      <colOff>0</colOff>
      <row>45</row>
      <rowOff>0</rowOff>
    </from>
    <ext cx="7029450" cy="31051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16</col>
      <colOff>0</colOff>
      <row>3</row>
      <rowOff>0</rowOff>
    </from>
    <ext cx="8077200" cy="36385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6.xml><?xml version="1.0" encoding="utf-8"?>
<wsDr xmlns="http://schemas.openxmlformats.org/drawingml/2006/spreadsheetDrawing">
  <oneCellAnchor>
    <from>
      <col>1</col>
      <colOff>0</colOff>
      <row>44</row>
      <rowOff>0</rowOff>
    </from>
    <ext cx="6496050" cy="33813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col>
      <colOff>0</colOff>
      <row>61</row>
      <rowOff>0</rowOff>
    </from>
    <ext cx="4305300" cy="29337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7.xml><?xml version="1.0" encoding="utf-8"?>
<wsDr xmlns="http://schemas.openxmlformats.org/drawingml/2006/spreadsheetDrawing">
  <oneCellAnchor>
    <from>
      <col>1</col>
      <colOff>0</colOff>
      <row>76</row>
      <rowOff>0</rowOff>
    </from>
    <ext cx="7143750" cy="37623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col>
      <colOff>0</colOff>
      <row>97</row>
      <rowOff>0</rowOff>
    </from>
    <ext cx="7143750" cy="30099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1</col>
      <colOff>0</colOff>
      <row>115</row>
      <rowOff>0</rowOff>
    </from>
    <ext cx="7143750" cy="2638425"/>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oneCellAnchor>
    <from>
      <col>12</col>
      <colOff>0</colOff>
      <row>15</row>
      <rowOff>0</rowOff>
    </from>
    <ext cx="4791075" cy="32385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oneCellAnchor>
  <oneCellAnchor>
    <from>
      <col>12</col>
      <colOff>0</colOff>
      <row>43</row>
      <rowOff>0</rowOff>
    </from>
    <ext cx="5114925" cy="337185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fLocksWithSheet="0"/>
  </oneCellAnchor>
</wsDr>
</file>

<file path=xl/drawings/drawing8.xml><?xml version="1.0" encoding="utf-8"?>
<wsDr xmlns="http://schemas.openxmlformats.org/drawingml/2006/spreadsheetDrawing">
  <oneCellAnchor>
    <from>
      <col>1</col>
      <colOff>0</colOff>
      <row>62</row>
      <rowOff>0</rowOff>
    </from>
    <ext cx="6829425" cy="33813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10</col>
      <colOff>0</colOff>
      <row>12</row>
      <rowOff>0</rowOff>
    </from>
    <ext cx="5105400" cy="32289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9.xml><?xml version="1.0" encoding="utf-8"?>
<wsDr xmlns="http://schemas.openxmlformats.org/drawingml/2006/spreadsheetDrawing">
  <oneCellAnchor>
    <from>
      <col>10</col>
      <colOff>0</colOff>
      <row>3</row>
      <rowOff>57150</rowOff>
    </from>
    <ext cx="6153150" cy="41243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10</col>
      <colOff>0</colOff>
      <row>34</row>
      <rowOff>0</rowOff>
    </from>
    <ext cx="4448175" cy="28860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drawings/drawing10.xml><?xml version="1.0" encoding="utf-8"?>
<wsDr xmlns="http://schemas.openxmlformats.org/drawingml/2006/spreadsheetDrawing">
  <oneCellAnchor>
    <from>
      <col>10</col>
      <colOff>0</colOff>
      <row>67</row>
      <rowOff>0</rowOff>
    </from>
    <ext cx="4800600" cy="32385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24</col>
      <colOff>0</colOff>
      <row>5</row>
      <rowOff>0</rowOff>
    </from>
    <ext cx="5476875" cy="42862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24</col>
      <colOff>0</colOff>
      <row>32</row>
      <rowOff>161925</rowOff>
    </from>
    <ext cx="5476875" cy="3228975"/>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drawings/drawing11.xml><?xml version="1.0" encoding="utf-8"?>
<wsDr xmlns="http://schemas.openxmlformats.org/drawingml/2006/spreadsheetDrawing">
  <oneCellAnchor>
    <from>
      <col>9</col>
      <colOff>0</colOff>
      <row>28</row>
      <rowOff>0</rowOff>
    </from>
    <ext cx="6134100" cy="324802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9</col>
      <colOff>0</colOff>
      <row>50</row>
      <rowOff>0</rowOff>
    </from>
    <ext cx="6134100" cy="375285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oneCellAnchor>
    <from>
      <col>9</col>
      <colOff>0</colOff>
      <row>72</row>
      <rowOff>0</rowOff>
    </from>
    <ext cx="6134100" cy="30099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hyperlink" Target="http://vivus.es/" TargetMode="External" Id="rId1"/><Relationship Type="http://schemas.openxmlformats.org/officeDocument/2006/relationships/drawing" Target="/xl/drawings/drawing3.xml" Id="rId2"/></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hyperlink" Target="http://vivus.es/" TargetMode="Externa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drawing" Target="/xl/drawings/drawing8.xml" Id="rId1"/></Relationships>
</file>

<file path=xl/worksheets/_rels/sheet15.xml.rels><Relationships xmlns="http://schemas.openxmlformats.org/package/2006/relationships"><Relationship Type="http://schemas.openxmlformats.org/officeDocument/2006/relationships/drawing" Target="/xl/drawings/drawing9.xml" Id="rId1"/></Relationships>
</file>

<file path=xl/worksheets/_rels/sheet16.xml.rels><Relationships xmlns="http://schemas.openxmlformats.org/package/2006/relationships"><Relationship Type="http://schemas.openxmlformats.org/officeDocument/2006/relationships/hyperlink" Target="http://republic.com/" TargetMode="External" Id="rId1"/><Relationship Type="http://schemas.openxmlformats.org/officeDocument/2006/relationships/drawing" Target="/xl/drawings/drawing10.xml" Id="rId2"/></Relationships>
</file>

<file path=xl/worksheets/_rels/sheet17.xml.rels><Relationships xmlns="http://schemas.openxmlformats.org/package/2006/relationships"><Relationship Type="http://schemas.openxmlformats.org/officeDocument/2006/relationships/drawing" Target="/xl/drawings/drawing11.xml" Id="rId1"/></Relationships>
</file>

<file path=xl/worksheets/sheet1.xml><?xml version="1.0" encoding="utf-8"?>
<worksheet xmlns="http://schemas.openxmlformats.org/spreadsheetml/2006/main">
  <sheetPr>
    <tabColor rgb="FF0F2942"/>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11" min="1" max="1"/>
    <col width="40" customWidth="1" style="311" min="2" max="2"/>
    <col width="16" customWidth="1" style="311" min="3" max="8"/>
    <col width="3" customWidth="1" style="311" min="9" max="9"/>
    <col width="2" customWidth="1" style="311" min="10" max="10"/>
    <col width="21.29" customWidth="1" style="311" min="11" max="11"/>
    <col width="14" customWidth="1" style="311" min="12" max="13"/>
    <col width="15.86" customWidth="1" style="311" min="14" max="14"/>
    <col width="14" customWidth="1" style="311" min="15" max="15"/>
    <col width="8.710000000000001" customWidth="1" style="311" min="16" max="18"/>
  </cols>
  <sheetData>
    <row r="1" ht="24" customHeight="1" s="311">
      <c r="A1" s="145" t="n"/>
      <c r="B1" s="34" t="inlineStr">
        <is>
          <t>PANEL DE CONTROL</t>
        </is>
      </c>
      <c r="C1" s="145" t="n"/>
      <c r="D1" s="145" t="n"/>
      <c r="E1" s="145" t="n"/>
      <c r="F1" s="145" t="n"/>
      <c r="G1" s="145" t="n"/>
      <c r="H1" s="145" t="n"/>
      <c r="I1" s="145" t="n"/>
      <c r="J1" s="145" t="n"/>
      <c r="K1" s="145" t="n"/>
      <c r="L1" s="145" t="n"/>
      <c r="M1" s="145" t="n"/>
      <c r="N1" s="145" t="n"/>
      <c r="O1" s="145" t="n"/>
      <c r="P1" s="145" t="n"/>
      <c r="Q1" s="37">
        <f>TEXT(EDATE(TODAY(),-14),"YYYY-MM")</f>
        <v/>
      </c>
      <c r="R1" s="20" t="inlineStr">
        <is>
          <t>Lista de meses del desplegable de periodo. No la borres.</t>
        </is>
      </c>
      <c r="S1" s="145" t="n"/>
      <c r="T1" s="145" t="n"/>
      <c r="U1" s="145" t="n"/>
      <c r="V1" s="145" t="n"/>
      <c r="W1" s="145" t="n"/>
      <c r="X1" s="145" t="n"/>
      <c r="Y1" s="145" t="n"/>
      <c r="Z1" s="145" t="n"/>
    </row>
    <row r="2" ht="32.25" customHeight="1" s="311">
      <c r="A2" s="145" t="n"/>
      <c r="B2" s="20" t="inlineStr">
        <is>
          <t>Elige un escenario en el desplegable y TODO el panel cambia: los importes, los semáforos, los gráficos y la proyección de la hoja Tesorería.</t>
        </is>
      </c>
      <c r="G2" s="145" t="n"/>
      <c r="H2" s="145" t="n"/>
      <c r="I2" s="145" t="n"/>
      <c r="J2" s="145" t="n"/>
      <c r="K2" s="145" t="n"/>
      <c r="L2" s="145" t="n"/>
      <c r="M2" s="145" t="n"/>
      <c r="N2" s="145" t="n"/>
      <c r="O2" s="145" t="n"/>
      <c r="P2" s="145" t="n"/>
      <c r="Q2" s="37">
        <f>TEXT(EDATE(TODAY(),-13),"YYYY-MM")</f>
        <v/>
      </c>
      <c r="R2" s="145" t="n"/>
      <c r="S2" s="145" t="n"/>
      <c r="T2" s="145" t="n"/>
      <c r="U2" s="145" t="n"/>
      <c r="V2" s="145" t="n"/>
      <c r="W2" s="145" t="n"/>
      <c r="X2" s="145" t="n"/>
      <c r="Y2" s="145" t="n"/>
      <c r="Z2" s="145" t="n"/>
    </row>
    <row r="3" ht="15" customHeight="1" s="311">
      <c r="A3" s="145" t="n"/>
      <c r="B3" s="145" t="n"/>
      <c r="C3" s="145" t="n"/>
      <c r="D3" s="145" t="n"/>
      <c r="E3" s="145" t="n"/>
      <c r="F3" s="145" t="n"/>
      <c r="G3" s="145" t="n"/>
      <c r="H3" s="145" t="n"/>
      <c r="I3" s="145" t="n"/>
      <c r="J3" s="145" t="n"/>
      <c r="K3" s="145" t="n"/>
      <c r="L3" s="145" t="n"/>
      <c r="M3" s="145" t="n"/>
      <c r="N3" s="145" t="n"/>
      <c r="O3" s="145" t="n"/>
      <c r="P3" s="145" t="n"/>
      <c r="Q3" s="37">
        <f>TEXT(EDATE(TODAY(),-12),"YYYY-MM")</f>
        <v/>
      </c>
      <c r="R3" s="145" t="n"/>
      <c r="S3" s="145" t="n"/>
      <c r="T3" s="145" t="n"/>
      <c r="U3" s="145" t="n"/>
      <c r="V3" s="145" t="n"/>
      <c r="W3" s="145" t="n"/>
      <c r="X3" s="145" t="n"/>
      <c r="Y3" s="145" t="n"/>
      <c r="Z3" s="145" t="n"/>
    </row>
    <row r="4" ht="24" customHeight="1" s="311">
      <c r="A4" s="145" t="n"/>
      <c r="B4" s="49" t="inlineStr">
        <is>
          <t>ESCENARIO:</t>
        </is>
      </c>
      <c r="C4" s="312" t="inlineStr">
        <is>
          <t>Actual (hoy)</t>
        </is>
      </c>
      <c r="D4" s="313" t="n"/>
      <c r="E4" s="314" t="n"/>
      <c r="F4" s="145" t="n"/>
      <c r="G4" s="49" t="inlineStr">
        <is>
          <t>PERIODO:</t>
        </is>
      </c>
      <c r="H4" s="56" t="inlineStr">
        <is>
          <t>2026-08</t>
        </is>
      </c>
      <c r="I4" s="58">
        <f>IF(ISNUMBER($H$4),TEXT($H$4,"YYYY-MM"),TRIM($H$4&amp;""))</f>
        <v/>
      </c>
      <c r="J4" s="58" t="inlineStr">
        <is>
          <t>← periodo normalizado (técnico, no borrar)</t>
        </is>
      </c>
      <c r="K4" s="145" t="n"/>
      <c r="L4" s="145" t="n"/>
      <c r="M4" s="145" t="n"/>
      <c r="N4" s="145" t="n"/>
      <c r="O4" s="145" t="n"/>
      <c r="P4" s="145" t="n"/>
      <c r="Q4" s="37">
        <f>TEXT(EDATE(TODAY(),-11),"YYYY-MM")</f>
        <v/>
      </c>
      <c r="R4" s="145" t="n"/>
      <c r="S4" s="145" t="n"/>
      <c r="T4" s="145" t="n"/>
      <c r="U4" s="145" t="n"/>
      <c r="V4" s="145" t="n"/>
      <c r="W4" s="145" t="n"/>
      <c r="X4" s="145" t="n"/>
      <c r="Y4" s="145" t="n"/>
      <c r="Z4" s="145" t="n"/>
    </row>
    <row r="5" ht="32.25" customHeight="1" s="311">
      <c r="A5" s="145" t="n"/>
      <c r="B5" s="145" t="n"/>
      <c r="C5" s="145" t="n"/>
      <c r="D5" s="60">
        <f>MATCH($C$4,Escenarios!$D$4:$H$4,0)</f>
        <v/>
      </c>
      <c r="E5" s="20" t="inlineStr">
        <is>
          <t>← columna del escenario (técnico, no borrar)</t>
        </is>
      </c>
      <c r="F5" s="145" t="n"/>
      <c r="G5" s="145" t="n"/>
      <c r="H5" s="63">
        <f>IFERROR(DATEVALUE($I$4&amp;"-01"),TODAY())</f>
        <v/>
      </c>
      <c r="I5" s="20" t="inlineStr">
        <is>
          <t>← primer día del periodo (técnico)</t>
        </is>
      </c>
      <c r="J5" s="145" t="n"/>
      <c r="K5" s="145" t="n"/>
      <c r="L5" s="145" t="n"/>
      <c r="M5" s="145" t="n"/>
      <c r="N5" s="145" t="n"/>
      <c r="O5" s="145" t="n"/>
      <c r="P5" s="145" t="n"/>
      <c r="Q5" s="37">
        <f>TEXT(EDATE(TODAY(),-10),"YYYY-MM")</f>
        <v/>
      </c>
      <c r="R5" s="145" t="n"/>
      <c r="S5" s="145" t="n"/>
      <c r="T5" s="145" t="n"/>
      <c r="U5" s="145" t="n"/>
      <c r="V5" s="145" t="n"/>
      <c r="W5" s="145" t="n"/>
      <c r="X5" s="145" t="n"/>
      <c r="Y5" s="145" t="n"/>
      <c r="Z5" s="145" t="n"/>
    </row>
    <row r="6" ht="27.75" customHeight="1" s="311">
      <c r="A6" s="145" t="n"/>
      <c r="B6" s="145" t="n"/>
      <c r="C6" s="145" t="n"/>
      <c r="D6" s="145" t="n"/>
      <c r="E6" s="145" t="n"/>
      <c r="F6" s="145" t="n"/>
      <c r="G6" s="20" t="inlineStr">
        <is>
          <t>El periodo filtra los tres estados financieros: Resultados, Balance y FlujoCaja.</t>
        </is>
      </c>
      <c r="L6" s="145" t="n"/>
      <c r="M6" s="145" t="n"/>
      <c r="N6" s="145" t="n"/>
      <c r="O6" s="145" t="n"/>
      <c r="P6" s="145" t="n"/>
      <c r="Q6" s="37">
        <f>TEXT(EDATE(TODAY(),-9),"YYYY-MM")</f>
        <v/>
      </c>
      <c r="R6" s="145" t="n"/>
      <c r="S6" s="145" t="n"/>
      <c r="T6" s="145" t="n"/>
      <c r="U6" s="145" t="n"/>
      <c r="V6" s="145" t="n"/>
      <c r="W6" s="145" t="n"/>
      <c r="X6" s="145" t="n"/>
      <c r="Y6" s="145" t="n"/>
      <c r="Z6" s="145" t="n"/>
    </row>
    <row r="7" ht="21.75" customHeight="1" s="311">
      <c r="A7" s="145" t="n"/>
      <c r="B7" s="21" t="inlineStr">
        <is>
          <t>1.  ¿DÓNDE ME CONVIENE VIVIR?</t>
        </is>
      </c>
      <c r="C7" s="22" t="n"/>
      <c r="D7" s="22" t="n"/>
      <c r="E7" s="22" t="n"/>
      <c r="F7" s="22" t="n"/>
      <c r="G7" s="22" t="n"/>
      <c r="H7" s="22" t="n"/>
      <c r="I7" s="145" t="n"/>
      <c r="J7" s="145" t="n"/>
      <c r="K7" s="31" t="inlineStr">
        <is>
          <t>Datos para los gráficos</t>
        </is>
      </c>
      <c r="L7" s="39" t="n"/>
      <c r="M7" s="39" t="n"/>
      <c r="N7" s="39" t="n"/>
      <c r="O7" s="39" t="n"/>
      <c r="P7" s="145" t="n"/>
      <c r="Q7" s="37">
        <f>TEXT(EDATE(TODAY(),-8),"YYYY-MM")</f>
        <v/>
      </c>
      <c r="R7" s="145" t="n"/>
      <c r="S7" s="145" t="n"/>
      <c r="T7" s="145" t="n"/>
      <c r="U7" s="145" t="n"/>
      <c r="V7" s="145" t="n"/>
      <c r="W7" s="145" t="n"/>
      <c r="X7" s="145" t="n"/>
      <c r="Y7" s="145" t="n"/>
      <c r="Z7" s="145" t="n"/>
    </row>
    <row r="8" ht="19.5" customHeight="1" s="311">
      <c r="A8" s="145" t="n"/>
      <c r="B8" s="315" t="inlineStr">
        <is>
          <t>INGRESO MENSUAL</t>
        </is>
      </c>
      <c r="C8" s="314" t="n"/>
      <c r="D8" s="316" t="inlineStr">
        <is>
          <t>TE QUEDA PARA TI</t>
        </is>
      </c>
      <c r="E8" s="314" t="n"/>
      <c r="F8" s="317" t="inlineStr">
        <is>
          <t>APORTAS A LA CASA</t>
        </is>
      </c>
      <c r="G8" s="314" t="n"/>
      <c r="H8" s="318" t="inlineStr">
        <is>
          <t>AHORRAS AL MES</t>
        </is>
      </c>
      <c r="I8" s="314" t="n"/>
      <c r="J8" s="145" t="n"/>
      <c r="K8" s="33" t="inlineStr">
        <is>
          <t>Concepto</t>
        </is>
      </c>
      <c r="L8" s="33" t="inlineStr">
        <is>
          <t>Importe (€)</t>
        </is>
      </c>
      <c r="M8" s="145" t="n"/>
      <c r="N8" s="145" t="n"/>
      <c r="O8" s="145" t="n"/>
      <c r="P8" s="145" t="n"/>
      <c r="Q8" s="37">
        <f>TEXT(EDATE(TODAY(),-7),"YYYY-MM")</f>
        <v/>
      </c>
      <c r="R8" s="145" t="n"/>
      <c r="S8" s="145" t="n"/>
      <c r="T8" s="145" t="n"/>
      <c r="U8" s="145" t="n"/>
      <c r="V8" s="145" t="n"/>
      <c r="W8" s="145" t="n"/>
      <c r="X8" s="145" t="n"/>
      <c r="Y8" s="145" t="n"/>
      <c r="Z8" s="145" t="n"/>
    </row>
    <row r="9" ht="25.5" customHeight="1" s="311">
      <c r="A9" s="145" t="n"/>
      <c r="B9" s="319">
        <f t="array" ref="B9">INDEX(Escenarios!$D$6:$H$6,$D$5)</f>
        <v/>
      </c>
      <c r="C9" s="314" t="n"/>
      <c r="D9" s="319">
        <f t="array" ref="D9">INDEX(Escenarios!$D$30:$H$30,$D$5)</f>
        <v/>
      </c>
      <c r="E9" s="314" t="n"/>
      <c r="F9" s="319">
        <f t="array" ref="F9">INDEX(Escenarios!$D$29:$H$29,$D$5)</f>
        <v/>
      </c>
      <c r="G9" s="314" t="n"/>
      <c r="H9" s="319">
        <f t="array" ref="H9">INDEX(Escenarios!$D$31:$H$31,$D$5)</f>
        <v/>
      </c>
      <c r="I9" s="314" t="n"/>
      <c r="J9" s="145" t="n"/>
      <c r="K9" s="40" t="inlineStr">
        <is>
          <t>Inversión</t>
        </is>
      </c>
      <c r="L9" s="42">
        <f t="array" ref="L9">INDEX(Escenarios!$D$13:$H$13,$D$5)</f>
        <v/>
      </c>
      <c r="M9" s="145" t="n"/>
      <c r="N9" s="145" t="n"/>
      <c r="O9" s="145" t="n"/>
      <c r="P9" s="145" t="n"/>
      <c r="Q9" s="37">
        <f>TEXT(EDATE(TODAY(),-6),"YYYY-MM")</f>
        <v/>
      </c>
      <c r="R9" s="145" t="n"/>
      <c r="S9" s="145" t="n"/>
      <c r="T9" s="145" t="n"/>
      <c r="U9" s="145" t="n"/>
      <c r="V9" s="145" t="n"/>
      <c r="W9" s="145" t="n"/>
      <c r="X9" s="145" t="n"/>
      <c r="Y9" s="145" t="n"/>
      <c r="Z9" s="145" t="n"/>
    </row>
    <row r="10" ht="15" customHeight="1" s="311">
      <c r="A10" s="145" t="n"/>
      <c r="B10" s="320" t="inlineStr">
        <is>
          <t>Del escenario elegido</t>
        </is>
      </c>
      <c r="C10" s="314" t="n"/>
      <c r="D10" s="320" t="inlineStr">
        <is>
          <t>Estilo de vida − hipoteca</t>
        </is>
      </c>
      <c r="E10" s="314" t="n"/>
      <c r="F10" s="320" t="inlineStr">
        <is>
          <t>Margen + aporte hipoteca</t>
        </is>
      </c>
      <c r="G10" s="314" t="n"/>
      <c r="H10" s="321" t="inlineStr">
        <is>
          <t>Inversión + fondo emergencia</t>
        </is>
      </c>
      <c r="I10" s="314" t="n"/>
      <c r="J10" s="145" t="n"/>
      <c r="K10" s="40" t="inlineStr">
        <is>
          <t>Fondo de emergencia</t>
        </is>
      </c>
      <c r="L10" s="42">
        <f t="array" ref="L10">INDEX(Escenarios!$D$14:$H$14,$D$5)</f>
        <v/>
      </c>
      <c r="M10" s="145" t="n"/>
      <c r="N10" s="145" t="n"/>
      <c r="O10" s="145" t="n"/>
      <c r="P10" s="145" t="n"/>
      <c r="Q10" s="37">
        <f>TEXT(EDATE(TODAY(),-5),"YYYY-MM")</f>
        <v/>
      </c>
      <c r="R10" s="145" t="n"/>
      <c r="S10" s="145" t="n"/>
      <c r="T10" s="145" t="n"/>
      <c r="U10" s="145" t="n"/>
      <c r="V10" s="145" t="n"/>
      <c r="W10" s="145" t="n"/>
      <c r="X10" s="145" t="n"/>
      <c r="Y10" s="145" t="n"/>
      <c r="Z10" s="145" t="n"/>
    </row>
    <row r="11" ht="15" customHeight="1" s="311">
      <c r="A11" s="145" t="n"/>
      <c r="B11" s="145" t="n"/>
      <c r="C11" s="145" t="n"/>
      <c r="D11" s="145" t="n"/>
      <c r="E11" s="145" t="n"/>
      <c r="F11" s="145" t="n"/>
      <c r="G11" s="145" t="n"/>
      <c r="H11" s="145" t="n"/>
      <c r="I11" s="145" t="n"/>
      <c r="J11" s="145" t="n"/>
      <c r="K11" s="40" t="inlineStr">
        <is>
          <t>Aporte a la hipoteca</t>
        </is>
      </c>
      <c r="L11" s="42">
        <f t="array" ref="L11">INDEX(Escenarios!$D$28:$H$28,$D$5)</f>
        <v/>
      </c>
      <c r="M11" s="145" t="n"/>
      <c r="N11" s="145" t="n"/>
      <c r="O11" s="145" t="n"/>
      <c r="P11" s="145" t="n"/>
      <c r="Q11" s="37">
        <f>TEXT(EDATE(TODAY(),-4),"YYYY-MM")</f>
        <v/>
      </c>
      <c r="R11" s="145" t="n"/>
      <c r="S11" s="145" t="n"/>
      <c r="T11" s="145" t="n"/>
      <c r="U11" s="145" t="n"/>
      <c r="V11" s="145" t="n"/>
      <c r="W11" s="145" t="n"/>
      <c r="X11" s="145" t="n"/>
      <c r="Y11" s="145" t="n"/>
      <c r="Z11" s="145" t="n"/>
    </row>
    <row r="12" ht="33.75" customHeight="1" s="311">
      <c r="A12" s="145" t="n"/>
      <c r="B12" s="33" t="inlineStr">
        <is>
          <t>Comparativa de los 5 escenarios</t>
        </is>
      </c>
      <c r="C12" s="33" t="inlineStr">
        <is>
          <t>Ingreso</t>
        </is>
      </c>
      <c r="D12" s="33" t="inlineStr">
        <is>
          <t>Gastos
personales</t>
        </is>
      </c>
      <c r="E12" s="33" t="inlineStr">
        <is>
          <t>Aportas
a la casa</t>
        </is>
      </c>
      <c r="F12" s="33" t="inlineStr">
        <is>
          <t>Te queda
para ti</t>
        </is>
      </c>
      <c r="G12" s="33" t="inlineStr">
        <is>
          <t>Ahorro e
inversión</t>
        </is>
      </c>
      <c r="H12" s="33" t="inlineStr">
        <is>
          <t>Capacidad
total</t>
        </is>
      </c>
      <c r="I12" s="145" t="n"/>
      <c r="J12" s="145" t="n"/>
      <c r="K12" s="40" t="inlineStr">
        <is>
          <t>Tus gastos personales</t>
        </is>
      </c>
      <c r="L12" s="42">
        <f t="array" ref="L12">INDEX(Escenarios!$D$26:$H$26,$D$5)</f>
        <v/>
      </c>
      <c r="M12" s="145" t="n"/>
      <c r="N12" s="145" t="n"/>
      <c r="O12" s="145" t="n"/>
      <c r="P12" s="145" t="n"/>
      <c r="Q12" s="37">
        <f>TEXT(EDATE(TODAY(),-3),"YYYY-MM")</f>
        <v/>
      </c>
      <c r="R12" s="145" t="n"/>
      <c r="S12" s="145" t="n"/>
      <c r="T12" s="145" t="n"/>
      <c r="U12" s="145" t="n"/>
      <c r="V12" s="145" t="n"/>
      <c r="W12" s="145" t="n"/>
      <c r="X12" s="145" t="n"/>
      <c r="Y12" s="145" t="n"/>
      <c r="Z12" s="145" t="n"/>
    </row>
    <row r="13" ht="15" customHeight="1" s="311">
      <c r="A13" s="145" t="n"/>
      <c r="B13" s="23">
        <f>Escenarios!$D$4</f>
        <v/>
      </c>
      <c r="C13" s="61">
        <f>Escenarios!$D$6</f>
        <v/>
      </c>
      <c r="D13" s="61">
        <f>Escenarios!$D$26</f>
        <v/>
      </c>
      <c r="E13" s="61">
        <f>Escenarios!$D$29</f>
        <v/>
      </c>
      <c r="F13" s="80">
        <f>Escenarios!$D$30</f>
        <v/>
      </c>
      <c r="G13" s="61">
        <f>Escenarios!$D$31</f>
        <v/>
      </c>
      <c r="H13" s="80">
        <f>Escenarios!$D$54</f>
        <v/>
      </c>
      <c r="I13" s="145" t="n"/>
      <c r="J13" s="145" t="n"/>
      <c r="K13" s="40" t="inlineStr">
        <is>
          <t>Margen aportado a la casa</t>
        </is>
      </c>
      <c r="L13" s="42">
        <f t="array" ref="L13">INDEX(Escenarios!$D$27:$H$27,$D$5)</f>
        <v/>
      </c>
      <c r="M13" s="145" t="n"/>
      <c r="N13" s="145" t="n"/>
      <c r="O13" s="145" t="n"/>
      <c r="P13" s="145" t="n"/>
      <c r="Q13" s="37">
        <f>TEXT(EDATE(TODAY(),-2),"YYYY-MM")</f>
        <v/>
      </c>
      <c r="R13" s="145" t="n"/>
      <c r="S13" s="145" t="n"/>
      <c r="T13" s="145" t="n"/>
      <c r="U13" s="145" t="n"/>
      <c r="V13" s="145" t="n"/>
      <c r="W13" s="145" t="n"/>
      <c r="X13" s="145" t="n"/>
      <c r="Y13" s="145" t="n"/>
      <c r="Z13" s="145" t="n"/>
    </row>
    <row r="14" ht="15" customHeight="1" s="311">
      <c r="A14" s="145" t="n"/>
      <c r="B14" s="23">
        <f>Escenarios!$E$4</f>
        <v/>
      </c>
      <c r="C14" s="61">
        <f>Escenarios!$E$6</f>
        <v/>
      </c>
      <c r="D14" s="61">
        <f>Escenarios!$E$26</f>
        <v/>
      </c>
      <c r="E14" s="61">
        <f>Escenarios!$E$29</f>
        <v/>
      </c>
      <c r="F14" s="80">
        <f>Escenarios!$E$30</f>
        <v/>
      </c>
      <c r="G14" s="61">
        <f>Escenarios!$E$31</f>
        <v/>
      </c>
      <c r="H14" s="80">
        <f>Escenarios!$E$54</f>
        <v/>
      </c>
      <c r="I14" s="145" t="n"/>
      <c r="J14" s="145" t="n"/>
      <c r="K14" s="40" t="inlineStr">
        <is>
          <t>Te queda para ti</t>
        </is>
      </c>
      <c r="L14" s="42">
        <f t="array" ref="L14">INDEX(Escenarios!$D$30:$H$30,$D$5)</f>
        <v/>
      </c>
      <c r="M14" s="145" t="n"/>
      <c r="N14" s="145" t="n"/>
      <c r="O14" s="145" t="n"/>
      <c r="P14" s="145" t="n"/>
      <c r="Q14" s="37">
        <f>TEXT(EDATE(TODAY(),-1),"YYYY-MM")</f>
        <v/>
      </c>
      <c r="R14" s="145" t="n"/>
      <c r="S14" s="145" t="n"/>
      <c r="T14" s="145" t="n"/>
      <c r="U14" s="145" t="n"/>
      <c r="V14" s="145" t="n"/>
      <c r="W14" s="145" t="n"/>
      <c r="X14" s="145" t="n"/>
      <c r="Y14" s="145" t="n"/>
      <c r="Z14" s="145" t="n"/>
    </row>
    <row r="15" ht="15" customHeight="1" s="311">
      <c r="A15" s="145" t="n"/>
      <c r="B15" s="23">
        <f>Escenarios!$F$4</f>
        <v/>
      </c>
      <c r="C15" s="61">
        <f>Escenarios!$F$6</f>
        <v/>
      </c>
      <c r="D15" s="61">
        <f>Escenarios!$F$26</f>
        <v/>
      </c>
      <c r="E15" s="61">
        <f>Escenarios!$F$29</f>
        <v/>
      </c>
      <c r="F15" s="80">
        <f>Escenarios!$F$30</f>
        <v/>
      </c>
      <c r="G15" s="61">
        <f>Escenarios!$F$31</f>
        <v/>
      </c>
      <c r="H15" s="80">
        <f>Escenarios!$F$54</f>
        <v/>
      </c>
      <c r="I15" s="145" t="n"/>
      <c r="J15" s="145" t="n"/>
      <c r="K15" s="31" t="inlineStr">
        <is>
          <t>TOTAL</t>
        </is>
      </c>
      <c r="L15" s="86">
        <f>SUM($L$9:$L$14)</f>
        <v/>
      </c>
      <c r="M15" s="145" t="n"/>
      <c r="N15" s="145" t="n"/>
      <c r="O15" s="145" t="n"/>
      <c r="P15" s="145" t="n"/>
      <c r="Q15" s="37">
        <f>TEXT(EDATE(TODAY(),0),"YYYY-MM")</f>
        <v/>
      </c>
      <c r="R15" s="145" t="n"/>
      <c r="S15" s="145" t="n"/>
      <c r="T15" s="145" t="n"/>
      <c r="U15" s="145" t="n"/>
      <c r="V15" s="145" t="n"/>
      <c r="W15" s="145" t="n"/>
      <c r="X15" s="145" t="n"/>
      <c r="Y15" s="145" t="n"/>
      <c r="Z15" s="145" t="n"/>
    </row>
    <row r="16" ht="15" customHeight="1" s="311">
      <c r="A16" s="145" t="n"/>
      <c r="B16" s="23">
        <f>Escenarios!$G$4</f>
        <v/>
      </c>
      <c r="C16" s="61">
        <f>Escenarios!$G$6</f>
        <v/>
      </c>
      <c r="D16" s="61">
        <f>Escenarios!$G$26</f>
        <v/>
      </c>
      <c r="E16" s="61">
        <f>Escenarios!$G$29</f>
        <v/>
      </c>
      <c r="F16" s="80">
        <f>Escenarios!$G$30</f>
        <v/>
      </c>
      <c r="G16" s="61">
        <f>Escenarios!$G$31</f>
        <v/>
      </c>
      <c r="H16" s="80">
        <f>Escenarios!$G$54</f>
        <v/>
      </c>
      <c r="I16" s="145" t="n"/>
      <c r="J16" s="145" t="n"/>
      <c r="K16" s="40" t="inlineStr">
        <is>
          <t>Control: debe igualar el ingreso</t>
        </is>
      </c>
      <c r="L16" s="57">
        <f t="array" ref="L16">$L$15-INDEX(Escenarios!$D$6:$H$6,$D$5)</f>
        <v/>
      </c>
      <c r="M16" s="145" t="n"/>
      <c r="N16" s="145" t="n"/>
      <c r="O16" s="145" t="n"/>
      <c r="P16" s="145" t="n"/>
      <c r="Q16" s="37">
        <f>TEXT(EDATE(TODAY(),1),"YYYY-MM")</f>
        <v/>
      </c>
      <c r="R16" s="145" t="n"/>
      <c r="S16" s="145" t="n"/>
      <c r="T16" s="145" t="n"/>
      <c r="U16" s="145" t="n"/>
      <c r="V16" s="145" t="n"/>
      <c r="W16" s="145" t="n"/>
      <c r="X16" s="145" t="n"/>
      <c r="Y16" s="145" t="n"/>
      <c r="Z16" s="145" t="n"/>
    </row>
    <row r="17" ht="15" customHeight="1" s="311">
      <c r="A17" s="145" t="n"/>
      <c r="B17" s="23">
        <f>Escenarios!$H$4</f>
        <v/>
      </c>
      <c r="C17" s="61">
        <f>Escenarios!$H$6</f>
        <v/>
      </c>
      <c r="D17" s="61">
        <f>Escenarios!$H$26</f>
        <v/>
      </c>
      <c r="E17" s="61">
        <f>Escenarios!$H$29</f>
        <v/>
      </c>
      <c r="F17" s="80">
        <f>Escenarios!$H$30</f>
        <v/>
      </c>
      <c r="G17" s="61">
        <f>Escenarios!$H$31</f>
        <v/>
      </c>
      <c r="H17" s="80">
        <f>Escenarios!$H$54</f>
        <v/>
      </c>
      <c r="I17" s="145" t="n"/>
      <c r="J17" s="145" t="n"/>
      <c r="K17" s="145" t="n"/>
      <c r="L17" s="145" t="n"/>
      <c r="M17" s="145" t="n"/>
      <c r="N17" s="145" t="n"/>
      <c r="O17" s="145" t="n"/>
      <c r="P17" s="145" t="n"/>
      <c r="Q17" s="37">
        <f>TEXT(EDATE(TODAY(),2),"YYYY-MM")</f>
        <v/>
      </c>
      <c r="R17" s="145" t="n"/>
      <c r="S17" s="145" t="n"/>
      <c r="T17" s="145" t="n"/>
      <c r="U17" s="145" t="n"/>
      <c r="V17" s="145" t="n"/>
      <c r="W17" s="145" t="n"/>
      <c r="X17" s="145" t="n"/>
      <c r="Y17" s="145" t="n"/>
      <c r="Z17" s="145" t="n"/>
    </row>
    <row r="18" ht="21.75" customHeight="1" s="311">
      <c r="A18" s="145" t="n"/>
      <c r="B18" s="38" t="inlineStr">
        <is>
          <t>🏆 MEJOR EN CADA COLUMNA</t>
        </is>
      </c>
      <c r="C18" s="87">
        <f t="array" ref="C18">IFERROR(INDEX($B$13:$B$17,MATCH(MAX(C13:C17),C13:C17,0)),"")</f>
        <v/>
      </c>
      <c r="D18" s="87">
        <f t="array" ref="D18">IFERROR(INDEX($B$13:$B$17,MATCH(MIN(D13:D17),D13:D17,0)),"")</f>
        <v/>
      </c>
      <c r="E18" s="87">
        <f>IFERROR(INDEX($B$13:$B$17,MATCH(MAX(E13:E17),E13:E17,0)),"")</f>
        <v/>
      </c>
      <c r="F18" s="87">
        <f>IFERROR(INDEX($B$13:$B$17,MATCH(MAX(F13:F17),F13:F17,0)),"")</f>
        <v/>
      </c>
      <c r="G18" s="87">
        <f>IFERROR(INDEX($B$13:$B$17,MATCH(MAX(G13:G17),G13:G17,0)),"")</f>
        <v/>
      </c>
      <c r="H18" s="87">
        <f>IFERROR(INDEX($B$13:$B$17,MATCH(MAX(H13:H17),H13:H17,0)),"")</f>
        <v/>
      </c>
      <c r="I18" s="145" t="n"/>
      <c r="J18" s="145" t="n"/>
      <c r="K18" s="33" t="inlineStr">
        <is>
          <t>Escenario</t>
        </is>
      </c>
      <c r="L18" s="33" t="inlineStr">
        <is>
          <t>Te queda</t>
        </is>
      </c>
      <c r="M18" s="33" t="inlineStr">
        <is>
          <t>Ahorro</t>
        </is>
      </c>
      <c r="N18" s="33" t="inlineStr">
        <is>
          <t>Superávit hogar</t>
        </is>
      </c>
      <c r="O18" s="145" t="n"/>
      <c r="P18" s="145" t="n"/>
      <c r="Q18" s="37">
        <f>TEXT(EDATE(TODAY(),3),"YYYY-MM")</f>
        <v/>
      </c>
      <c r="R18" s="145" t="n"/>
      <c r="S18" s="145" t="n"/>
      <c r="T18" s="145" t="n"/>
      <c r="U18" s="145" t="n"/>
      <c r="V18" s="145" t="n"/>
      <c r="W18" s="145" t="n"/>
      <c r="X18" s="145" t="n"/>
      <c r="Y18" s="145" t="n"/>
      <c r="Z18" s="145" t="n"/>
    </row>
    <row r="19" ht="32.25" customHeight="1" s="311">
      <c r="A19" s="145" t="n"/>
      <c r="B19" s="20" t="inlineStr">
        <is>
          <t>En "Gastos personales" gana el más bajo; en el resto, el más alto. Cuidado: el escenario que más aporta a la casa puede ser el que menos te deja a ti.</t>
        </is>
      </c>
      <c r="E19" s="145" t="n"/>
      <c r="F19" s="145" t="n"/>
      <c r="G19" s="145" t="n"/>
      <c r="H19" s="145" t="n"/>
      <c r="I19" s="145" t="n"/>
      <c r="J19" s="145" t="n"/>
      <c r="K19" s="40">
        <f>Escenarios!$D$4</f>
        <v/>
      </c>
      <c r="L19" s="42">
        <f>Escenarios!$D$30</f>
        <v/>
      </c>
      <c r="M19" s="42">
        <f>Escenarios!$D$31</f>
        <v/>
      </c>
      <c r="N19" s="42">
        <f>Escenarios!$D$49</f>
        <v/>
      </c>
      <c r="O19" s="145" t="n"/>
      <c r="P19" s="145" t="n"/>
      <c r="Q19" s="37">
        <f>TEXT(EDATE(TODAY(),4),"YYYY-MM")</f>
        <v/>
      </c>
      <c r="R19" s="145" t="n"/>
      <c r="S19" s="145" t="n"/>
      <c r="T19" s="145" t="n"/>
      <c r="U19" s="145" t="n"/>
      <c r="V19" s="145" t="n"/>
      <c r="W19" s="145" t="n"/>
      <c r="X19" s="145" t="n"/>
      <c r="Y19" s="145" t="n"/>
      <c r="Z19" s="145" t="n"/>
    </row>
    <row r="20" ht="15" customHeight="1" s="311">
      <c r="A20" s="145" t="n"/>
      <c r="B20" s="145" t="n"/>
      <c r="C20" s="145" t="n"/>
      <c r="D20" s="145" t="n"/>
      <c r="E20" s="145" t="n"/>
      <c r="F20" s="145" t="n"/>
      <c r="G20" s="145" t="n"/>
      <c r="H20" s="145" t="n"/>
      <c r="I20" s="145" t="n"/>
      <c r="J20" s="145" t="n"/>
      <c r="K20" s="40">
        <f>Escenarios!$E$4</f>
        <v/>
      </c>
      <c r="L20" s="42">
        <f>Escenarios!$E$30</f>
        <v/>
      </c>
      <c r="M20" s="42">
        <f>Escenarios!$E$31</f>
        <v/>
      </c>
      <c r="N20" s="42">
        <f>Escenarios!$E$49</f>
        <v/>
      </c>
      <c r="O20" s="145" t="n"/>
      <c r="P20" s="145" t="n"/>
      <c r="Q20" s="37">
        <f>TEXT(EDATE(TODAY(),5),"YYYY-MM")</f>
        <v/>
      </c>
      <c r="R20" s="145" t="n"/>
      <c r="S20" s="145" t="n"/>
      <c r="T20" s="145" t="n"/>
      <c r="U20" s="145" t="n"/>
      <c r="V20" s="145" t="n"/>
      <c r="W20" s="145" t="n"/>
      <c r="X20" s="145" t="n"/>
      <c r="Y20" s="145" t="n"/>
      <c r="Z20" s="145" t="n"/>
    </row>
    <row r="21" ht="21.75" customHeight="1" s="311">
      <c r="A21" s="145" t="n"/>
      <c r="B21" s="21" t="inlineStr">
        <is>
          <t>2.  ¿ME ALCANZA ESTE MES?</t>
        </is>
      </c>
      <c r="C21" s="22" t="n"/>
      <c r="D21" s="22" t="n"/>
      <c r="E21" s="22" t="n"/>
      <c r="F21" s="22" t="n"/>
      <c r="G21" s="22" t="n"/>
      <c r="H21" s="22" t="n"/>
      <c r="I21" s="145" t="n"/>
      <c r="J21" s="145" t="n"/>
      <c r="K21" s="40">
        <f>Escenarios!$F$4</f>
        <v/>
      </c>
      <c r="L21" s="42">
        <f>Escenarios!$F$30</f>
        <v/>
      </c>
      <c r="M21" s="42">
        <f>Escenarios!$F$31</f>
        <v/>
      </c>
      <c r="N21" s="42">
        <f>Escenarios!$F$49</f>
        <v/>
      </c>
      <c r="O21" s="145" t="n"/>
      <c r="P21" s="145" t="n"/>
      <c r="Q21" s="37">
        <f>TEXT(EDATE(TODAY(),6),"YYYY-MM")</f>
        <v/>
      </c>
      <c r="R21" s="145" t="n"/>
      <c r="S21" s="145" t="n"/>
      <c r="T21" s="145" t="n"/>
      <c r="U21" s="145" t="n"/>
      <c r="V21" s="145" t="n"/>
      <c r="W21" s="145" t="n"/>
      <c r="X21" s="145" t="n"/>
      <c r="Y21" s="145" t="n"/>
      <c r="Z21" s="145" t="n"/>
    </row>
    <row r="22" ht="15.75" customHeight="1" s="311">
      <c r="A22" s="145" t="n"/>
      <c r="B22" s="38" t="inlineStr">
        <is>
          <t>Disponible bancario hoy</t>
        </is>
      </c>
      <c r="C22" s="68">
        <f>Disponibilidad!$G$33</f>
        <v/>
      </c>
      <c r="D22" s="313" t="n"/>
      <c r="E22" s="314" t="n"/>
      <c r="F22" s="145" t="n"/>
      <c r="G22" s="145" t="n"/>
      <c r="H22" s="145" t="n"/>
      <c r="I22" s="145" t="n"/>
      <c r="J22" s="145" t="n"/>
      <c r="K22" s="40">
        <f>Escenarios!$G$4</f>
        <v/>
      </c>
      <c r="L22" s="42">
        <f>Escenarios!$G$30</f>
        <v/>
      </c>
      <c r="M22" s="42">
        <f>Escenarios!$G$31</f>
        <v/>
      </c>
      <c r="N22" s="42">
        <f>Escenarios!$G$49</f>
        <v/>
      </c>
      <c r="O22" s="145" t="n"/>
      <c r="P22" s="145" t="n"/>
      <c r="Q22" s="37">
        <f>TEXT(EDATE(TODAY(),7),"YYYY-MM")</f>
        <v/>
      </c>
      <c r="R22" s="145" t="n"/>
      <c r="S22" s="145" t="n"/>
      <c r="T22" s="145" t="n"/>
      <c r="U22" s="145" t="n"/>
      <c r="V22" s="145" t="n"/>
      <c r="W22" s="145" t="n"/>
      <c r="X22" s="145" t="n"/>
      <c r="Y22" s="145" t="n"/>
      <c r="Z22" s="145" t="n"/>
    </row>
    <row r="23" ht="15.75" customHeight="1" s="311">
      <c r="A23" s="145" t="n"/>
      <c r="B23" s="46" t="inlineStr">
        <is>
          <t>Saldo pendiente de facturas</t>
        </is>
      </c>
      <c r="C23" s="61">
        <f>Facturas!$AG$20</f>
        <v/>
      </c>
      <c r="D23" s="313" t="n"/>
      <c r="E23" s="314" t="n"/>
      <c r="F23" s="145" t="n"/>
      <c r="G23" s="145" t="n"/>
      <c r="H23" s="145" t="n"/>
      <c r="I23" s="145" t="n"/>
      <c r="J23" s="145" t="n"/>
      <c r="K23" s="40">
        <f>Escenarios!$H$4</f>
        <v/>
      </c>
      <c r="L23" s="42">
        <f>Escenarios!$H$30</f>
        <v/>
      </c>
      <c r="M23" s="42">
        <f>Escenarios!$H$31</f>
        <v/>
      </c>
      <c r="N23" s="42">
        <f>Escenarios!$H$49</f>
        <v/>
      </c>
      <c r="O23" s="145" t="n"/>
      <c r="P23" s="145" t="n"/>
      <c r="Q23" s="37">
        <f>TEXT(EDATE(TODAY(),8),"YYYY-MM")</f>
        <v/>
      </c>
      <c r="R23" s="145" t="n"/>
      <c r="S23" s="145" t="n"/>
      <c r="T23" s="145" t="n"/>
      <c r="U23" s="145" t="n"/>
      <c r="V23" s="145" t="n"/>
      <c r="W23" s="145" t="n"/>
      <c r="X23" s="145" t="n"/>
      <c r="Y23" s="145" t="n"/>
      <c r="Z23" s="145" t="n"/>
    </row>
    <row r="24" ht="15.75" customHeight="1" s="311">
      <c r="A24" s="145" t="n"/>
      <c r="B24" s="46" t="inlineStr">
        <is>
          <t>— de ello, vencido</t>
        </is>
      </c>
      <c r="C24" s="61">
        <f>Facturas!$AG$24</f>
        <v/>
      </c>
      <c r="D24" s="313" t="n"/>
      <c r="E24" s="314" t="n"/>
      <c r="F24" s="145" t="n"/>
      <c r="G24" s="145" t="n"/>
      <c r="H24" s="145" t="n"/>
      <c r="I24" s="145" t="n"/>
      <c r="J24" s="145" t="n"/>
      <c r="K24" s="145" t="n"/>
      <c r="L24" s="145" t="n"/>
      <c r="M24" s="145" t="n"/>
      <c r="N24" s="145" t="n"/>
      <c r="O24" s="145" t="n"/>
      <c r="P24" s="145" t="n"/>
      <c r="Q24" s="37">
        <f>TEXT(EDATE(TODAY(),9),"YYYY-MM")</f>
        <v/>
      </c>
      <c r="R24" s="145" t="n"/>
      <c r="S24" s="145" t="n"/>
      <c r="T24" s="145" t="n"/>
      <c r="U24" s="145" t="n"/>
      <c r="V24" s="145" t="n"/>
      <c r="W24" s="145" t="n"/>
      <c r="X24" s="145" t="n"/>
      <c r="Y24" s="145" t="n"/>
      <c r="Z24" s="145" t="n"/>
    </row>
    <row r="25" ht="15.75" customHeight="1" s="311">
      <c r="A25" s="145" t="n"/>
      <c r="B25" s="46" t="inlineStr">
        <is>
          <t>Vencen en 7 días o menos</t>
        </is>
      </c>
      <c r="C25" s="61">
        <f>Facturas!$AG$25</f>
        <v/>
      </c>
      <c r="D25" s="313" t="n"/>
      <c r="E25" s="314" t="n"/>
      <c r="F25" s="145" t="n"/>
      <c r="G25" s="145" t="n"/>
      <c r="H25" s="145" t="n"/>
      <c r="I25" s="145" t="n"/>
      <c r="J25" s="145" t="n"/>
      <c r="K25" s="145" t="n"/>
      <c r="L25" s="145" t="n"/>
      <c r="M25" s="145" t="n"/>
      <c r="N25" s="145" t="n"/>
      <c r="O25" s="145" t="n"/>
      <c r="P25" s="145" t="n"/>
      <c r="Q25" s="145" t="n"/>
      <c r="R25" s="145" t="n"/>
      <c r="S25" s="145" t="n"/>
      <c r="T25" s="145" t="n"/>
      <c r="U25" s="145" t="n"/>
      <c r="V25" s="145" t="n"/>
      <c r="W25" s="145" t="n"/>
      <c r="X25" s="145" t="n"/>
      <c r="Y25" s="145" t="n"/>
      <c r="Z25" s="145" t="n"/>
    </row>
    <row r="26" ht="21.75" customHeight="1" s="311">
      <c r="A26" s="145" t="n"/>
      <c r="B26" s="38" t="inlineStr">
        <is>
          <t>Te quedaría después de pagarlo todo</t>
        </is>
      </c>
      <c r="C26" s="68">
        <f>Disponibilidad!$G$40</f>
        <v/>
      </c>
      <c r="D26" s="313" t="n"/>
      <c r="E26" s="314" t="n"/>
      <c r="F26" s="145" t="n"/>
      <c r="G26" s="145" t="n"/>
      <c r="H26" s="145" t="n"/>
      <c r="I26" s="145" t="n"/>
      <c r="J26" s="145" t="n"/>
      <c r="K26" s="33" t="inlineStr">
        <is>
          <t>Objetivo</t>
        </is>
      </c>
      <c r="L26" s="33" t="inlineStr">
        <is>
          <t>Importe (€)</t>
        </is>
      </c>
      <c r="M26" s="145" t="n"/>
      <c r="N26" s="145" t="n"/>
      <c r="O26" s="145" t="n"/>
      <c r="P26" s="145" t="n"/>
      <c r="Q26" s="145" t="n"/>
      <c r="R26" s="145" t="n"/>
      <c r="S26" s="145" t="n"/>
      <c r="T26" s="145" t="n"/>
      <c r="U26" s="145" t="n"/>
      <c r="V26" s="145" t="n"/>
      <c r="W26" s="145" t="n"/>
      <c r="X26" s="145" t="n"/>
      <c r="Y26" s="145" t="n"/>
      <c r="Z26" s="145" t="n"/>
    </row>
    <row r="27" ht="15.75" customHeight="1" s="311">
      <c r="A27" s="145" t="n"/>
      <c r="B27" s="46" t="inlineStr">
        <is>
          <t>Cobertura (veces)</t>
        </is>
      </c>
      <c r="C27" s="322">
        <f>IFERROR(Disponibilidad!$G$41,"")</f>
        <v/>
      </c>
      <c r="D27" s="313" t="n"/>
      <c r="E27" s="314" t="n"/>
      <c r="F27" s="145" t="n"/>
      <c r="G27" s="145" t="n"/>
      <c r="H27" s="145" t="n"/>
      <c r="I27" s="145" t="n"/>
      <c r="J27" s="145" t="n"/>
      <c r="K27" s="40" t="inlineStr">
        <is>
          <t>Patrimonio hoy</t>
        </is>
      </c>
      <c r="L27" s="42">
        <f t="array" ref="L27">INDEX(Escenarios!$D$64:$H$64,$D$5)</f>
        <v/>
      </c>
      <c r="M27" s="145" t="n"/>
      <c r="N27" s="145" t="n"/>
      <c r="O27" s="145" t="n"/>
      <c r="P27" s="145" t="n"/>
      <c r="Q27" s="145" t="n"/>
      <c r="R27" s="145" t="n"/>
      <c r="S27" s="145" t="n"/>
      <c r="T27" s="145" t="n"/>
      <c r="U27" s="145" t="n"/>
      <c r="V27" s="145" t="n"/>
      <c r="W27" s="145" t="n"/>
      <c r="X27" s="145" t="n"/>
      <c r="Y27" s="145" t="n"/>
      <c r="Z27" s="145" t="n"/>
    </row>
    <row r="28" ht="15.75" customHeight="1" s="311">
      <c r="A28" s="145" t="n"/>
      <c r="B28" s="46" t="inlineStr">
        <is>
          <t>Días de autonomía</t>
        </is>
      </c>
      <c r="C28" s="133">
        <f>IFERROR(Disponibilidad!$G$43,"")</f>
        <v/>
      </c>
      <c r="D28" s="313" t="n"/>
      <c r="E28" s="314" t="n"/>
      <c r="F28" s="145" t="n"/>
      <c r="G28" s="145" t="n"/>
      <c r="H28" s="145" t="n"/>
      <c r="I28" s="145" t="n"/>
      <c r="J28" s="145" t="n"/>
      <c r="K28" s="40" t="inlineStr">
        <is>
          <t>Objetivo 120 meses</t>
        </is>
      </c>
      <c r="L28" s="42">
        <f t="array" ref="L28">INDEX(Escenarios!$D$61:$H$61,$D$5)</f>
        <v/>
      </c>
      <c r="M28" s="145" t="n"/>
      <c r="N28" s="145" t="n"/>
      <c r="O28" s="145" t="n"/>
      <c r="P28" s="145" t="n"/>
      <c r="Q28" s="145" t="n"/>
      <c r="R28" s="145" t="n"/>
      <c r="S28" s="145" t="n"/>
      <c r="T28" s="145" t="n"/>
      <c r="U28" s="145" t="n"/>
      <c r="V28" s="145" t="n"/>
      <c r="W28" s="145" t="n"/>
      <c r="X28" s="145" t="n"/>
      <c r="Y28" s="145" t="n"/>
      <c r="Z28" s="145" t="n"/>
    </row>
    <row r="29" ht="15.75" customHeight="1" s="311">
      <c r="A29" s="145" t="n"/>
      <c r="B29" s="38" t="inlineStr">
        <is>
          <t>Saldo mínimo proyectado en 30 días</t>
        </is>
      </c>
      <c r="C29" s="68">
        <f>Tesoreria!$P$67</f>
        <v/>
      </c>
      <c r="D29" s="313" t="n"/>
      <c r="E29" s="314" t="n"/>
      <c r="F29" s="145" t="n"/>
      <c r="G29" s="145" t="n"/>
      <c r="H29" s="145" t="n"/>
      <c r="I29" s="145" t="n"/>
      <c r="J29" s="145" t="n"/>
      <c r="K29" s="40" t="inlineStr">
        <is>
          <t>Objetivo regla 4%</t>
        </is>
      </c>
      <c r="L29" s="42">
        <f t="array" ref="L29">INDEX(Escenarios!$D$63:$H$63,$D$5)</f>
        <v/>
      </c>
      <c r="M29" s="145" t="n"/>
      <c r="N29" s="145" t="n"/>
      <c r="O29" s="145" t="n"/>
      <c r="P29" s="145" t="n"/>
      <c r="Q29" s="145" t="n"/>
      <c r="R29" s="145" t="n"/>
      <c r="S29" s="145" t="n"/>
      <c r="T29" s="145" t="n"/>
      <c r="U29" s="145" t="n"/>
      <c r="V29" s="145" t="n"/>
      <c r="W29" s="145" t="n"/>
      <c r="X29" s="145" t="n"/>
      <c r="Y29" s="145" t="n"/>
      <c r="Z29" s="145" t="n"/>
    </row>
    <row r="30" ht="15.75" customHeight="1" s="311">
      <c r="A30" s="145" t="n"/>
      <c r="B30" s="103" t="inlineStr">
        <is>
          <t>DIAGNÓSTICO</t>
        </is>
      </c>
      <c r="C30" s="87">
        <f>Disponibilidad!$G$44</f>
        <v/>
      </c>
      <c r="D30" s="313" t="n"/>
      <c r="E30" s="314" t="n"/>
      <c r="F30" s="145" t="n"/>
      <c r="G30" s="145" t="n"/>
      <c r="H30" s="145" t="n"/>
      <c r="I30" s="145" t="n"/>
      <c r="J30" s="145" t="n"/>
      <c r="K30" s="145" t="n"/>
      <c r="L30" s="145" t="n"/>
      <c r="M30" s="145" t="n"/>
      <c r="N30" s="145" t="n"/>
      <c r="O30" s="145" t="n"/>
      <c r="P30" s="145" t="n"/>
      <c r="Q30" s="145" t="n"/>
      <c r="R30" s="145" t="n"/>
      <c r="S30" s="145" t="n"/>
      <c r="T30" s="145" t="n"/>
      <c r="U30" s="145" t="n"/>
      <c r="V30" s="145" t="n"/>
      <c r="W30" s="145" t="n"/>
      <c r="X30" s="145" t="n"/>
      <c r="Y30" s="145" t="n"/>
      <c r="Z30" s="145" t="n"/>
    </row>
    <row r="31" ht="15.75" customHeight="1" s="311">
      <c r="A31" s="145" t="n"/>
      <c r="B31" s="145" t="n"/>
      <c r="C31" s="145" t="n"/>
      <c r="D31" s="145" t="n"/>
      <c r="E31" s="145" t="n"/>
      <c r="F31" s="145" t="n"/>
      <c r="G31" s="145" t="n"/>
      <c r="H31" s="145" t="n"/>
      <c r="I31" s="145" t="n"/>
      <c r="J31" s="145" t="n"/>
      <c r="K31" s="145" t="n"/>
      <c r="L31" s="145" t="n"/>
      <c r="M31" s="145" t="n"/>
      <c r="N31" s="145" t="n"/>
      <c r="O31" s="145" t="n"/>
      <c r="P31" s="145" t="n"/>
      <c r="Q31" s="145" t="n"/>
      <c r="R31" s="145" t="n"/>
      <c r="S31" s="145" t="n"/>
      <c r="T31" s="145" t="n"/>
      <c r="U31" s="145" t="n"/>
      <c r="V31" s="145" t="n"/>
      <c r="W31" s="145" t="n"/>
      <c r="X31" s="145" t="n"/>
      <c r="Y31" s="145" t="n"/>
      <c r="Z31" s="145" t="n"/>
    </row>
    <row r="32" ht="21.75" customHeight="1" s="311">
      <c r="A32" s="145" t="n"/>
      <c r="B32" s="21" t="inlineStr">
        <is>
          <t>3.  ¿CUÁNDO LLEGO A LA INDEPENDENCIA FINANCIERA?</t>
        </is>
      </c>
      <c r="C32" s="22" t="n"/>
      <c r="D32" s="22" t="n"/>
      <c r="E32" s="22" t="n"/>
      <c r="F32" s="22" t="n"/>
      <c r="G32" s="22" t="n"/>
      <c r="H32" s="22" t="n"/>
      <c r="I32" s="145" t="n"/>
      <c r="J32" s="145" t="n"/>
      <c r="K32" s="145" t="n"/>
      <c r="L32" s="145" t="n"/>
      <c r="M32" s="145" t="n"/>
      <c r="N32" s="145" t="n"/>
      <c r="O32" s="145" t="n"/>
      <c r="P32" s="145" t="n"/>
      <c r="Q32" s="145" t="n"/>
      <c r="R32" s="145" t="n"/>
      <c r="S32" s="145" t="n"/>
      <c r="T32" s="145" t="n"/>
      <c r="U32" s="145" t="n"/>
      <c r="V32" s="145" t="n"/>
      <c r="W32" s="145" t="n"/>
      <c r="X32" s="145" t="n"/>
      <c r="Y32" s="145" t="n"/>
      <c r="Z32" s="145" t="n"/>
    </row>
    <row r="33" ht="15.75" customHeight="1" s="311">
      <c r="A33" s="145" t="n"/>
      <c r="B33" s="46" t="inlineStr">
        <is>
          <t>Gasto mensual que tendrías que cubrir sin trabajar</t>
        </is>
      </c>
      <c r="C33" s="61">
        <f t="array" ref="C33">INDEX(Escenarios!$D$59:$H$59,$D$5)</f>
        <v/>
      </c>
      <c r="D33" s="313" t="n"/>
      <c r="E33" s="314" t="n"/>
      <c r="F33" s="145" t="n"/>
      <c r="G33" s="145" t="n"/>
      <c r="H33" s="145" t="n"/>
      <c r="I33" s="145" t="n"/>
      <c r="J33" s="145" t="n"/>
      <c r="K33" s="145" t="n"/>
      <c r="L33" s="145" t="n"/>
      <c r="M33" s="145" t="n"/>
      <c r="N33" s="145" t="n"/>
      <c r="O33" s="145" t="n"/>
      <c r="P33" s="145" t="n"/>
      <c r="Q33" s="145" t="n"/>
      <c r="R33" s="145" t="n"/>
      <c r="S33" s="145" t="n"/>
      <c r="T33" s="145" t="n"/>
      <c r="U33" s="145" t="n"/>
      <c r="V33" s="145" t="n"/>
      <c r="W33" s="145" t="n"/>
      <c r="X33" s="145" t="n"/>
      <c r="Y33" s="145" t="n"/>
      <c r="Z33" s="145" t="n"/>
    </row>
    <row r="34" ht="15.75" customHeight="1" s="311">
      <c r="A34" s="145" t="n"/>
      <c r="B34" s="38" t="inlineStr">
        <is>
          <t>Objetivo con TU regla (gasto × 120 meses)</t>
        </is>
      </c>
      <c r="C34" s="68">
        <f t="array" ref="C34">INDEX(Escenarios!$D$61:$H$61,$D$5)</f>
        <v/>
      </c>
      <c r="D34" s="313" t="n"/>
      <c r="E34" s="314" t="n"/>
      <c r="F34" s="145" t="n"/>
      <c r="G34" s="145" t="n"/>
      <c r="H34" s="145" t="n"/>
      <c r="I34" s="145" t="n"/>
      <c r="J34" s="145" t="n"/>
      <c r="K34" s="145" t="n"/>
      <c r="L34" s="145" t="n"/>
      <c r="M34" s="145" t="n"/>
      <c r="N34" s="145" t="n"/>
      <c r="O34" s="145" t="n"/>
      <c r="P34" s="145" t="n"/>
      <c r="Q34" s="145" t="n"/>
      <c r="R34" s="145" t="n"/>
      <c r="S34" s="145" t="n"/>
      <c r="T34" s="145" t="n"/>
      <c r="U34" s="145" t="n"/>
      <c r="V34" s="145" t="n"/>
      <c r="W34" s="145" t="n"/>
      <c r="X34" s="145" t="n"/>
      <c r="Y34" s="145" t="n"/>
      <c r="Z34" s="145" t="n"/>
    </row>
    <row r="35" ht="15.75" customHeight="1" s="311">
      <c r="A35" s="145" t="n"/>
      <c r="B35" s="38" t="inlineStr">
        <is>
          <t>Objetivo con la regla del 4% (gasto × 300 meses)</t>
        </is>
      </c>
      <c r="C35" s="68">
        <f t="array" ref="C35">INDEX(Escenarios!$D$63:$H$63,$D$5)</f>
        <v/>
      </c>
      <c r="D35" s="313" t="n"/>
      <c r="E35" s="314" t="n"/>
      <c r="F35" s="145" t="n"/>
      <c r="G35" s="145" t="n"/>
      <c r="H35" s="145" t="n"/>
      <c r="I35" s="145" t="n"/>
      <c r="J35" s="145" t="n"/>
      <c r="K35" s="145" t="n"/>
      <c r="L35" s="145" t="n"/>
      <c r="M35" s="145" t="n"/>
      <c r="N35" s="145" t="n"/>
      <c r="O35" s="145" t="n"/>
      <c r="P35" s="145" t="n"/>
      <c r="Q35" s="145" t="n"/>
      <c r="R35" s="145" t="n"/>
      <c r="S35" s="145" t="n"/>
      <c r="T35" s="145" t="n"/>
      <c r="U35" s="145" t="n"/>
      <c r="V35" s="145" t="n"/>
      <c r="W35" s="145" t="n"/>
      <c r="X35" s="145" t="n"/>
      <c r="Y35" s="145" t="n"/>
      <c r="Z35" s="145" t="n"/>
    </row>
    <row r="36" ht="15.75" customHeight="1" s="311">
      <c r="A36" s="145" t="n"/>
      <c r="B36" s="46" t="inlineStr">
        <is>
          <t>Patrimonio invertido hoy</t>
        </is>
      </c>
      <c r="C36" s="61">
        <f t="array" ref="C36">INDEX(Escenarios!$D$64:$H$64,$D$5)</f>
        <v/>
      </c>
      <c r="D36" s="313" t="n"/>
      <c r="E36" s="314" t="n"/>
      <c r="F36" s="145" t="n"/>
      <c r="G36" s="145" t="n"/>
      <c r="H36" s="145" t="n"/>
      <c r="I36" s="145" t="n"/>
      <c r="J36" s="145" t="n"/>
      <c r="K36" s="145" t="n"/>
      <c r="L36" s="145" t="n"/>
      <c r="M36" s="145" t="n"/>
      <c r="N36" s="145" t="n"/>
      <c r="O36" s="145" t="n"/>
      <c r="P36" s="145" t="n"/>
      <c r="Q36" s="145" t="n"/>
      <c r="R36" s="145" t="n"/>
      <c r="S36" s="145" t="n"/>
      <c r="T36" s="145" t="n"/>
      <c r="U36" s="145" t="n"/>
      <c r="V36" s="145" t="n"/>
      <c r="W36" s="145" t="n"/>
      <c r="X36" s="145" t="n"/>
      <c r="Y36" s="145" t="n"/>
      <c r="Z36" s="145" t="n"/>
    </row>
    <row r="37" ht="15.75" customHeight="1" s="311">
      <c r="A37" s="145" t="n"/>
      <c r="B37" s="46" t="inlineStr">
        <is>
          <t>Aporte mensual a inversión</t>
        </is>
      </c>
      <c r="C37" s="61">
        <f t="array" ref="C37">INDEX(Escenarios!$D$13:$H$13,$D$5)</f>
        <v/>
      </c>
      <c r="D37" s="313" t="n"/>
      <c r="E37" s="314" t="n"/>
      <c r="F37" s="145" t="n"/>
      <c r="G37" s="145" t="n"/>
      <c r="H37" s="145" t="n"/>
      <c r="I37" s="145" t="n"/>
      <c r="J37" s="145" t="n"/>
      <c r="K37" s="145" t="n"/>
      <c r="L37" s="145" t="n"/>
      <c r="M37" s="145" t="n"/>
      <c r="N37" s="145" t="n"/>
      <c r="O37" s="145" t="n"/>
      <c r="P37" s="145" t="n"/>
      <c r="Q37" s="145" t="n"/>
      <c r="R37" s="145" t="n"/>
      <c r="S37" s="145" t="n"/>
      <c r="T37" s="145" t="n"/>
      <c r="U37" s="145" t="n"/>
      <c r="V37" s="145" t="n"/>
      <c r="W37" s="145" t="n"/>
      <c r="X37" s="145" t="n"/>
      <c r="Y37" s="145" t="n"/>
      <c r="Z37" s="145" t="n"/>
    </row>
    <row r="38" ht="15.75" customHeight="1" s="311">
      <c r="A38" s="145" t="n"/>
      <c r="B38" s="38" t="inlineStr">
        <is>
          <t>Progreso hacia el objetivo del 4%</t>
        </is>
      </c>
      <c r="C38" s="77">
        <f t="array" ref="C38">INDEX(Escenarios!$D$68:$H$68,$D$5)</f>
        <v/>
      </c>
      <c r="D38" s="313" t="n"/>
      <c r="E38" s="314" t="n"/>
      <c r="F38" s="145" t="n"/>
      <c r="G38" s="145" t="n"/>
      <c r="H38" s="145" t="n"/>
      <c r="I38" s="145" t="n"/>
      <c r="J38" s="145" t="n"/>
      <c r="K38" s="145" t="n"/>
      <c r="L38" s="145" t="n"/>
      <c r="M38" s="145" t="n"/>
      <c r="N38" s="145" t="n"/>
      <c r="O38" s="145" t="n"/>
      <c r="P38" s="145" t="n"/>
      <c r="Q38" s="145" t="n"/>
      <c r="R38" s="145" t="n"/>
      <c r="S38" s="145" t="n"/>
      <c r="T38" s="145" t="n"/>
      <c r="U38" s="145" t="n"/>
      <c r="V38" s="145" t="n"/>
      <c r="W38" s="145" t="n"/>
      <c r="X38" s="145" t="n"/>
      <c r="Y38" s="145" t="n"/>
      <c r="Z38" s="145" t="n"/>
    </row>
    <row r="39" ht="15.75" customHeight="1" s="311">
      <c r="A39" s="145" t="n"/>
      <c r="B39" s="46" t="inlineStr">
        <is>
          <t>Barra de progreso</t>
        </is>
      </c>
      <c r="C39" s="323">
        <f>IF($C$38="","",REPT("█",MAX(0,ROUND($C$38*40,0)))&amp;REPT("░",40-MAX(0,ROUND($C$38*40,0))))</f>
        <v/>
      </c>
      <c r="D39" s="313" t="n"/>
      <c r="E39" s="314" t="n"/>
      <c r="F39" s="145" t="n"/>
      <c r="G39" s="145" t="n"/>
      <c r="H39" s="145" t="n"/>
      <c r="I39" s="145" t="n"/>
      <c r="J39" s="145" t="n"/>
      <c r="K39" s="145" t="n"/>
      <c r="L39" s="145" t="n"/>
      <c r="M39" s="145" t="n"/>
      <c r="N39" s="145" t="n"/>
      <c r="O39" s="145" t="n"/>
      <c r="P39" s="145" t="n"/>
      <c r="Q39" s="145" t="n"/>
      <c r="R39" s="145" t="n"/>
      <c r="S39" s="145" t="n"/>
      <c r="T39" s="145" t="n"/>
      <c r="U39" s="145" t="n"/>
      <c r="V39" s="145" t="n"/>
      <c r="W39" s="145" t="n"/>
      <c r="X39" s="145" t="n"/>
      <c r="Y39" s="145" t="n"/>
      <c r="Z39" s="145" t="n"/>
    </row>
    <row r="40" ht="15.75" customHeight="1" s="311">
      <c r="A40" s="145" t="n"/>
      <c r="B40" s="38" t="inlineStr">
        <is>
          <t>Años hasta TU objetivo</t>
        </is>
      </c>
      <c r="C40" s="169">
        <f t="array" ref="C40">INDEX(Escenarios!$D$66:$H$66,$D$5)</f>
        <v/>
      </c>
      <c r="D40" s="313" t="n"/>
      <c r="E40" s="314" t="n"/>
      <c r="F40" s="145" t="n"/>
      <c r="G40" s="145" t="n"/>
      <c r="H40" s="145" t="n"/>
      <c r="I40" s="145" t="n"/>
      <c r="J40" s="145" t="n"/>
      <c r="K40" s="145" t="n"/>
      <c r="L40" s="145" t="n"/>
      <c r="M40" s="145" t="n"/>
      <c r="N40" s="145" t="n"/>
      <c r="O40" s="145" t="n"/>
      <c r="P40" s="145" t="n"/>
      <c r="Q40" s="145" t="n"/>
      <c r="R40" s="145" t="n"/>
      <c r="S40" s="145" t="n"/>
      <c r="T40" s="145" t="n"/>
      <c r="U40" s="145" t="n"/>
      <c r="V40" s="145" t="n"/>
      <c r="W40" s="145" t="n"/>
      <c r="X40" s="145" t="n"/>
      <c r="Y40" s="145" t="n"/>
      <c r="Z40" s="145" t="n"/>
    </row>
    <row r="41" ht="15.75" customHeight="1" s="311">
      <c r="A41" s="145" t="n"/>
      <c r="B41" s="38" t="inlineStr">
        <is>
          <t>Años hasta el objetivo del 4%</t>
        </is>
      </c>
      <c r="C41" s="169">
        <f t="array" ref="C41">INDEX(Escenarios!$D$67:$H$67,$D$5)</f>
        <v/>
      </c>
      <c r="D41" s="313" t="n"/>
      <c r="E41" s="314" t="n"/>
      <c r="F41" s="145" t="n"/>
      <c r="G41" s="145" t="n"/>
      <c r="H41" s="145" t="n"/>
      <c r="I41" s="145" t="n"/>
      <c r="J41" s="145" t="n"/>
      <c r="K41" s="145" t="n"/>
      <c r="L41" s="145" t="n"/>
      <c r="M41" s="145" t="n"/>
      <c r="N41" s="145" t="n"/>
      <c r="O41" s="145" t="n"/>
      <c r="P41" s="145" t="n"/>
      <c r="Q41" s="145" t="n"/>
      <c r="R41" s="145" t="n"/>
      <c r="S41" s="145" t="n"/>
      <c r="T41" s="145" t="n"/>
      <c r="U41" s="145" t="n"/>
      <c r="V41" s="145" t="n"/>
      <c r="W41" s="145" t="n"/>
      <c r="X41" s="145" t="n"/>
      <c r="Y41" s="145" t="n"/>
      <c r="Z41" s="145" t="n"/>
    </row>
    <row r="42" ht="15.75" customHeight="1" s="311">
      <c r="A42" s="145" t="n"/>
      <c r="B42" s="46" t="inlineStr">
        <is>
          <t>Edad estimada al llegar al 4% (si hoy tienes 40)</t>
        </is>
      </c>
      <c r="C42" s="133">
        <f>IF($C$41="","",40+$C$41)</f>
        <v/>
      </c>
      <c r="D42" s="313" t="n"/>
      <c r="E42" s="314" t="n"/>
      <c r="F42" s="145" t="n"/>
      <c r="G42" s="145" t="n"/>
      <c r="H42" s="145" t="n"/>
      <c r="I42" s="145" t="n"/>
      <c r="J42" s="145" t="n"/>
      <c r="K42" s="145" t="n"/>
      <c r="L42" s="145" t="n"/>
      <c r="M42" s="145" t="n"/>
      <c r="N42" s="145" t="n"/>
      <c r="O42" s="145" t="n"/>
      <c r="P42" s="145" t="n"/>
      <c r="Q42" s="145" t="n"/>
      <c r="R42" s="145" t="n"/>
      <c r="S42" s="145" t="n"/>
      <c r="T42" s="145" t="n"/>
      <c r="U42" s="145" t="n"/>
      <c r="V42" s="145" t="n"/>
      <c r="W42" s="145" t="n"/>
      <c r="X42" s="145" t="n"/>
      <c r="Y42" s="145" t="n"/>
      <c r="Z42" s="145" t="n"/>
    </row>
    <row r="43" ht="37.5" customHeight="1" s="311">
      <c r="A43" s="145" t="n"/>
      <c r="B43" s="20" t="inlineStr">
        <is>
          <t>Tu archivo calculaba el objetivo como salario × 120. Dos correcciones: se calcula sobre el GASTO (el salario desaparece cuando dejas de trabajar) y 120 meses son 10 años de gasto, no independencia perpetua. Para eso hace falta unas 300 veces el gasto mensual (regla del 4%).</t>
        </is>
      </c>
      <c r="F43" s="145" t="n"/>
      <c r="G43" s="145" t="n"/>
      <c r="H43" s="145" t="n"/>
      <c r="I43" s="145" t="n"/>
      <c r="J43" s="145" t="n"/>
      <c r="K43" s="145" t="n"/>
      <c r="L43" s="145" t="n"/>
      <c r="M43" s="145" t="n"/>
      <c r="N43" s="145" t="n"/>
      <c r="O43" s="145" t="n"/>
      <c r="P43" s="145" t="n"/>
      <c r="Q43" s="145" t="n"/>
      <c r="R43" s="145" t="n"/>
      <c r="S43" s="145" t="n"/>
      <c r="T43" s="145" t="n"/>
      <c r="U43" s="145" t="n"/>
      <c r="V43" s="145" t="n"/>
      <c r="W43" s="145" t="n"/>
      <c r="X43" s="145" t="n"/>
      <c r="Y43" s="145" t="n"/>
      <c r="Z43" s="145" t="n"/>
    </row>
    <row r="44" ht="15.75" customHeight="1" s="311">
      <c r="A44" s="145" t="n"/>
      <c r="B44" s="145" t="n"/>
      <c r="C44" s="145" t="n"/>
      <c r="D44" s="145" t="n"/>
      <c r="E44" s="145" t="n"/>
      <c r="F44" s="145" t="n"/>
      <c r="G44" s="145" t="n"/>
      <c r="H44" s="145" t="n"/>
      <c r="I44" s="145" t="n"/>
      <c r="J44" s="145" t="n"/>
      <c r="K44" s="145" t="n"/>
      <c r="L44" s="145" t="n"/>
      <c r="M44" s="145" t="n"/>
      <c r="N44" s="145" t="n"/>
      <c r="O44" s="145" t="n"/>
      <c r="P44" s="145" t="n"/>
      <c r="Q44" s="145" t="n"/>
      <c r="R44" s="145" t="n"/>
      <c r="S44" s="145" t="n"/>
      <c r="T44" s="145" t="n"/>
      <c r="U44" s="145" t="n"/>
      <c r="V44" s="145" t="n"/>
      <c r="W44" s="145" t="n"/>
      <c r="X44" s="145" t="n"/>
      <c r="Y44" s="145" t="n"/>
      <c r="Z44" s="145" t="n"/>
    </row>
    <row r="45" ht="21.75" customHeight="1" s="311">
      <c r="A45" s="145" t="n"/>
      <c r="B45" s="21" t="inlineStr">
        <is>
          <t>4.  ¿CÓMO VA EL PRESUPUESTO DEL HOGAR?</t>
        </is>
      </c>
      <c r="C45" s="22" t="n"/>
      <c r="D45" s="22" t="n"/>
      <c r="E45" s="22" t="n"/>
      <c r="F45" s="22" t="n"/>
      <c r="G45" s="22" t="n"/>
      <c r="H45" s="22" t="n"/>
      <c r="I45" s="145" t="n"/>
      <c r="J45" s="145" t="n"/>
      <c r="K45" s="145" t="n"/>
      <c r="L45" s="145" t="n"/>
      <c r="M45" s="145" t="n"/>
      <c r="N45" s="145" t="n"/>
      <c r="O45" s="145" t="n"/>
      <c r="P45" s="145" t="n"/>
      <c r="Q45" s="145" t="n"/>
      <c r="R45" s="145" t="n"/>
      <c r="S45" s="145" t="n"/>
      <c r="T45" s="145" t="n"/>
      <c r="U45" s="145" t="n"/>
      <c r="V45" s="145" t="n"/>
      <c r="W45" s="145" t="n"/>
      <c r="X45" s="145" t="n"/>
      <c r="Y45" s="145" t="n"/>
      <c r="Z45" s="145" t="n"/>
    </row>
    <row r="46" ht="15.75" customHeight="1" s="311">
      <c r="A46" s="145" t="n"/>
      <c r="B46" s="38" t="inlineStr">
        <is>
          <t>Ingreso total del hogar</t>
        </is>
      </c>
      <c r="C46" s="68">
        <f t="array" ref="C46">INDEX(Escenarios!$D$39:$H$39,$D$5)</f>
        <v/>
      </c>
      <c r="D46" s="313" t="n"/>
      <c r="E46" s="314" t="n"/>
      <c r="F46" s="145" t="n"/>
      <c r="G46" s="145" t="n"/>
      <c r="H46" s="145" t="n"/>
      <c r="I46" s="145" t="n"/>
      <c r="J46" s="145" t="n"/>
      <c r="K46" s="145" t="n"/>
      <c r="L46" s="145" t="n"/>
      <c r="M46" s="145" t="n"/>
      <c r="N46" s="145" t="n"/>
      <c r="O46" s="145" t="n"/>
      <c r="P46" s="145" t="n"/>
      <c r="Q46" s="145" t="n"/>
      <c r="R46" s="145" t="n"/>
      <c r="S46" s="145" t="n"/>
      <c r="T46" s="145" t="n"/>
      <c r="U46" s="145" t="n"/>
      <c r="V46" s="145" t="n"/>
      <c r="W46" s="145" t="n"/>
      <c r="X46" s="145" t="n"/>
      <c r="Y46" s="145" t="n"/>
      <c r="Z46" s="145" t="n"/>
    </row>
    <row r="47" ht="15.75" customHeight="1" s="311">
      <c r="A47" s="145" t="n"/>
      <c r="B47" s="46" t="inlineStr">
        <is>
          <t>— Nómina de Iris</t>
        </is>
      </c>
      <c r="C47" s="61">
        <f t="array" ref="C47">INDEX(Escenarios!$D$35:$H$35,$D$5)</f>
        <v/>
      </c>
      <c r="D47" s="313" t="n"/>
      <c r="E47" s="314" t="n"/>
      <c r="F47" s="145" t="n"/>
      <c r="G47" s="145" t="n"/>
      <c r="H47" s="145" t="n"/>
      <c r="I47" s="145" t="n"/>
      <c r="J47" s="145" t="n"/>
      <c r="K47" s="145" t="n"/>
      <c r="L47" s="145" t="n"/>
      <c r="M47" s="145" t="n"/>
      <c r="N47" s="145" t="n"/>
      <c r="O47" s="145" t="n"/>
      <c r="P47" s="145" t="n"/>
      <c r="Q47" s="145" t="n"/>
      <c r="R47" s="145" t="n"/>
      <c r="S47" s="145" t="n"/>
      <c r="T47" s="145" t="n"/>
      <c r="U47" s="145" t="n"/>
      <c r="V47" s="145" t="n"/>
      <c r="W47" s="145" t="n"/>
      <c r="X47" s="145" t="n"/>
      <c r="Y47" s="145" t="n"/>
      <c r="Z47" s="145" t="n"/>
    </row>
    <row r="48" ht="15.75" customHeight="1" s="311">
      <c r="A48" s="145" t="n"/>
      <c r="B48" s="46" t="inlineStr">
        <is>
          <t>— Ingreso de Stalin</t>
        </is>
      </c>
      <c r="C48" s="61">
        <f t="array" ref="C48">INDEX(Escenarios!$D$36:$H$36,$D$5)</f>
        <v/>
      </c>
      <c r="D48" s="313" t="n"/>
      <c r="E48" s="314" t="n"/>
      <c r="F48" s="145" t="n"/>
      <c r="G48" s="145" t="n"/>
      <c r="H48" s="145" t="n"/>
      <c r="I48" s="145" t="n"/>
      <c r="J48" s="145" t="n"/>
      <c r="K48" s="145" t="n"/>
      <c r="L48" s="145" t="n"/>
      <c r="M48" s="145" t="n"/>
      <c r="N48" s="145" t="n"/>
      <c r="O48" s="145" t="n"/>
      <c r="P48" s="145" t="n"/>
      <c r="Q48" s="145" t="n"/>
      <c r="R48" s="145" t="n"/>
      <c r="S48" s="145" t="n"/>
      <c r="T48" s="145" t="n"/>
      <c r="U48" s="145" t="n"/>
      <c r="V48" s="145" t="n"/>
      <c r="W48" s="145" t="n"/>
      <c r="X48" s="145" t="n"/>
      <c r="Y48" s="145" t="n"/>
      <c r="Z48" s="145" t="n"/>
    </row>
    <row r="49" ht="15.75" customHeight="1" s="311">
      <c r="A49" s="145" t="n"/>
      <c r="B49" s="46" t="inlineStr">
        <is>
          <t>— Ingreso de Tony</t>
        </is>
      </c>
      <c r="C49" s="61">
        <f t="array" ref="C49">INDEX(Escenarios!$D$37:$H$37,$D$5)</f>
        <v/>
      </c>
      <c r="D49" s="313" t="n"/>
      <c r="E49" s="314" t="n"/>
      <c r="F49" s="145" t="n"/>
      <c r="G49" s="145" t="n"/>
      <c r="H49" s="145" t="n"/>
      <c r="I49" s="145" t="n"/>
      <c r="J49" s="145" t="n"/>
      <c r="K49" s="145" t="n"/>
      <c r="L49" s="145" t="n"/>
      <c r="M49" s="145" t="n"/>
      <c r="N49" s="145" t="n"/>
      <c r="O49" s="145" t="n"/>
      <c r="P49" s="145" t="n"/>
      <c r="Q49" s="145" t="n"/>
      <c r="R49" s="145" t="n"/>
      <c r="S49" s="145" t="n"/>
      <c r="T49" s="145" t="n"/>
      <c r="U49" s="145" t="n"/>
      <c r="V49" s="145" t="n"/>
      <c r="W49" s="145" t="n"/>
      <c r="X49" s="145" t="n"/>
      <c r="Y49" s="145" t="n"/>
      <c r="Z49" s="145" t="n"/>
    </row>
    <row r="50" ht="15.75" customHeight="1" s="311">
      <c r="A50" s="145" t="n"/>
      <c r="B50" s="46" t="inlineStr">
        <is>
          <t>— Tu aporte</t>
        </is>
      </c>
      <c r="C50" s="61">
        <f t="array" ref="C50">INDEX(Escenarios!$D$29:$H$29,$D$5)</f>
        <v/>
      </c>
      <c r="D50" s="313" t="n"/>
      <c r="E50" s="314" t="n"/>
      <c r="F50" s="145" t="n"/>
      <c r="G50" s="145" t="n"/>
      <c r="H50" s="145" t="n"/>
      <c r="I50" s="145" t="n"/>
      <c r="J50" s="145" t="n"/>
      <c r="K50" s="145" t="n"/>
      <c r="L50" s="145" t="n"/>
      <c r="M50" s="145" t="n"/>
      <c r="N50" s="145" t="n"/>
      <c r="O50" s="145" t="n"/>
      <c r="P50" s="145" t="n"/>
      <c r="Q50" s="145" t="n"/>
      <c r="R50" s="145" t="n"/>
      <c r="S50" s="145" t="n"/>
      <c r="T50" s="145" t="n"/>
      <c r="U50" s="145" t="n"/>
      <c r="V50" s="145" t="n"/>
      <c r="W50" s="145" t="n"/>
      <c r="X50" s="145" t="n"/>
      <c r="Y50" s="145" t="n"/>
      <c r="Z50" s="145" t="n"/>
    </row>
    <row r="51" ht="15.75" customHeight="1" s="311">
      <c r="A51" s="145" t="n"/>
      <c r="B51" s="38" t="inlineStr">
        <is>
          <t>Total gastos del hogar</t>
        </is>
      </c>
      <c r="C51" s="68">
        <f t="array" ref="C51">INDEX(Escenarios!$D$48:$H$48,$D$5)</f>
        <v/>
      </c>
      <c r="D51" s="313" t="n"/>
      <c r="E51" s="314" t="n"/>
      <c r="F51" s="145" t="n"/>
      <c r="G51" s="145" t="n"/>
      <c r="H51" s="145" t="n"/>
      <c r="I51" s="145" t="n"/>
      <c r="J51" s="145" t="n"/>
      <c r="K51" s="145" t="n"/>
      <c r="L51" s="145" t="n"/>
      <c r="M51" s="145" t="n"/>
      <c r="N51" s="145" t="n"/>
      <c r="O51" s="145" t="n"/>
      <c r="P51" s="145" t="n"/>
      <c r="Q51" s="145" t="n"/>
      <c r="R51" s="145" t="n"/>
      <c r="S51" s="145" t="n"/>
      <c r="T51" s="145" t="n"/>
      <c r="U51" s="145" t="n"/>
      <c r="V51" s="145" t="n"/>
      <c r="W51" s="145" t="n"/>
      <c r="X51" s="145" t="n"/>
      <c r="Y51" s="145" t="n"/>
      <c r="Z51" s="145" t="n"/>
    </row>
    <row r="52" ht="15.75" customHeight="1" s="311">
      <c r="A52" s="145" t="n"/>
      <c r="B52" s="38" t="inlineStr">
        <is>
          <t>SUPERÁVIT / DÉFICIT DEL HOGAR</t>
        </is>
      </c>
      <c r="C52" s="68">
        <f t="array" ref="C52">INDEX(Escenarios!$D$49:$H$49,$D$5)</f>
        <v/>
      </c>
      <c r="D52" s="313" t="n"/>
      <c r="E52" s="314" t="n"/>
      <c r="F52" s="145" t="n"/>
      <c r="G52" s="145" t="n"/>
      <c r="H52" s="145" t="n"/>
      <c r="I52" s="145" t="n"/>
      <c r="J52" s="145" t="n"/>
      <c r="K52" s="145" t="n"/>
      <c r="L52" s="145" t="n"/>
      <c r="M52" s="145" t="n"/>
      <c r="N52" s="145" t="n"/>
      <c r="O52" s="145" t="n"/>
      <c r="P52" s="145" t="n"/>
      <c r="Q52" s="145" t="n"/>
      <c r="R52" s="145" t="n"/>
      <c r="S52" s="145" t="n"/>
      <c r="T52" s="145" t="n"/>
      <c r="U52" s="145" t="n"/>
      <c r="V52" s="145" t="n"/>
      <c r="W52" s="145" t="n"/>
      <c r="X52" s="145" t="n"/>
      <c r="Y52" s="145" t="n"/>
      <c r="Z52" s="145" t="n"/>
    </row>
    <row r="53" ht="15.75" customHeight="1" s="311">
      <c r="A53" s="145" t="n"/>
      <c r="B53" s="46" t="inlineStr">
        <is>
          <t>Gastos / ingresos del hogar</t>
        </is>
      </c>
      <c r="C53" s="71">
        <f t="array" ref="C53">INDEX(Escenarios!$D$50:$H$50,$D$5)</f>
        <v/>
      </c>
      <c r="D53" s="313" t="n"/>
      <c r="E53" s="314" t="n"/>
      <c r="F53" s="145" t="n"/>
      <c r="G53" s="145" t="n"/>
      <c r="H53" s="145" t="n"/>
      <c r="I53" s="145" t="n"/>
      <c r="J53" s="145" t="n"/>
      <c r="K53" s="145" t="n"/>
      <c r="L53" s="145" t="n"/>
      <c r="M53" s="145" t="n"/>
      <c r="N53" s="145" t="n"/>
      <c r="O53" s="145" t="n"/>
      <c r="P53" s="145" t="n"/>
      <c r="Q53" s="145" t="n"/>
      <c r="R53" s="145" t="n"/>
      <c r="S53" s="145" t="n"/>
      <c r="T53" s="145" t="n"/>
      <c r="U53" s="145" t="n"/>
      <c r="V53" s="145" t="n"/>
      <c r="W53" s="145" t="n"/>
      <c r="X53" s="145" t="n"/>
      <c r="Y53" s="145" t="n"/>
      <c r="Z53" s="145" t="n"/>
    </row>
    <row r="54" ht="15.75" customHeight="1" s="311">
      <c r="A54" s="145" t="n"/>
      <c r="B54" s="38" t="inlineStr">
        <is>
          <t>Estado</t>
        </is>
      </c>
      <c r="C54" s="324">
        <f>IF($C$51="","",IF($C$51&lt;0,"🔴 Déficit: la casa gasta más de lo que entra",IF($C$52&gt;0.9,"🟡 Muy justo: menos del 10% de margen","✅ La casa se sostiene")))</f>
        <v/>
      </c>
      <c r="D54" s="313" t="n"/>
      <c r="E54" s="314" t="n"/>
      <c r="F54" s="145" t="n"/>
      <c r="G54" s="145" t="n"/>
      <c r="H54" s="145" t="n"/>
      <c r="I54" s="145" t="n"/>
      <c r="J54" s="145" t="n"/>
      <c r="K54" s="145" t="n"/>
      <c r="L54" s="145" t="n"/>
      <c r="M54" s="145" t="n"/>
      <c r="N54" s="145" t="n"/>
      <c r="O54" s="145" t="n"/>
      <c r="P54" s="145" t="n"/>
      <c r="Q54" s="145" t="n"/>
      <c r="R54" s="145" t="n"/>
      <c r="S54" s="145" t="n"/>
      <c r="T54" s="145" t="n"/>
      <c r="U54" s="145" t="n"/>
      <c r="V54" s="145" t="n"/>
      <c r="W54" s="145" t="n"/>
      <c r="X54" s="145" t="n"/>
      <c r="Y54" s="145" t="n"/>
      <c r="Z54" s="145" t="n"/>
    </row>
    <row r="55" ht="15.75" customHeight="1" s="311">
      <c r="A55" s="145" t="n"/>
      <c r="B55" s="145" t="n"/>
      <c r="C55" s="145" t="n"/>
      <c r="D55" s="145" t="n"/>
      <c r="E55" s="145" t="n"/>
      <c r="F55" s="145" t="n"/>
      <c r="G55" s="145" t="n"/>
      <c r="H55" s="145" t="n"/>
      <c r="I55" s="145" t="n"/>
      <c r="J55" s="145" t="n"/>
      <c r="K55" s="145" t="n"/>
      <c r="L55" s="145" t="n"/>
      <c r="M55" s="145" t="n"/>
      <c r="N55" s="145" t="n"/>
      <c r="O55" s="145" t="n"/>
      <c r="P55" s="145" t="n"/>
      <c r="Q55" s="145" t="n"/>
      <c r="R55" s="145" t="n"/>
      <c r="S55" s="145" t="n"/>
      <c r="T55" s="145" t="n"/>
      <c r="U55" s="145" t="n"/>
      <c r="V55" s="145" t="n"/>
      <c r="W55" s="145" t="n"/>
      <c r="X55" s="145" t="n"/>
      <c r="Y55" s="145" t="n"/>
      <c r="Z55" s="145" t="n"/>
    </row>
    <row r="56" ht="21.75" customHeight="1" s="311">
      <c r="A56" s="145" t="n"/>
      <c r="B56" s="21" t="inlineStr">
        <is>
          <t>5.  ESTADOS FINANCIEROS</t>
        </is>
      </c>
      <c r="C56" s="22" t="n"/>
      <c r="D56" s="22" t="n"/>
      <c r="E56" s="22" t="n"/>
      <c r="F56" s="22" t="n"/>
      <c r="G56" s="22" t="n"/>
      <c r="H56" s="22" t="n"/>
      <c r="I56" s="145" t="n"/>
      <c r="J56" s="145" t="n"/>
      <c r="K56" s="145" t="n"/>
      <c r="L56" s="145" t="n"/>
      <c r="M56" s="145" t="n"/>
      <c r="N56" s="145" t="n"/>
      <c r="O56" s="145" t="n"/>
      <c r="P56" s="145" t="n"/>
      <c r="Q56" s="145" t="n"/>
      <c r="R56" s="145" t="n"/>
      <c r="S56" s="145" t="n"/>
      <c r="T56" s="145" t="n"/>
      <c r="U56" s="145" t="n"/>
      <c r="V56" s="145" t="n"/>
      <c r="W56" s="145" t="n"/>
      <c r="X56" s="145" t="n"/>
      <c r="Y56" s="145" t="n"/>
      <c r="Z56" s="145" t="n"/>
    </row>
    <row r="57" ht="15.75" customHeight="1" s="311">
      <c r="A57" s="145" t="n"/>
      <c r="B57" s="325" t="inlineStr">
        <is>
          <t>RESULTADO DEL MES</t>
        </is>
      </c>
      <c r="C57" s="313" t="n"/>
      <c r="D57" s="326" t="inlineStr">
        <is>
          <t>PATRIMONIO NETO</t>
        </is>
      </c>
      <c r="E57" s="313" t="n"/>
      <c r="F57" s="327" t="inlineStr">
        <is>
          <t>VARIACIÓN DE CAJA</t>
        </is>
      </c>
      <c r="G57" s="313" t="n"/>
      <c r="H57" s="328" t="inlineStr">
        <is>
          <t>SALDO MÍNIMO 12 M</t>
        </is>
      </c>
      <c r="I57" s="313" t="n"/>
      <c r="J57" s="145" t="n"/>
      <c r="K57" s="145" t="n"/>
      <c r="L57" s="145" t="n"/>
      <c r="M57" s="145" t="n"/>
      <c r="N57" s="145" t="n"/>
      <c r="O57" s="145" t="n"/>
      <c r="P57" s="145" t="n"/>
      <c r="Q57" s="145" t="n"/>
      <c r="R57" s="145" t="n"/>
      <c r="S57" s="145" t="n"/>
      <c r="T57" s="145" t="n"/>
      <c r="U57" s="145" t="n"/>
      <c r="V57" s="145" t="n"/>
      <c r="W57" s="145" t="n"/>
      <c r="X57" s="145" t="n"/>
      <c r="Y57" s="145" t="n"/>
      <c r="Z57" s="145" t="n"/>
    </row>
    <row r="58" ht="25.5" customHeight="1" s="311">
      <c r="A58" s="145" t="n"/>
      <c r="B58" s="329">
        <f>Resultados!$F$43</f>
        <v/>
      </c>
      <c r="C58" s="313" t="n"/>
      <c r="D58" s="329">
        <f>Balance!$E$41</f>
        <v/>
      </c>
      <c r="E58" s="313" t="n"/>
      <c r="F58" s="329">
        <f>FlujoCaja!$F$27</f>
        <v/>
      </c>
      <c r="G58" s="313" t="n"/>
      <c r="H58" s="329">
        <f>FlujoCaja!$C$57</f>
        <v/>
      </c>
      <c r="I58" s="313" t="n"/>
      <c r="J58" s="145" t="n"/>
      <c r="K58" s="145" t="n"/>
      <c r="L58" s="145" t="n"/>
      <c r="M58" s="145" t="n"/>
      <c r="N58" s="145" t="n"/>
      <c r="O58" s="145" t="n"/>
      <c r="P58" s="145" t="n"/>
      <c r="Q58" s="145" t="n"/>
      <c r="R58" s="145" t="n"/>
      <c r="S58" s="145" t="n"/>
      <c r="T58" s="145" t="n"/>
      <c r="U58" s="145" t="n"/>
      <c r="V58" s="145" t="n"/>
      <c r="W58" s="145" t="n"/>
      <c r="X58" s="145" t="n"/>
      <c r="Y58" s="145" t="n"/>
      <c r="Z58" s="145" t="n"/>
    </row>
    <row r="59" ht="15.75" customHeight="1" s="311">
      <c r="A59" s="145" t="n"/>
      <c r="B59" s="330" t="inlineStr">
        <is>
          <t>Ingresos − gastos (consolidado)</t>
        </is>
      </c>
      <c r="C59" s="313" t="n"/>
      <c r="D59" s="330" t="inlineStr">
        <is>
          <t>Activo − pasivo</t>
        </is>
      </c>
      <c r="E59" s="313" t="n"/>
      <c r="F59" s="330" t="inlineStr">
        <is>
          <t>Lo que crece la cuenta este mes</t>
        </is>
      </c>
      <c r="G59" s="313" t="n"/>
      <c r="H59" s="330" t="inlineStr">
        <is>
          <t>Punto más bajo proyectado</t>
        </is>
      </c>
      <c r="I59" s="313" t="n"/>
      <c r="J59" s="145" t="n"/>
      <c r="K59" s="145" t="n"/>
      <c r="L59" s="145" t="n"/>
      <c r="M59" s="145" t="n"/>
      <c r="N59" s="145" t="n"/>
      <c r="O59" s="145" t="n"/>
      <c r="P59" s="145" t="n"/>
      <c r="Q59" s="145" t="n"/>
      <c r="R59" s="145" t="n"/>
      <c r="S59" s="145" t="n"/>
      <c r="T59" s="145" t="n"/>
      <c r="U59" s="145" t="n"/>
      <c r="V59" s="145" t="n"/>
      <c r="W59" s="145" t="n"/>
      <c r="X59" s="145" t="n"/>
      <c r="Y59" s="145" t="n"/>
      <c r="Z59" s="145" t="n"/>
    </row>
    <row r="60" ht="15.75" customHeight="1" s="311">
      <c r="A60" s="145" t="n"/>
      <c r="B60" s="145" t="n"/>
      <c r="C60" s="145" t="n"/>
      <c r="D60" s="145" t="n"/>
      <c r="E60" s="145" t="n"/>
      <c r="F60" s="145" t="n"/>
      <c r="G60" s="145" t="n"/>
      <c r="H60" s="145" t="n"/>
      <c r="I60" s="145" t="n"/>
      <c r="J60" s="145" t="n"/>
      <c r="K60" s="145" t="n"/>
      <c r="L60" s="145" t="n"/>
      <c r="M60" s="145" t="n"/>
      <c r="N60" s="145" t="n"/>
      <c r="O60" s="145" t="n"/>
      <c r="P60" s="145" t="n"/>
      <c r="Q60" s="145" t="n"/>
      <c r="R60" s="145" t="n"/>
      <c r="S60" s="145" t="n"/>
      <c r="T60" s="145" t="n"/>
      <c r="U60" s="145" t="n"/>
      <c r="V60" s="145" t="n"/>
      <c r="W60" s="145" t="n"/>
      <c r="X60" s="145" t="n"/>
      <c r="Y60" s="145" t="n"/>
      <c r="Z60" s="145" t="n"/>
    </row>
    <row r="61" ht="27.75" customHeight="1" s="311">
      <c r="A61" s="145" t="n"/>
      <c r="B61" s="20" t="inlineStr">
        <is>
          <t>El resultado del mes y la variación de caja no coinciden: la diferencia es lo que destinas a amortizar deuda y a invertir, que sale de la cuenta pero no empobrece. La conciliación completa está en la hoja FlujoCaja.</t>
        </is>
      </c>
      <c r="C61" s="145" t="n"/>
      <c r="D61" s="145" t="n"/>
      <c r="E61" s="145" t="n"/>
      <c r="F61" s="145" t="n"/>
      <c r="G61" s="145" t="n"/>
      <c r="H61" s="145" t="n"/>
      <c r="I61" s="145" t="n"/>
      <c r="J61" s="145" t="n"/>
      <c r="K61" s="145" t="n"/>
      <c r="L61" s="145" t="n"/>
      <c r="M61" s="145" t="n"/>
      <c r="N61" s="145" t="n"/>
      <c r="O61" s="145" t="n"/>
      <c r="P61" s="145" t="n"/>
      <c r="Q61" s="145" t="n"/>
      <c r="R61" s="145" t="n"/>
      <c r="S61" s="145" t="n"/>
      <c r="T61" s="145" t="n"/>
      <c r="U61" s="145" t="n"/>
      <c r="V61" s="145" t="n"/>
      <c r="W61" s="145" t="n"/>
      <c r="X61" s="145" t="n"/>
      <c r="Y61" s="145" t="n"/>
      <c r="Z61" s="145" t="n"/>
    </row>
    <row r="62" ht="15.75" customHeight="1" s="311">
      <c r="A62" s="145" t="n"/>
      <c r="B62" s="145" t="n"/>
      <c r="C62" s="145" t="n"/>
      <c r="D62" s="145" t="n"/>
      <c r="E62" s="145" t="n"/>
      <c r="F62" s="145" t="n"/>
      <c r="G62" s="145" t="n"/>
      <c r="H62" s="145" t="n"/>
      <c r="I62" s="145" t="n"/>
      <c r="J62" s="145" t="n"/>
      <c r="K62" s="145" t="n"/>
      <c r="L62" s="145" t="n"/>
      <c r="M62" s="145" t="n"/>
      <c r="N62" s="145" t="n"/>
      <c r="O62" s="145" t="n"/>
      <c r="P62" s="145" t="n"/>
      <c r="Q62" s="145" t="n"/>
      <c r="R62" s="145" t="n"/>
      <c r="S62" s="145" t="n"/>
      <c r="T62" s="145" t="n"/>
      <c r="U62" s="145" t="n"/>
      <c r="V62" s="145" t="n"/>
      <c r="W62" s="145" t="n"/>
      <c r="X62" s="145" t="n"/>
      <c r="Y62" s="145" t="n"/>
      <c r="Z62" s="145" t="n"/>
    </row>
    <row r="63" ht="21.75" customHeight="1" s="311">
      <c r="A63" s="145" t="n"/>
      <c r="B63" s="21" t="inlineStr">
        <is>
          <t>6.  CARTERA DE INVERSIONES</t>
        </is>
      </c>
      <c r="C63" s="22" t="n"/>
      <c r="D63" s="22" t="n"/>
      <c r="E63" s="22" t="n"/>
      <c r="F63" s="22" t="n"/>
      <c r="G63" s="22" t="n"/>
      <c r="H63" s="22" t="n"/>
      <c r="I63" s="145" t="n"/>
      <c r="J63" s="145" t="n"/>
      <c r="K63" s="145" t="n"/>
      <c r="L63" s="145" t="n"/>
      <c r="M63" s="145" t="n"/>
      <c r="N63" s="145" t="n"/>
      <c r="O63" s="145" t="n"/>
      <c r="P63" s="145" t="n"/>
      <c r="Q63" s="145" t="n"/>
      <c r="R63" s="145" t="n"/>
      <c r="S63" s="145" t="n"/>
      <c r="T63" s="145" t="n"/>
      <c r="U63" s="145" t="n"/>
      <c r="V63" s="145" t="n"/>
      <c r="W63" s="145" t="n"/>
      <c r="X63" s="145" t="n"/>
      <c r="Y63" s="145" t="n"/>
      <c r="Z63" s="145" t="n"/>
    </row>
    <row r="64" ht="15.75" customHeight="1" s="311">
      <c r="A64" s="145" t="n"/>
      <c r="B64" s="331" t="inlineStr">
        <is>
          <t>VALOR DE LA CARTERA</t>
        </is>
      </c>
      <c r="C64" s="313" t="n"/>
      <c r="D64" s="325" t="inlineStr">
        <is>
          <t>RESULTADO ACUMULADO</t>
        </is>
      </c>
      <c r="E64" s="313" t="n"/>
      <c r="F64" s="327" t="inlineStr">
        <is>
          <t>ROI DE LA CARTERA</t>
        </is>
      </c>
      <c r="G64" s="313" t="n"/>
      <c r="H64" s="332" t="inlineStr">
        <is>
          <t>COMISIONES PAGADAS</t>
        </is>
      </c>
      <c r="I64" s="313" t="n"/>
      <c r="J64" s="145" t="n"/>
      <c r="K64" s="145" t="n"/>
      <c r="L64" s="145" t="n"/>
      <c r="M64" s="145" t="n"/>
      <c r="N64" s="145" t="n"/>
      <c r="O64" s="145" t="n"/>
      <c r="P64" s="145" t="n"/>
      <c r="Q64" s="145" t="n"/>
      <c r="R64" s="145" t="n"/>
      <c r="S64" s="145" t="n"/>
      <c r="T64" s="145" t="n"/>
      <c r="U64" s="145" t="n"/>
      <c r="V64" s="145" t="n"/>
      <c r="W64" s="145" t="n"/>
      <c r="X64" s="145" t="n"/>
      <c r="Y64" s="145" t="n"/>
      <c r="Z64" s="145" t="n"/>
    </row>
    <row r="65" ht="25.5" customHeight="1" s="311">
      <c r="A65" s="145" t="n"/>
      <c r="B65" s="329">
        <f>Inversiones!$L$48</f>
        <v/>
      </c>
      <c r="C65" s="313" t="n"/>
      <c r="D65" s="329">
        <f>Inversiones!$R$48</f>
        <v/>
      </c>
      <c r="E65" s="313" t="n"/>
      <c r="F65" s="333">
        <f>IFERROR(Inversiones!$E$59,"")</f>
        <v/>
      </c>
      <c r="G65" s="313" t="n"/>
      <c r="H65" s="329">
        <f>Inversiones!$N$48+Inversiones!$O$48</f>
        <v/>
      </c>
      <c r="I65" s="313" t="n"/>
      <c r="J65" s="145" t="n"/>
      <c r="K65" s="145" t="n"/>
      <c r="L65" s="145" t="n"/>
      <c r="M65" s="145" t="n"/>
      <c r="N65" s="145" t="n"/>
      <c r="O65" s="145" t="n"/>
      <c r="P65" s="145" t="n"/>
      <c r="Q65" s="145" t="n"/>
      <c r="R65" s="145" t="n"/>
      <c r="S65" s="145" t="n"/>
      <c r="T65" s="145" t="n"/>
      <c r="U65" s="145" t="n"/>
      <c r="V65" s="145" t="n"/>
      <c r="W65" s="145" t="n"/>
      <c r="X65" s="145" t="n"/>
      <c r="Y65" s="145" t="n"/>
      <c r="Z65" s="145" t="n"/>
    </row>
    <row r="66" ht="15.75" customHeight="1" s="311">
      <c r="A66" s="145" t="n"/>
      <c r="B66" s="330" t="inlineStr">
        <is>
          <t>Todas las posiciones</t>
        </is>
      </c>
      <c r="C66" s="313" t="n"/>
      <c r="D66" s="330" t="inlineStr">
        <is>
          <t>Plusvalía + rentas − comisiones</t>
        </is>
      </c>
      <c r="E66" s="313" t="n"/>
      <c r="F66" s="330" t="inlineStr">
        <is>
          <t>Sobre el coste total</t>
        </is>
      </c>
      <c r="G66" s="313" t="n"/>
      <c r="H66" s="330" t="inlineStr">
        <is>
          <t>Compra + custodia y gestión</t>
        </is>
      </c>
      <c r="I66" s="313" t="n"/>
      <c r="J66" s="145" t="n"/>
      <c r="K66" s="145" t="n"/>
      <c r="L66" s="145" t="n"/>
      <c r="M66" s="145" t="n"/>
      <c r="N66" s="145" t="n"/>
      <c r="O66" s="145" t="n"/>
      <c r="P66" s="145" t="n"/>
      <c r="Q66" s="145" t="n"/>
      <c r="R66" s="145" t="n"/>
      <c r="S66" s="145" t="n"/>
      <c r="T66" s="145" t="n"/>
      <c r="U66" s="145" t="n"/>
      <c r="V66" s="145" t="n"/>
      <c r="W66" s="145" t="n"/>
      <c r="X66" s="145" t="n"/>
      <c r="Y66" s="145" t="n"/>
      <c r="Z66" s="145" t="n"/>
    </row>
    <row r="67" ht="15.75" customHeight="1" s="311">
      <c r="A67" s="145" t="n"/>
      <c r="B67" s="145" t="n"/>
      <c r="C67" s="145" t="n"/>
      <c r="D67" s="145" t="n"/>
      <c r="E67" s="145" t="n"/>
      <c r="F67" s="145" t="n"/>
      <c r="G67" s="145" t="n"/>
      <c r="H67" s="145" t="n"/>
      <c r="I67" s="145" t="n"/>
      <c r="J67" s="145" t="n"/>
      <c r="K67" s="145" t="n"/>
      <c r="L67" s="145" t="n"/>
      <c r="M67" s="145" t="n"/>
      <c r="N67" s="145" t="n"/>
      <c r="O67" s="145" t="n"/>
      <c r="P67" s="145" t="n"/>
      <c r="Q67" s="145" t="n"/>
      <c r="R67" s="145" t="n"/>
      <c r="S67" s="145" t="n"/>
      <c r="T67" s="145" t="n"/>
      <c r="U67" s="145" t="n"/>
      <c r="V67" s="145" t="n"/>
      <c r="W67" s="145" t="n"/>
      <c r="X67" s="145" t="n"/>
      <c r="Y67" s="145" t="n"/>
      <c r="Z67" s="145" t="n"/>
    </row>
    <row r="68" ht="15.75" customHeight="1" s="311">
      <c r="A68" s="145" t="n"/>
      <c r="B68" s="145" t="n"/>
      <c r="C68" s="145" t="n"/>
      <c r="D68" s="145" t="n"/>
      <c r="E68" s="145" t="n"/>
      <c r="F68" s="145" t="n"/>
      <c r="G68" s="145" t="n"/>
      <c r="H68" s="145" t="n"/>
      <c r="I68" s="145" t="n"/>
      <c r="J68" s="145" t="n"/>
      <c r="K68" s="145" t="n"/>
      <c r="L68" s="145" t="n"/>
      <c r="M68" s="145" t="n"/>
      <c r="N68" s="145" t="n"/>
      <c r="O68" s="145" t="n"/>
      <c r="P68" s="145" t="n"/>
      <c r="Q68" s="145" t="n"/>
      <c r="R68" s="145" t="n"/>
      <c r="S68" s="145" t="n"/>
      <c r="T68" s="145" t="n"/>
      <c r="U68" s="145" t="n"/>
      <c r="V68" s="145" t="n"/>
      <c r="W68" s="145" t="n"/>
      <c r="X68" s="145" t="n"/>
      <c r="Y68" s="145" t="n"/>
      <c r="Z68" s="145" t="n"/>
    </row>
    <row r="69" ht="15.75" customHeight="1" s="311">
      <c r="A69" s="145" t="n"/>
      <c r="B69" s="145" t="n"/>
      <c r="C69" s="145" t="n"/>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c r="W69" s="145" t="n"/>
      <c r="X69" s="145" t="n"/>
      <c r="Y69" s="145" t="n"/>
      <c r="Z69" s="145" t="n"/>
    </row>
    <row r="70" ht="21.75" customHeight="1" s="311">
      <c r="A70" s="145" t="n"/>
      <c r="B70" s="21" t="inlineStr">
        <is>
          <t>7.  SALUD FINANCIERA</t>
        </is>
      </c>
      <c r="C70" s="22" t="n"/>
      <c r="D70" s="22" t="n"/>
      <c r="E70" s="22" t="n"/>
      <c r="F70" s="22" t="n"/>
      <c r="G70" s="22" t="n"/>
      <c r="H70" s="22" t="n"/>
      <c r="I70" s="145" t="n"/>
      <c r="J70" s="145" t="n"/>
      <c r="K70" s="145" t="n"/>
      <c r="L70" s="145" t="n"/>
      <c r="M70" s="145" t="n"/>
      <c r="N70" s="145" t="n"/>
      <c r="O70" s="145" t="n"/>
      <c r="P70" s="145" t="n"/>
      <c r="Q70" s="145" t="n"/>
      <c r="R70" s="145" t="n"/>
      <c r="S70" s="145" t="n"/>
      <c r="T70" s="145" t="n"/>
      <c r="U70" s="145" t="n"/>
      <c r="V70" s="145" t="n"/>
      <c r="W70" s="145" t="n"/>
      <c r="X70" s="145" t="n"/>
      <c r="Y70" s="145" t="n"/>
      <c r="Z70" s="145" t="n"/>
    </row>
    <row r="71" ht="15.75" customHeight="1" s="311">
      <c r="A71" s="145" t="n"/>
      <c r="B71" s="334" t="inlineStr">
        <is>
          <t>PUNTUACIÓN GLOBAL</t>
        </is>
      </c>
      <c r="C71" s="313" t="n"/>
      <c r="D71" s="326" t="inlineStr">
        <is>
          <t>CALIFICACIÓN</t>
        </is>
      </c>
      <c r="E71" s="313" t="n"/>
      <c r="F71" s="335" t="inlineStr">
        <is>
          <t>RATIOS EN ROJO</t>
        </is>
      </c>
      <c r="G71" s="313" t="n"/>
      <c r="H71" s="325" t="inlineStr">
        <is>
          <t>RATIOS EN VERDE</t>
        </is>
      </c>
      <c r="I71" s="313" t="n"/>
      <c r="J71" s="145" t="n"/>
      <c r="K71" s="145" t="n"/>
      <c r="L71" s="145" t="n"/>
      <c r="M71" s="145" t="n"/>
      <c r="N71" s="145" t="n"/>
      <c r="O71" s="145" t="n"/>
      <c r="P71" s="145" t="n"/>
      <c r="Q71" s="145" t="n"/>
      <c r="R71" s="145" t="n"/>
      <c r="S71" s="145" t="n"/>
      <c r="T71" s="145" t="n"/>
      <c r="U71" s="145" t="n"/>
      <c r="V71" s="145" t="n"/>
      <c r="W71" s="145" t="n"/>
      <c r="X71" s="145" t="n"/>
      <c r="Y71" s="145" t="n"/>
      <c r="Z71" s="145" t="n"/>
    </row>
    <row r="72" ht="25.5" customHeight="1" s="311">
      <c r="A72" s="145" t="n"/>
      <c r="B72" s="336">
        <f>Ratios!$D$40</f>
        <v/>
      </c>
      <c r="C72" s="313" t="n"/>
      <c r="D72" s="337">
        <f>Ratios!$D$41</f>
        <v/>
      </c>
      <c r="E72" s="313" t="n"/>
      <c r="F72" s="338">
        <f>COUNTIF(Ratios!F$11:$F$37,"🔴")</f>
        <v/>
      </c>
      <c r="G72" s="313" t="n"/>
      <c r="H72" s="338">
        <f>COUNTIF(Ratios!F$11:$F$37,"✅")</f>
        <v/>
      </c>
      <c r="I72" s="313" t="n"/>
      <c r="J72" s="145" t="n"/>
      <c r="K72" s="145" t="n"/>
      <c r="L72" s="145" t="n"/>
      <c r="M72" s="145" t="n"/>
      <c r="N72" s="145" t="n"/>
      <c r="O72" s="145" t="n"/>
      <c r="P72" s="145" t="n"/>
      <c r="Q72" s="145" t="n"/>
      <c r="R72" s="145" t="n"/>
      <c r="S72" s="145" t="n"/>
      <c r="T72" s="145" t="n"/>
      <c r="U72" s="145" t="n"/>
      <c r="V72" s="145" t="n"/>
      <c r="W72" s="145" t="n"/>
      <c r="X72" s="145" t="n"/>
      <c r="Y72" s="145" t="n"/>
      <c r="Z72" s="145" t="n"/>
    </row>
    <row r="73" ht="15.75" customHeight="1" s="311">
      <c r="A73" s="145" t="n"/>
      <c r="B73" s="330" t="inlineStr">
        <is>
          <t>Sobre 100</t>
        </is>
      </c>
      <c r="C73" s="313" t="n"/>
      <c r="D73" s="330" t="inlineStr">
        <is>
          <t>Evaluación del desempeño</t>
        </is>
      </c>
      <c r="E73" s="313" t="n"/>
      <c r="F73" s="330" t="inlineStr">
        <is>
          <t>A corregir</t>
        </is>
      </c>
      <c r="G73" s="313" t="n"/>
      <c r="H73" s="330" t="inlineStr">
        <is>
          <t>Bajo control</t>
        </is>
      </c>
      <c r="I73" s="313" t="n"/>
      <c r="J73" s="145" t="n"/>
      <c r="K73" s="145" t="n"/>
      <c r="L73" s="145" t="n"/>
      <c r="M73" s="145" t="n"/>
      <c r="N73" s="145" t="n"/>
      <c r="O73" s="145" t="n"/>
      <c r="P73" s="145" t="n"/>
      <c r="Q73" s="145" t="n"/>
      <c r="R73" s="145" t="n"/>
      <c r="S73" s="145" t="n"/>
      <c r="T73" s="145" t="n"/>
      <c r="U73" s="145" t="n"/>
      <c r="V73" s="145" t="n"/>
      <c r="W73" s="145" t="n"/>
      <c r="X73" s="145" t="n"/>
      <c r="Y73" s="145" t="n"/>
      <c r="Z73" s="145" t="n"/>
    </row>
    <row r="74" ht="15.75" customHeight="1" s="311">
      <c r="A74" s="145" t="n"/>
      <c r="B74" s="145" t="n"/>
      <c r="C74" s="145"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5" t="n"/>
      <c r="Y74" s="145" t="n"/>
      <c r="Z74" s="145" t="n"/>
    </row>
    <row r="75" ht="15.75" customHeight="1" s="311">
      <c r="A75" s="145" t="n"/>
      <c r="B75" s="145" t="n"/>
      <c r="C75" s="145"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5" t="n"/>
      <c r="Y75" s="145" t="n"/>
      <c r="Z75" s="145" t="n"/>
    </row>
    <row r="76" ht="15.75" customHeight="1" s="311">
      <c r="A76" s="145" t="n"/>
      <c r="B76" s="145" t="n"/>
      <c r="C76" s="145"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5" t="n"/>
      <c r="Y76" s="145" t="n"/>
      <c r="Z76" s="145" t="n"/>
    </row>
    <row r="77" ht="21.75" customHeight="1" s="311">
      <c r="A77" s="145" t="n"/>
      <c r="B77" s="21" t="inlineStr">
        <is>
          <t>8.  EVOLUCIÓN DEL MES</t>
        </is>
      </c>
      <c r="C77" s="22" t="n"/>
      <c r="D77" s="22" t="n"/>
      <c r="E77" s="22" t="n"/>
      <c r="F77" s="22" t="n"/>
      <c r="G77" s="22" t="n"/>
      <c r="H77" s="22" t="n"/>
      <c r="I77" s="145" t="n"/>
      <c r="J77" s="145" t="n"/>
      <c r="K77" s="145" t="n"/>
      <c r="L77" s="145" t="n"/>
      <c r="M77" s="145" t="n"/>
      <c r="N77" s="145" t="n"/>
      <c r="O77" s="145" t="n"/>
      <c r="P77" s="145" t="n"/>
      <c r="Q77" s="145" t="n"/>
      <c r="R77" s="145" t="n"/>
      <c r="S77" s="145" t="n"/>
      <c r="T77" s="145" t="n"/>
      <c r="U77" s="145" t="n"/>
      <c r="V77" s="145" t="n"/>
      <c r="W77" s="145" t="n"/>
      <c r="X77" s="145" t="n"/>
      <c r="Y77" s="145" t="n"/>
      <c r="Z77" s="145" t="n"/>
    </row>
    <row r="78" ht="15.75" customHeight="1" s="311">
      <c r="A78" s="145" t="n"/>
      <c r="B78" s="325" t="inlineStr">
        <is>
          <t>INGRESOS DEL MES</t>
        </is>
      </c>
      <c r="C78" s="313" t="n"/>
      <c r="D78" s="335" t="inlineStr">
        <is>
          <t>GASTOS DEL MES</t>
        </is>
      </c>
      <c r="E78" s="313" t="n"/>
      <c r="F78" s="332" t="inlineStr">
        <is>
          <t>VARIACIÓN DE GASTOS</t>
        </is>
      </c>
      <c r="G78" s="313" t="n"/>
      <c r="H78" s="327" t="inlineStr">
        <is>
          <t>CONCILIACIÓN</t>
        </is>
      </c>
      <c r="I78" s="313" t="n"/>
      <c r="J78" s="145" t="n"/>
      <c r="K78" s="145" t="n"/>
      <c r="L78" s="145" t="n"/>
      <c r="M78" s="145" t="n"/>
      <c r="N78" s="145" t="n"/>
      <c r="O78" s="145" t="n"/>
      <c r="P78" s="145" t="n"/>
      <c r="Q78" s="145" t="n"/>
      <c r="R78" s="145" t="n"/>
      <c r="S78" s="145" t="n"/>
      <c r="T78" s="145" t="n"/>
      <c r="U78" s="145" t="n"/>
      <c r="V78" s="145" t="n"/>
      <c r="W78" s="145" t="n"/>
      <c r="X78" s="145" t="n"/>
      <c r="Y78" s="145" t="n"/>
      <c r="Z78" s="145" t="n"/>
    </row>
    <row r="79" ht="25.5" customHeight="1" s="311">
      <c r="A79" s="145" t="n"/>
      <c r="B79" s="329">
        <f t="array" ref="B79">IFERROR(INDEX(Resultados!$C$60:$C$71,MATCH(Panel!$I$4,Resultados!$B$60:$B$71,0)),"")</f>
        <v/>
      </c>
      <c r="C79" s="313" t="n"/>
      <c r="D79" s="329">
        <f t="array" ref="D79">IFERROR(INDEX(Resultados!$D$60:$D$71,MATCH(Panel!$I$4,Resultados!$B$60:$B$71,0)),"")</f>
        <v/>
      </c>
      <c r="E79" s="313" t="n"/>
      <c r="F79" s="333">
        <f t="array" ref="F79">IFERROR(INDEX(Resultados!$G$60:$G$71,MATCH(Panel!$I$4,Resultados!$B$60:$B$71,0)),"")</f>
        <v/>
      </c>
      <c r="G79" s="313" t="n"/>
      <c r="H79" s="337">
        <f>Disponibilidad!$T$19</f>
        <v/>
      </c>
      <c r="I79" s="313" t="n"/>
      <c r="J79" s="145" t="n"/>
      <c r="K79" s="145" t="n"/>
      <c r="L79" s="145" t="n"/>
      <c r="M79" s="145" t="n"/>
      <c r="N79" s="145" t="n"/>
      <c r="O79" s="145" t="n"/>
      <c r="P79" s="145" t="n"/>
      <c r="Q79" s="145" t="n"/>
      <c r="R79" s="145" t="n"/>
      <c r="S79" s="145" t="n"/>
      <c r="T79" s="145" t="n"/>
      <c r="U79" s="145" t="n"/>
      <c r="V79" s="145" t="n"/>
      <c r="W79" s="145" t="n"/>
      <c r="X79" s="145" t="n"/>
      <c r="Y79" s="145" t="n"/>
      <c r="Z79" s="145" t="n"/>
    </row>
    <row r="80" ht="15.75" customHeight="1" s="311">
      <c r="A80" s="145" t="n"/>
      <c r="B80" s="330" t="inlineStr">
        <is>
          <t>Reales si hay caja; si no, presupuesto</t>
        </is>
      </c>
      <c r="C80" s="313" t="n"/>
      <c r="D80" s="330" t="inlineStr">
        <is>
          <t>Mismo criterio</t>
        </is>
      </c>
      <c r="E80" s="313" t="n"/>
      <c r="F80" s="330" t="inlineStr">
        <is>
          <t>Frente al mes anterior</t>
        </is>
      </c>
      <c r="G80" s="313" t="n"/>
      <c r="H80" s="330" t="inlineStr">
        <is>
          <t>Caja frente a banco</t>
        </is>
      </c>
      <c r="I80" s="313" t="n"/>
      <c r="J80" s="145" t="n"/>
      <c r="K80" s="145" t="n"/>
      <c r="L80" s="145" t="n"/>
      <c r="M80" s="145" t="n"/>
      <c r="N80" s="145" t="n"/>
      <c r="O80" s="145" t="n"/>
      <c r="P80" s="145" t="n"/>
      <c r="Q80" s="145" t="n"/>
      <c r="R80" s="145" t="n"/>
      <c r="S80" s="145" t="n"/>
      <c r="T80" s="145" t="n"/>
      <c r="U80" s="145" t="n"/>
      <c r="V80" s="145" t="n"/>
      <c r="W80" s="145" t="n"/>
      <c r="X80" s="145" t="n"/>
      <c r="Y80" s="145" t="n"/>
      <c r="Z80" s="145" t="n"/>
    </row>
    <row r="81" ht="15.75" customHeight="1" s="311">
      <c r="A81" s="145" t="n"/>
      <c r="B81" s="145" t="n"/>
      <c r="C81" s="145"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5" t="n"/>
      <c r="Y81" s="145" t="n"/>
      <c r="Z81" s="145"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5" t="n"/>
      <c r="Y82" s="145" t="n"/>
      <c r="Z82" s="145"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5" t="n"/>
      <c r="Y83" s="145" t="n"/>
      <c r="Z83" s="145" t="n"/>
    </row>
    <row r="84" ht="21.75" customHeight="1" s="311">
      <c r="A84" s="145" t="n"/>
      <c r="B84" s="21" t="inlineStr">
        <is>
          <t>9.  FACTURAS PRIORIZADAS</t>
        </is>
      </c>
      <c r="C84" s="22" t="n"/>
      <c r="D84" s="22" t="n"/>
      <c r="E84" s="22" t="n"/>
      <c r="F84" s="22" t="n"/>
      <c r="G84" s="22" t="n"/>
      <c r="H84" s="22" t="n"/>
      <c r="I84" s="145" t="n"/>
      <c r="J84" s="145" t="n"/>
      <c r="K84" s="145" t="n"/>
      <c r="L84" s="145" t="n"/>
      <c r="M84" s="145" t="n"/>
      <c r="N84" s="145" t="n"/>
      <c r="O84" s="145" t="n"/>
      <c r="P84" s="145" t="n"/>
      <c r="Q84" s="145" t="n"/>
      <c r="R84" s="145" t="n"/>
      <c r="S84" s="145" t="n"/>
      <c r="T84" s="145" t="n"/>
      <c r="U84" s="145" t="n"/>
      <c r="V84" s="145" t="n"/>
      <c r="W84" s="145" t="n"/>
      <c r="X84" s="145" t="n"/>
      <c r="Y84" s="145" t="n"/>
      <c r="Z84" s="145" t="n"/>
    </row>
    <row r="85" ht="15.75" customHeight="1" s="311">
      <c r="A85" s="145" t="n"/>
      <c r="B85" s="334" t="inlineStr">
        <is>
          <t>MARCADAS PARA PAGAR</t>
        </is>
      </c>
      <c r="C85" s="313" t="n"/>
      <c r="D85" s="335" t="inlineStr">
        <is>
          <t>IMPORTE SELECCIONADO</t>
        </is>
      </c>
      <c r="E85" s="313" t="n"/>
      <c r="F85" s="327" t="inlineStr">
        <is>
          <t>TE QUEDARÍA</t>
        </is>
      </c>
      <c r="G85" s="313" t="n"/>
      <c r="H85" s="325" t="inlineStr">
        <is>
          <t>¿ALCANZA?</t>
        </is>
      </c>
      <c r="I85" s="313" t="n"/>
      <c r="J85" s="145" t="n"/>
      <c r="K85" s="145" t="n"/>
      <c r="L85" s="145" t="n"/>
      <c r="M85" s="145" t="n"/>
      <c r="N85" s="145" t="n"/>
      <c r="O85" s="145" t="n"/>
      <c r="P85" s="145" t="n"/>
      <c r="Q85" s="145" t="n"/>
      <c r="R85" s="145" t="n"/>
      <c r="S85" s="145" t="n"/>
      <c r="T85" s="145" t="n"/>
      <c r="U85" s="145" t="n"/>
      <c r="V85" s="145" t="n"/>
      <c r="W85" s="145" t="n"/>
      <c r="X85" s="145" t="n"/>
      <c r="Y85" s="145" t="n"/>
      <c r="Z85" s="145" t="n"/>
    </row>
    <row r="86" ht="25.5" customHeight="1" s="311">
      <c r="A86" s="145" t="n"/>
      <c r="B86" s="338">
        <f>COUNTIFS(Facturas!$P$6:$P$205,"&lt;&gt;",Facturas!$K$6:$K$205,"&gt;0")</f>
        <v/>
      </c>
      <c r="C86" s="313" t="n"/>
      <c r="D86" s="329">
        <f>SUMIFS(Facturas!$K$6:$K$205,Facturas!$P$6:$P$205,"&lt;&gt;")</f>
        <v/>
      </c>
      <c r="E86" s="313" t="n"/>
      <c r="F86" s="329">
        <f>Disponibilidad!$G$33-(SUMIFS(Facturas!$K$6:$K$205,Facturas!$P$6:$P$205,"&lt;&gt;"))</f>
        <v/>
      </c>
      <c r="G86" s="313" t="n"/>
      <c r="H86" s="337">
        <f>IF(COUNTIFS(Facturas!$P$6:$P$205,"&lt;&gt;",Facturas!$K$6:$K$205,"&gt;0")=0,"—",IF(Disponibilidad!$G$33&gt;=(SUMIFS(Facturas!$K$6:$K$205,Facturas!$P$6:$P$205,"&lt;&gt;")),"✅ Sí","🔴 No"))</f>
        <v/>
      </c>
      <c r="I86" s="313" t="n"/>
      <c r="J86" s="145" t="n"/>
      <c r="K86" s="145" t="n"/>
      <c r="L86" s="145" t="n"/>
      <c r="M86" s="145" t="n"/>
      <c r="N86" s="145" t="n"/>
      <c r="O86" s="145" t="n"/>
      <c r="P86" s="145" t="n"/>
      <c r="Q86" s="145" t="n"/>
      <c r="R86" s="145" t="n"/>
      <c r="S86" s="145" t="n"/>
      <c r="T86" s="145" t="n"/>
      <c r="U86" s="145" t="n"/>
      <c r="V86" s="145" t="n"/>
      <c r="W86" s="145" t="n"/>
      <c r="X86" s="145" t="n"/>
      <c r="Y86" s="145" t="n"/>
      <c r="Z86" s="145" t="n"/>
    </row>
    <row r="87" ht="15.75" customHeight="1" s="311">
      <c r="A87" s="145" t="n"/>
      <c r="B87" s="330" t="inlineStr">
        <is>
          <t>Hoja Prioridad</t>
        </is>
      </c>
      <c r="C87" s="313" t="n"/>
      <c r="D87" s="330" t="inlineStr">
        <is>
          <t>Suma de sus saldos</t>
        </is>
      </c>
      <c r="E87" s="313" t="n"/>
      <c r="F87" s="330" t="inlineStr">
        <is>
          <t>Después de pagarlas</t>
        </is>
      </c>
      <c r="G87" s="313" t="n"/>
      <c r="H87" s="330" t="inlineStr">
        <is>
          <t>Disponible vs selección</t>
        </is>
      </c>
      <c r="I87" s="313" t="n"/>
      <c r="J87" s="145" t="n"/>
      <c r="K87" s="145" t="n"/>
      <c r="L87" s="145" t="n"/>
      <c r="M87" s="145" t="n"/>
      <c r="N87" s="145" t="n"/>
      <c r="O87" s="145" t="n"/>
      <c r="P87" s="145" t="n"/>
      <c r="Q87" s="145" t="n"/>
      <c r="R87" s="145" t="n"/>
      <c r="S87" s="145" t="n"/>
      <c r="T87" s="145" t="n"/>
      <c r="U87" s="145" t="n"/>
      <c r="V87" s="145" t="n"/>
      <c r="W87" s="145" t="n"/>
      <c r="X87" s="145" t="n"/>
      <c r="Y87" s="145" t="n"/>
      <c r="Z87" s="145" t="n"/>
    </row>
    <row r="88" ht="15.75" customHeight="1" s="311">
      <c r="A88" s="145" t="n"/>
      <c r="B88" s="145" t="n"/>
      <c r="C88" s="145" t="n"/>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5" t="n"/>
      <c r="Y88" s="145" t="n"/>
      <c r="Z88" s="145" t="n"/>
    </row>
    <row r="89" ht="15.75" customHeight="1" s="311">
      <c r="A89" s="145" t="n"/>
      <c r="B89" s="145" t="n"/>
      <c r="C89" s="145" t="n"/>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5" t="n"/>
      <c r="Y89" s="145" t="n"/>
      <c r="Z89" s="145" t="n"/>
    </row>
    <row r="90" ht="15.75" customHeight="1" s="311">
      <c r="A90" s="145" t="n"/>
      <c r="B90" s="145" t="n"/>
      <c r="C90" s="145" t="n"/>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5" t="n"/>
      <c r="Y90" s="145" t="n"/>
      <c r="Z90" s="145" t="n"/>
    </row>
    <row r="91" ht="15.75" customHeight="1" s="311">
      <c r="A91" s="145" t="n"/>
      <c r="B91" s="145" t="n"/>
      <c r="C91" s="145" t="n"/>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5" t="n"/>
      <c r="Y91" s="145" t="n"/>
      <c r="Z91" s="145" t="n"/>
    </row>
    <row r="92" ht="15.75" customHeight="1" s="311">
      <c r="A92" s="145" t="n"/>
      <c r="B92" s="145" t="n"/>
      <c r="C92" s="145"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5" t="n"/>
      <c r="Y92" s="145" t="n"/>
      <c r="Z92" s="145" t="n"/>
    </row>
    <row r="93" ht="15.75" customHeight="1" s="311">
      <c r="A93" s="145" t="n"/>
      <c r="B93" s="145" t="n"/>
      <c r="C93" s="145"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5" t="n"/>
      <c r="Y93" s="145" t="n"/>
      <c r="Z93" s="145" t="n"/>
    </row>
    <row r="94" ht="15.75" customHeight="1" s="311">
      <c r="A94" s="145" t="n"/>
      <c r="B94" s="145" t="n"/>
      <c r="C94" s="145"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5" t="n"/>
      <c r="Y94" s="145" t="n"/>
      <c r="Z94" s="145" t="n"/>
    </row>
    <row r="95" ht="15.75" customHeight="1" s="311">
      <c r="A95" s="145" t="n"/>
      <c r="B95" s="145" t="n"/>
      <c r="C95" s="145"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5" t="n"/>
      <c r="Y95" s="145" t="n"/>
      <c r="Z95" s="145" t="n"/>
    </row>
    <row r="96" ht="15.75" customHeight="1" s="311">
      <c r="A96" s="145" t="n"/>
      <c r="B96" s="145" t="n"/>
      <c r="C96" s="145"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5" t="n"/>
      <c r="Y96" s="145" t="n"/>
      <c r="Z96" s="145" t="n"/>
    </row>
    <row r="97" ht="15.75" customHeight="1" s="311">
      <c r="A97" s="145" t="n"/>
      <c r="B97" s="145" t="n"/>
      <c r="C97" s="145"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5" t="n"/>
      <c r="Y97" s="145" t="n"/>
      <c r="Z97" s="145" t="n"/>
    </row>
    <row r="98" ht="15.75" customHeight="1" s="311">
      <c r="A98" s="145" t="n"/>
      <c r="B98" s="145" t="n"/>
      <c r="C98" s="145"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5" t="n"/>
      <c r="Y98" s="145" t="n"/>
      <c r="Z98" s="145" t="n"/>
    </row>
    <row r="99" ht="15.75" customHeight="1" s="311">
      <c r="A99" s="145" t="n"/>
      <c r="B99" s="145" t="n"/>
      <c r="C99" s="145"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5" t="n"/>
      <c r="Y99" s="145" t="n"/>
      <c r="Z99" s="145" t="n"/>
    </row>
    <row r="100" ht="15.75" customHeight="1" s="311">
      <c r="A100" s="145" t="n"/>
      <c r="B100" s="145" t="n"/>
      <c r="C100" s="145" t="n"/>
      <c r="D100" s="145" t="n"/>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5" t="n"/>
      <c r="Y100" s="145" t="n"/>
      <c r="Z100" s="145" t="n"/>
    </row>
    <row r="101" ht="15.75" customHeight="1" s="311">
      <c r="A101" s="145" t="n"/>
      <c r="B101" s="145" t="n"/>
      <c r="C101" s="145" t="n"/>
      <c r="D101" s="145" t="n"/>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5" t="n"/>
      <c r="Y101" s="145" t="n"/>
      <c r="Z101" s="145" t="n"/>
    </row>
    <row r="102" ht="15.75" customHeight="1" s="311">
      <c r="A102" s="145" t="n"/>
      <c r="B102" s="145" t="n"/>
      <c r="C102" s="145" t="n"/>
      <c r="D102" s="145" t="n"/>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5" t="n"/>
      <c r="Y102" s="145" t="n"/>
      <c r="Z102" s="145" t="n"/>
    </row>
    <row r="103" ht="15.75" customHeight="1" s="311">
      <c r="A103" s="145" t="n"/>
      <c r="B103" s="145" t="n"/>
      <c r="C103" s="145" t="n"/>
      <c r="D103" s="145" t="n"/>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5" t="n"/>
      <c r="Y103" s="145" t="n"/>
      <c r="Z103" s="145" t="n"/>
    </row>
    <row r="104" ht="15.75" customHeight="1" s="311">
      <c r="A104" s="145" t="n"/>
      <c r="B104" s="145" t="n"/>
      <c r="C104" s="145" t="n"/>
      <c r="D104" s="145" t="n"/>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5" t="n"/>
      <c r="Y104" s="145" t="n"/>
      <c r="Z104" s="145" t="n"/>
    </row>
    <row r="105" ht="15.75" customHeight="1" s="311">
      <c r="A105" s="145" t="n"/>
      <c r="B105" s="145" t="n"/>
      <c r="C105" s="145" t="n"/>
      <c r="D105" s="145" t="n"/>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5" t="n"/>
      <c r="Y105" s="145" t="n"/>
      <c r="Z105" s="145" t="n"/>
    </row>
    <row r="106" ht="15.75" customHeight="1" s="311">
      <c r="A106" s="145" t="n"/>
      <c r="B106" s="145" t="n"/>
      <c r="C106" s="145"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5" t="n"/>
      <c r="Y106" s="145" t="n"/>
      <c r="Z106" s="145" t="n"/>
    </row>
    <row r="107" ht="15.75" customHeight="1" s="311">
      <c r="A107" s="145" t="n"/>
      <c r="B107" s="145" t="n"/>
      <c r="C107" s="145"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5" t="n"/>
      <c r="Y107" s="145" t="n"/>
      <c r="Z107" s="145" t="n"/>
    </row>
    <row r="108" ht="15.75" customHeight="1" s="311">
      <c r="A108" s="145" t="n"/>
      <c r="B108" s="145" t="n"/>
      <c r="C108" s="145" t="n"/>
      <c r="D108" s="145" t="n"/>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5" t="n"/>
      <c r="Y108" s="145" t="n"/>
      <c r="Z108" s="145" t="n"/>
    </row>
    <row r="109" ht="15.75" customHeight="1" s="311">
      <c r="A109" s="145" t="n"/>
      <c r="B109" s="145" t="n"/>
      <c r="C109" s="145" t="n"/>
      <c r="D109" s="145" t="n"/>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5" t="n"/>
      <c r="Y109" s="145" t="n"/>
      <c r="Z109" s="145" t="n"/>
    </row>
    <row r="110" ht="15.75" customHeight="1" s="311">
      <c r="A110" s="145" t="n"/>
      <c r="B110" s="145" t="n"/>
      <c r="C110" s="145" t="n"/>
      <c r="D110" s="145" t="n"/>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5" t="n"/>
      <c r="Y110" s="145" t="n"/>
      <c r="Z110" s="145" t="n"/>
    </row>
    <row r="111" ht="15.75" customHeight="1" s="311">
      <c r="A111" s="145" t="n"/>
      <c r="B111" s="145" t="n"/>
      <c r="C111" s="145" t="n"/>
      <c r="D111" s="145" t="n"/>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5" t="n"/>
      <c r="Y111" s="145" t="n"/>
      <c r="Z111" s="145" t="n"/>
    </row>
    <row r="112" ht="15.75" customHeight="1" s="311">
      <c r="A112" s="145" t="n"/>
      <c r="B112" s="145" t="n"/>
      <c r="C112" s="145" t="n"/>
      <c r="D112" s="145" t="n"/>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5" t="n"/>
      <c r="Y112" s="145" t="n"/>
      <c r="Z112" s="145" t="n"/>
    </row>
    <row r="113" ht="15.75" customHeight="1" s="311">
      <c r="A113" s="145" t="n"/>
      <c r="B113" s="145" t="n"/>
      <c r="C113" s="145" t="n"/>
      <c r="D113" s="145" t="n"/>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5" t="n"/>
      <c r="Y113" s="145" t="n"/>
      <c r="Z113" s="145" t="n"/>
    </row>
    <row r="114" ht="15.75" customHeight="1" s="311">
      <c r="A114" s="145" t="n"/>
      <c r="B114" s="145" t="n"/>
      <c r="C114" s="145" t="n"/>
      <c r="D114" s="145" t="n"/>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5" t="n"/>
      <c r="Y114" s="145" t="n"/>
      <c r="Z114" s="145" t="n"/>
    </row>
    <row r="115" ht="15.75" customHeight="1" s="311">
      <c r="A115" s="145" t="n"/>
      <c r="B115" s="145" t="n"/>
      <c r="C115" s="145" t="n"/>
      <c r="D115" s="145" t="n"/>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5" t="n"/>
      <c r="Y115" s="145" t="n"/>
      <c r="Z115" s="145" t="n"/>
    </row>
    <row r="116" ht="15.75" customHeight="1" s="311">
      <c r="A116" s="145" t="n"/>
      <c r="B116" s="145" t="n"/>
      <c r="C116" s="145"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5" t="n"/>
      <c r="Y116" s="145" t="n"/>
      <c r="Z116" s="145" t="n"/>
    </row>
    <row r="117" ht="15.75" customHeight="1" s="311">
      <c r="A117" s="145" t="n"/>
      <c r="B117" s="145" t="n"/>
      <c r="C117" s="145"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5" t="n"/>
      <c r="Y117" s="145" t="n"/>
      <c r="Z117" s="145" t="n"/>
    </row>
    <row r="118" ht="15.75" customHeight="1" s="311">
      <c r="A118" s="145" t="n"/>
      <c r="B118" s="145" t="n"/>
      <c r="C118" s="145"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5" t="n"/>
      <c r="Y118" s="145" t="n"/>
      <c r="Z118" s="145" t="n"/>
    </row>
    <row r="119" ht="15.75" customHeight="1" s="311">
      <c r="A119" s="145" t="n"/>
      <c r="B119" s="145" t="n"/>
      <c r="C119" s="145"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5" t="n"/>
      <c r="Y119" s="145" t="n"/>
      <c r="Z119" s="145" t="n"/>
    </row>
    <row r="120" ht="15.75" customHeight="1" s="311">
      <c r="A120" s="145" t="n"/>
      <c r="B120" s="145" t="n"/>
      <c r="C120" s="145"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5" t="n"/>
      <c r="Y120" s="145" t="n"/>
      <c r="Z120" s="145" t="n"/>
    </row>
    <row r="121" ht="15.75" customHeight="1" s="311">
      <c r="A121" s="145" t="n"/>
      <c r="B121" s="145" t="n"/>
      <c r="C121" s="145"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5" t="n"/>
      <c r="Y121" s="145" t="n"/>
      <c r="Z121" s="145" t="n"/>
    </row>
    <row r="122" ht="15.75" customHeight="1" s="311">
      <c r="A122" s="145" t="n"/>
      <c r="B122" s="145" t="n"/>
      <c r="C122" s="145"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5" t="n"/>
      <c r="Y122" s="145" t="n"/>
      <c r="Z122" s="145" t="n"/>
    </row>
    <row r="123" ht="15.75" customHeight="1" s="311">
      <c r="A123" s="145" t="n"/>
      <c r="B123" s="145" t="n"/>
      <c r="C123" s="145"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5" t="n"/>
      <c r="Y123" s="145" t="n"/>
      <c r="Z123" s="145" t="n"/>
    </row>
    <row r="124" ht="15.75" customHeight="1" s="311">
      <c r="A124" s="145" t="n"/>
      <c r="B124" s="145" t="n"/>
      <c r="C124" s="145"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5" t="n"/>
      <c r="Y124" s="145" t="n"/>
      <c r="Z124" s="145" t="n"/>
    </row>
    <row r="125" ht="15.75" customHeight="1" s="311">
      <c r="A125" s="145" t="n"/>
      <c r="B125" s="145" t="n"/>
      <c r="C125" s="145"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5" t="n"/>
      <c r="Y125" s="145" t="n"/>
      <c r="Z125" s="145" t="n"/>
    </row>
    <row r="126" ht="15.75" customHeight="1" s="311">
      <c r="A126" s="145" t="n"/>
      <c r="B126" s="145" t="n"/>
      <c r="C126" s="145"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5" t="n"/>
      <c r="Y126" s="145" t="n"/>
      <c r="Z126" s="145" t="n"/>
    </row>
    <row r="127" ht="15.75" customHeight="1" s="311">
      <c r="A127" s="145" t="n"/>
      <c r="B127" s="145" t="n"/>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45" t="n"/>
      <c r="Z127" s="145"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45" t="n"/>
      <c r="Z128" s="145" t="n"/>
    </row>
    <row r="129" ht="15.75" customHeight="1" s="311">
      <c r="A129" s="145" t="n"/>
      <c r="B129" s="145" t="n"/>
      <c r="C129" s="145"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5" t="n"/>
      <c r="Y129" s="145" t="n"/>
      <c r="Z129" s="145" t="n"/>
    </row>
    <row r="130" ht="15.75" customHeight="1" s="311">
      <c r="A130" s="145" t="n"/>
      <c r="B130" s="145" t="n"/>
      <c r="C130" s="145"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5" t="n"/>
      <c r="Y130" s="145" t="n"/>
      <c r="Z130" s="145" t="n"/>
    </row>
    <row r="131" ht="15.75" customHeight="1" s="311">
      <c r="A131" s="145" t="n"/>
      <c r="B131" s="145" t="n"/>
      <c r="C131" s="145"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5" t="n"/>
      <c r="Y131" s="145" t="n"/>
      <c r="Z131" s="145" t="n"/>
    </row>
    <row r="132" ht="15.75" customHeight="1" s="311">
      <c r="A132" s="145" t="n"/>
      <c r="B132" s="145" t="n"/>
      <c r="C132" s="145"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5" t="n"/>
      <c r="Y132" s="145" t="n"/>
      <c r="Z132" s="145" t="n"/>
    </row>
    <row r="133" ht="15.75" customHeight="1" s="311">
      <c r="A133" s="145" t="n"/>
      <c r="B133" s="145" t="n"/>
      <c r="C133" s="145"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5" t="n"/>
      <c r="Y133" s="145" t="n"/>
      <c r="Z133" s="145" t="n"/>
    </row>
    <row r="134" ht="15.75" customHeight="1" s="311">
      <c r="A134" s="145" t="n"/>
      <c r="B134" s="145" t="n"/>
      <c r="C134" s="145"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5" t="n"/>
      <c r="Y134" s="145" t="n"/>
      <c r="Z134" s="145" t="n"/>
    </row>
    <row r="135" ht="15.75" customHeight="1" s="311">
      <c r="A135" s="145" t="n"/>
      <c r="B135" s="145" t="n"/>
      <c r="C135" s="145"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5" t="n"/>
      <c r="Y135" s="145" t="n"/>
      <c r="Z135" s="145" t="n"/>
    </row>
    <row r="136" ht="15.75" customHeight="1" s="311">
      <c r="A136" s="145" t="n"/>
      <c r="B136" s="145" t="n"/>
      <c r="C136" s="145"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5" t="n"/>
      <c r="Y136" s="145" t="n"/>
      <c r="Z136" s="145" t="n"/>
    </row>
    <row r="137" ht="15.75" customHeight="1" s="311">
      <c r="A137" s="145" t="n"/>
      <c r="B137" s="145" t="n"/>
      <c r="C137" s="145"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5" t="n"/>
      <c r="Y137" s="145" t="n"/>
      <c r="Z137" s="145"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5" t="n"/>
      <c r="Y138" s="145" t="n"/>
      <c r="Z138" s="145" t="n"/>
    </row>
    <row r="139" ht="15.75" customHeight="1" s="311">
      <c r="A139" s="145" t="n"/>
      <c r="B139" s="145" t="n"/>
      <c r="C139" s="145"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5" t="n"/>
      <c r="Y139" s="145" t="n"/>
      <c r="Z139" s="145" t="n"/>
    </row>
    <row r="140" ht="15.75" customHeight="1" s="311">
      <c r="A140" s="145" t="n"/>
      <c r="B140" s="145" t="n"/>
      <c r="C140" s="145"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5" t="n"/>
      <c r="Y140" s="145" t="n"/>
      <c r="Z140" s="145" t="n"/>
    </row>
    <row r="141" ht="15.75" customHeight="1" s="311">
      <c r="A141" s="145" t="n"/>
      <c r="B141" s="145" t="n"/>
      <c r="C141" s="145"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5" t="n"/>
      <c r="Y141" s="145" t="n"/>
      <c r="Z141" s="145" t="n"/>
    </row>
    <row r="142" ht="15.75" customHeight="1" s="311">
      <c r="A142" s="145" t="n"/>
      <c r="B142" s="145" t="n"/>
      <c r="C142" s="145"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5" t="n"/>
      <c r="Y142" s="145" t="n"/>
      <c r="Z142" s="145" t="n"/>
    </row>
    <row r="143" ht="15.75" customHeight="1" s="311">
      <c r="A143" s="145" t="n"/>
      <c r="B143" s="145" t="n"/>
      <c r="C143" s="145"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5" t="n"/>
      <c r="Y143" s="145" t="n"/>
      <c r="Z143" s="145" t="n"/>
    </row>
    <row r="144" ht="15.75" customHeight="1" s="311">
      <c r="A144" s="145" t="n"/>
      <c r="B144" s="145" t="n"/>
      <c r="C144" s="145"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5" t="n"/>
      <c r="Y144" s="145" t="n"/>
      <c r="Z144" s="145" t="n"/>
    </row>
    <row r="145" ht="15.75" customHeight="1" s="311">
      <c r="A145" s="145" t="n"/>
      <c r="B145" s="145" t="n"/>
      <c r="C145" s="145"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5" t="n"/>
      <c r="Y145" s="145" t="n"/>
      <c r="Z145" s="145" t="n"/>
    </row>
    <row r="146" ht="15.75" customHeight="1" s="311">
      <c r="A146" s="145" t="n"/>
      <c r="B146" s="145" t="n"/>
      <c r="C146" s="145"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5" t="n"/>
      <c r="Y146" s="145" t="n"/>
      <c r="Z146" s="145"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5" t="n"/>
      <c r="Y147" s="145" t="n"/>
      <c r="Z147" s="145"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45" t="n"/>
      <c r="Z148" s="145" t="n"/>
    </row>
    <row r="149" ht="15.75" customHeight="1" s="311">
      <c r="A149" s="145" t="n"/>
      <c r="B149" s="145" t="n"/>
      <c r="C149" s="145"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5" t="n"/>
      <c r="Y149" s="145" t="n"/>
      <c r="Z149" s="145" t="n"/>
    </row>
    <row r="150" ht="15.75" customHeight="1" s="311">
      <c r="A150" s="145" t="n"/>
      <c r="B150" s="145" t="n"/>
      <c r="C150" s="145"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5" t="n"/>
      <c r="Y150" s="145" t="n"/>
      <c r="Z150" s="145" t="n"/>
    </row>
    <row r="151" ht="15.75" customHeight="1" s="311">
      <c r="A151" s="145" t="n"/>
      <c r="B151" s="145" t="n"/>
      <c r="C151" s="145"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45" t="n"/>
      <c r="Z151" s="145" t="n"/>
    </row>
    <row r="152" ht="15.75" customHeight="1" s="311">
      <c r="A152" s="145" t="n"/>
      <c r="B152" s="145" t="n"/>
      <c r="C152" s="145"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5" t="n"/>
      <c r="Y152" s="145" t="n"/>
      <c r="Z152" s="145" t="n"/>
    </row>
    <row r="153" ht="15.75" customHeight="1" s="311">
      <c r="A153" s="145" t="n"/>
      <c r="B153" s="145" t="n"/>
      <c r="C153" s="145"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5" t="n"/>
      <c r="Y153" s="145" t="n"/>
      <c r="Z153" s="145" t="n"/>
    </row>
    <row r="154" ht="15.75" customHeight="1" s="311">
      <c r="A154" s="145" t="n"/>
      <c r="B154" s="145" t="n"/>
      <c r="C154" s="145"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5" t="n"/>
      <c r="Y154" s="145" t="n"/>
      <c r="Z154" s="145" t="n"/>
    </row>
    <row r="155" ht="15.75" customHeight="1" s="311">
      <c r="A155" s="145" t="n"/>
      <c r="B155" s="145" t="n"/>
      <c r="C155" s="145"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5" t="n"/>
      <c r="Y155" s="145" t="n"/>
      <c r="Z155" s="145"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5" t="n"/>
      <c r="Y156" s="145" t="n"/>
      <c r="Z156" s="145" t="n"/>
    </row>
    <row r="157" ht="15.75" customHeight="1" s="311">
      <c r="A157" s="145" t="n"/>
      <c r="B157" s="145" t="n"/>
      <c r="C157" s="145"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5" t="n"/>
      <c r="Y157" s="145" t="n"/>
      <c r="Z157" s="145" t="n"/>
    </row>
    <row r="158" ht="15.75" customHeight="1" s="311">
      <c r="A158" s="145" t="n"/>
      <c r="B158" s="145" t="n"/>
      <c r="C158" s="145"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5" t="n"/>
      <c r="Y158" s="145" t="n"/>
      <c r="Z158" s="145" t="n"/>
    </row>
    <row r="159" ht="15.75" customHeight="1" s="311">
      <c r="A159" s="145" t="n"/>
      <c r="B159" s="145" t="n"/>
      <c r="C159" s="145"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5" t="n"/>
      <c r="Y159" s="145" t="n"/>
      <c r="Z159" s="145" t="n"/>
    </row>
    <row r="160" ht="15.75" customHeight="1" s="311">
      <c r="A160" s="145" t="n"/>
      <c r="B160" s="145" t="n"/>
      <c r="C160" s="145"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45" t="n"/>
      <c r="Z160" s="145" t="n"/>
    </row>
    <row r="161" ht="15.75" customHeight="1" s="311">
      <c r="A161" s="145" t="n"/>
      <c r="B161" s="145" t="n"/>
      <c r="C161" s="145"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5" t="n"/>
      <c r="Y161" s="145" t="n"/>
      <c r="Z161" s="145"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5" t="n"/>
      <c r="Y162" s="145" t="n"/>
      <c r="Z162" s="145" t="n"/>
    </row>
    <row r="163" ht="15.75" customHeight="1" s="311">
      <c r="A163" s="145" t="n"/>
      <c r="B163" s="145" t="n"/>
      <c r="C163" s="145"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5" t="n"/>
      <c r="Y163" s="145" t="n"/>
      <c r="Z163" s="145" t="n"/>
    </row>
    <row r="164" ht="15.75" customHeight="1" s="311">
      <c r="A164" s="145" t="n"/>
      <c r="B164" s="145" t="n"/>
      <c r="C164" s="145"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5" t="n"/>
      <c r="Y164" s="145" t="n"/>
      <c r="Z164" s="145" t="n"/>
    </row>
    <row r="165" ht="15.75" customHeight="1" s="311">
      <c r="A165" s="145" t="n"/>
      <c r="B165" s="145" t="n"/>
      <c r="C165" s="145"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5" t="n"/>
      <c r="Y165" s="145" t="n"/>
      <c r="Z165" s="145" t="n"/>
    </row>
    <row r="166" ht="15.75" customHeight="1" s="311">
      <c r="A166" s="145" t="n"/>
      <c r="B166" s="145" t="n"/>
      <c r="C166" s="145"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5" t="n"/>
      <c r="Y166" s="145" t="n"/>
      <c r="Z166" s="145" t="n"/>
    </row>
    <row r="167" ht="15.75" customHeight="1" s="311">
      <c r="A167" s="145" t="n"/>
      <c r="B167" s="145" t="n"/>
      <c r="C167" s="145"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5" t="n"/>
      <c r="Y167" s="145" t="n"/>
      <c r="Z167" s="145" t="n"/>
    </row>
    <row r="168" ht="15.75" customHeight="1" s="311">
      <c r="A168" s="145" t="n"/>
      <c r="B168" s="145" t="n"/>
      <c r="C168" s="145"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5" t="n"/>
      <c r="Y168" s="145" t="n"/>
      <c r="Z168" s="145"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5" t="n"/>
      <c r="Y169" s="145" t="n"/>
      <c r="Z169" s="145" t="n"/>
    </row>
    <row r="170" ht="15.75" customHeight="1" s="311">
      <c r="A170" s="145" t="n"/>
      <c r="B170" s="145" t="n"/>
      <c r="C170" s="145"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5" t="n"/>
      <c r="Y170" s="145" t="n"/>
      <c r="Z170" s="145"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5" t="n"/>
      <c r="Y171" s="145" t="n"/>
      <c r="Z171" s="145"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5" t="n"/>
      <c r="Y172" s="145" t="n"/>
      <c r="Z172" s="145"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5" t="n"/>
      <c r="Y173" s="145" t="n"/>
      <c r="Z173" s="145"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5" t="n"/>
      <c r="Y174" s="145" t="n"/>
      <c r="Z174" s="145"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5" t="n"/>
      <c r="Y175" s="145" t="n"/>
      <c r="Z175" s="145"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5" t="n"/>
      <c r="Y176" s="145" t="n"/>
      <c r="Z176" s="145"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5" t="n"/>
      <c r="Y177" s="145" t="n"/>
      <c r="Z177" s="145"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5" t="n"/>
      <c r="Y178" s="145" t="n"/>
      <c r="Z178" s="145"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5" t="n"/>
      <c r="Y179" s="145" t="n"/>
      <c r="Z179" s="145"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5" t="n"/>
      <c r="Y180" s="145" t="n"/>
      <c r="Z180" s="145"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5" t="n"/>
      <c r="Y181" s="145" t="n"/>
      <c r="Z181" s="145"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5" t="n"/>
      <c r="Y182" s="145" t="n"/>
      <c r="Z182" s="145"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5" t="n"/>
      <c r="Y183" s="145" t="n"/>
      <c r="Z183" s="145"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5" t="n"/>
      <c r="Y184" s="145" t="n"/>
      <c r="Z184" s="145"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5" t="n"/>
      <c r="Y185" s="145" t="n"/>
      <c r="Z185" s="145"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5" t="n"/>
      <c r="Y186" s="145" t="n"/>
      <c r="Z186" s="145"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5" t="n"/>
      <c r="Y187" s="145" t="n"/>
      <c r="Z187" s="145"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5" t="n"/>
      <c r="Y188" s="145" t="n"/>
      <c r="Z188" s="145"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5" t="n"/>
      <c r="Y189" s="145" t="n"/>
      <c r="Z189" s="145"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5" t="n"/>
      <c r="Y190" s="145" t="n"/>
      <c r="Z190" s="145"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5" t="n"/>
      <c r="Y191" s="145" t="n"/>
      <c r="Z191" s="145"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5" t="n"/>
      <c r="Y192" s="145" t="n"/>
      <c r="Z192" s="145"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5" t="n"/>
      <c r="Y193" s="145" t="n"/>
      <c r="Z193" s="145"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5" t="n"/>
      <c r="Y194" s="145" t="n"/>
      <c r="Z194" s="145"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5" t="n"/>
      <c r="Y195" s="145" t="n"/>
      <c r="Z195" s="145"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5" t="n"/>
      <c r="Y196" s="145" t="n"/>
      <c r="Z196" s="145"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5" t="n"/>
      <c r="Y197" s="145" t="n"/>
      <c r="Z197" s="145"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5" t="n"/>
      <c r="Y198" s="145" t="n"/>
      <c r="Z198" s="145"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5" t="n"/>
      <c r="Y199" s="145" t="n"/>
      <c r="Z199" s="145"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5" t="n"/>
      <c r="Y200" s="145" t="n"/>
      <c r="Z200" s="145"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5" t="n"/>
      <c r="Y201" s="145" t="n"/>
      <c r="Z201" s="145"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5" t="n"/>
      <c r="Y202" s="145" t="n"/>
      <c r="Z202" s="145"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5" t="n"/>
      <c r="Y203" s="145" t="n"/>
      <c r="Z203" s="145"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5" t="n"/>
      <c r="Y204" s="145" t="n"/>
      <c r="Z204" s="145"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5" t="n"/>
      <c r="Y205" s="145" t="n"/>
      <c r="Z205" s="145"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5" t="n"/>
      <c r="Y206" s="145" t="n"/>
      <c r="Z206" s="145"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5" t="n"/>
      <c r="Y207" s="145" t="n"/>
      <c r="Z207" s="145"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5" t="n"/>
      <c r="Y208" s="145" t="n"/>
      <c r="Z208" s="145"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5" t="n"/>
      <c r="Y209" s="145" t="n"/>
      <c r="Z209" s="145"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5" t="n"/>
      <c r="Y210" s="145" t="n"/>
      <c r="Z210" s="145"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5" t="n"/>
      <c r="Y211" s="145" t="n"/>
      <c r="Z211" s="145"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5" t="n"/>
      <c r="Y212" s="145" t="n"/>
      <c r="Z212" s="145"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5" t="n"/>
      <c r="Y213" s="145" t="n"/>
      <c r="Z213" s="145"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5" t="n"/>
      <c r="Y214" s="145" t="n"/>
      <c r="Z214" s="145"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5" t="n"/>
      <c r="Y215" s="145" t="n"/>
      <c r="Z215" s="145"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5" t="n"/>
      <c r="Y216" s="145" t="n"/>
      <c r="Z216" s="145"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5" t="n"/>
      <c r="Y217" s="145" t="n"/>
      <c r="Z217" s="145"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5" t="n"/>
      <c r="Y218" s="145" t="n"/>
      <c r="Z218" s="145"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5" t="n"/>
      <c r="Y219" s="145" t="n"/>
      <c r="Z219" s="145"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5" t="n"/>
      <c r="Y220" s="145" t="n"/>
      <c r="Z220" s="145"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5" t="n"/>
      <c r="Y221" s="145" t="n"/>
      <c r="Z221" s="145"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5" t="n"/>
      <c r="Y222" s="145" t="n"/>
      <c r="Z222" s="145"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5" t="n"/>
      <c r="Y223" s="145" t="n"/>
      <c r="Z223" s="145"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5" t="n"/>
      <c r="Y224" s="145" t="n"/>
      <c r="Z224" s="145"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5" t="n"/>
      <c r="Y225" s="145" t="n"/>
      <c r="Z225" s="145"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5" t="n"/>
      <c r="Y226" s="145" t="n"/>
      <c r="Z226" s="145"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5" t="n"/>
      <c r="Y227" s="145" t="n"/>
      <c r="Z227" s="145"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5" t="n"/>
      <c r="Y228" s="145" t="n"/>
      <c r="Z228" s="145"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5" t="n"/>
      <c r="Y229" s="145" t="n"/>
      <c r="Z229" s="145"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5" t="n"/>
      <c r="Y230" s="145" t="n"/>
      <c r="Z230" s="145"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5" t="n"/>
      <c r="Y231" s="145" t="n"/>
      <c r="Z231" s="145"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5" t="n"/>
      <c r="Y232" s="145" t="n"/>
      <c r="Z232" s="145"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5" t="n"/>
      <c r="Y233" s="145" t="n"/>
      <c r="Z233" s="145"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5" t="n"/>
      <c r="Y234" s="145" t="n"/>
      <c r="Z234" s="145"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5" t="n"/>
      <c r="Y235" s="145" t="n"/>
      <c r="Z235" s="145"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5" t="n"/>
      <c r="Y236" s="145" t="n"/>
      <c r="Z236" s="145"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5" t="n"/>
      <c r="Y237" s="145" t="n"/>
      <c r="Z237" s="145"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5" t="n"/>
      <c r="Y238" s="145" t="n"/>
      <c r="Z238" s="145"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5" t="n"/>
      <c r="Y239" s="145" t="n"/>
      <c r="Z239" s="145"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5" t="n"/>
      <c r="Y240" s="145" t="n"/>
      <c r="Z240" s="145"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5" t="n"/>
      <c r="Y241" s="145" t="n"/>
      <c r="Z241" s="145"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5" t="n"/>
      <c r="Y242" s="145" t="n"/>
      <c r="Z242" s="145"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5" t="n"/>
      <c r="Y243" s="145" t="n"/>
      <c r="Z243" s="145"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5" t="n"/>
      <c r="Y244" s="145" t="n"/>
      <c r="Z244" s="145"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5" t="n"/>
      <c r="Y245" s="145" t="n"/>
      <c r="Z245" s="145"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5" t="n"/>
      <c r="Y246" s="145" t="n"/>
      <c r="Z246" s="145"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5" t="n"/>
      <c r="Y247" s="145" t="n"/>
      <c r="Z247" s="145"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5" t="n"/>
      <c r="Y248" s="145" t="n"/>
      <c r="Z248" s="145"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5" t="n"/>
      <c r="Y249" s="145" t="n"/>
      <c r="Z249" s="145"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5" t="n"/>
      <c r="Y250" s="145" t="n"/>
      <c r="Z250" s="145"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5" t="n"/>
      <c r="Y251" s="145" t="n"/>
      <c r="Z251" s="145"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5" t="n"/>
      <c r="Y252" s="145" t="n"/>
      <c r="Z252" s="145"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5" t="n"/>
      <c r="Y253" s="145" t="n"/>
      <c r="Z253" s="145"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5" t="n"/>
      <c r="Y254" s="145" t="n"/>
      <c r="Z254" s="145" t="n"/>
    </row>
    <row r="255" ht="15.75" customHeight="1" s="311">
      <c r="A255" s="145" t="n"/>
      <c r="B255" s="145" t="n"/>
      <c r="C255" s="145"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5" t="n"/>
      <c r="Y255" s="145" t="n"/>
      <c r="Z255" s="145" t="n"/>
    </row>
    <row r="256" ht="15.75" customHeight="1" s="311">
      <c r="A256" s="145" t="n"/>
      <c r="B256" s="145" t="n"/>
      <c r="C256" s="145"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5" t="n"/>
      <c r="Y256" s="145" t="n"/>
      <c r="Z256" s="145" t="n"/>
    </row>
    <row r="257" ht="15.75" customHeight="1" s="311">
      <c r="A257" s="145" t="n"/>
      <c r="B257" s="145" t="n"/>
      <c r="C257" s="145"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5" t="n"/>
      <c r="Y257" s="145" t="n"/>
      <c r="Z257" s="145" t="n"/>
    </row>
    <row r="258" ht="15.75" customHeight="1" s="311">
      <c r="A258" s="145" t="n"/>
      <c r="B258" s="145" t="n"/>
      <c r="C258" s="145"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5" t="n"/>
      <c r="Y258" s="145" t="n"/>
      <c r="Z258" s="145" t="n"/>
    </row>
    <row r="259" ht="15.75" customHeight="1" s="311">
      <c r="A259" s="145" t="n"/>
      <c r="B259" s="145" t="n"/>
      <c r="C259" s="145"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45" t="n"/>
      <c r="X259" s="145" t="n"/>
      <c r="Y259" s="145" t="n"/>
      <c r="Z259" s="145" t="n"/>
    </row>
    <row r="260" ht="15.75" customHeight="1" s="311">
      <c r="A260" s="145" t="n"/>
      <c r="B260" s="145" t="n"/>
      <c r="C260" s="145"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45" t="n"/>
      <c r="X260" s="145" t="n"/>
      <c r="Y260" s="145" t="n"/>
      <c r="Z260" s="145" t="n"/>
    </row>
    <row r="261" ht="15.75" customHeight="1" s="311">
      <c r="A261" s="145" t="n"/>
      <c r="B261" s="145" t="n"/>
      <c r="C261" s="145"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45" t="n"/>
      <c r="X261" s="145" t="n"/>
      <c r="Y261" s="145" t="n"/>
      <c r="Z261" s="145" t="n"/>
    </row>
    <row r="262" ht="15.75" customHeight="1" s="311">
      <c r="A262" s="145" t="n"/>
      <c r="B262" s="145" t="n"/>
      <c r="C262" s="145"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45" t="n"/>
      <c r="X262" s="145" t="n"/>
      <c r="Y262" s="145" t="n"/>
      <c r="Z262" s="145" t="n"/>
    </row>
    <row r="263" ht="15.75" customHeight="1" s="311">
      <c r="A263" s="145" t="n"/>
      <c r="B263" s="145" t="n"/>
      <c r="C263" s="145" t="n"/>
      <c r="D263" s="145" t="n"/>
      <c r="E263" s="145" t="n"/>
      <c r="F263" s="145" t="n"/>
      <c r="G263" s="145" t="n"/>
      <c r="H263" s="145" t="n"/>
      <c r="I263" s="145" t="n"/>
      <c r="J263" s="145" t="n"/>
      <c r="K263" s="145" t="n"/>
      <c r="L263" s="145" t="n"/>
      <c r="M263" s="145" t="n"/>
      <c r="N263" s="145" t="n"/>
      <c r="O263" s="145" t="n"/>
      <c r="P263" s="145" t="n"/>
      <c r="Q263" s="145" t="n"/>
      <c r="R263" s="145" t="n"/>
      <c r="S263" s="145" t="n"/>
      <c r="T263" s="145" t="n"/>
      <c r="U263" s="145" t="n"/>
      <c r="V263" s="145" t="n"/>
      <c r="W263" s="145" t="n"/>
      <c r="X263" s="145" t="n"/>
      <c r="Y263" s="145" t="n"/>
      <c r="Z263" s="145" t="n"/>
    </row>
    <row r="264" ht="15.75" customHeight="1" s="311">
      <c r="A264" s="145" t="n"/>
      <c r="B264" s="145" t="n"/>
      <c r="C264" s="145" t="n"/>
      <c r="D264" s="145" t="n"/>
      <c r="E264" s="145" t="n"/>
      <c r="F264" s="145" t="n"/>
      <c r="G264" s="145" t="n"/>
      <c r="H264" s="145" t="n"/>
      <c r="I264" s="145" t="n"/>
      <c r="J264" s="145" t="n"/>
      <c r="K264" s="145" t="n"/>
      <c r="L264" s="145" t="n"/>
      <c r="M264" s="145" t="n"/>
      <c r="N264" s="145" t="n"/>
      <c r="O264" s="145" t="n"/>
      <c r="P264" s="145" t="n"/>
      <c r="Q264" s="145" t="n"/>
      <c r="R264" s="145" t="n"/>
      <c r="S264" s="145" t="n"/>
      <c r="T264" s="145" t="n"/>
      <c r="U264" s="145" t="n"/>
      <c r="V264" s="145" t="n"/>
      <c r="W264" s="145" t="n"/>
      <c r="X264" s="145" t="n"/>
      <c r="Y264" s="145" t="n"/>
      <c r="Z264" s="145" t="n"/>
    </row>
    <row r="265" ht="15.75" customHeight="1" s="311">
      <c r="A265" s="145" t="n"/>
      <c r="B265" s="145" t="n"/>
      <c r="C265" s="145" t="n"/>
      <c r="D265" s="145" t="n"/>
      <c r="E265" s="145" t="n"/>
      <c r="F265" s="145" t="n"/>
      <c r="G265" s="145" t="n"/>
      <c r="H265" s="145" t="n"/>
      <c r="I265" s="145" t="n"/>
      <c r="J265" s="145" t="n"/>
      <c r="K265" s="145" t="n"/>
      <c r="L265" s="145" t="n"/>
      <c r="M265" s="145" t="n"/>
      <c r="N265" s="145" t="n"/>
      <c r="O265" s="145" t="n"/>
      <c r="P265" s="145" t="n"/>
      <c r="Q265" s="145" t="n"/>
      <c r="R265" s="145" t="n"/>
      <c r="S265" s="145" t="n"/>
      <c r="T265" s="145" t="n"/>
      <c r="U265" s="145" t="n"/>
      <c r="V265" s="145" t="n"/>
      <c r="W265" s="145" t="n"/>
      <c r="X265" s="145" t="n"/>
      <c r="Y265" s="145" t="n"/>
      <c r="Z265" s="145" t="n"/>
    </row>
    <row r="266" ht="15.75" customHeight="1" s="311">
      <c r="A266" s="145" t="n"/>
      <c r="B266" s="145" t="n"/>
      <c r="C266" s="145" t="n"/>
      <c r="D266" s="145" t="n"/>
      <c r="E266" s="145" t="n"/>
      <c r="F266" s="145" t="n"/>
      <c r="G266" s="145" t="n"/>
      <c r="H266" s="145" t="n"/>
      <c r="I266" s="145" t="n"/>
      <c r="J266" s="145" t="n"/>
      <c r="K266" s="145" t="n"/>
      <c r="L266" s="145" t="n"/>
      <c r="M266" s="145" t="n"/>
      <c r="N266" s="145" t="n"/>
      <c r="O266" s="145" t="n"/>
      <c r="P266" s="145" t="n"/>
      <c r="Q266" s="145" t="n"/>
      <c r="R266" s="145" t="n"/>
      <c r="S266" s="145" t="n"/>
      <c r="T266" s="145" t="n"/>
      <c r="U266" s="145" t="n"/>
      <c r="V266" s="145" t="n"/>
      <c r="W266" s="145" t="n"/>
      <c r="X266" s="145" t="n"/>
      <c r="Y266" s="145" t="n"/>
      <c r="Z266" s="145" t="n"/>
    </row>
    <row r="267" ht="15.75" customHeight="1" s="311">
      <c r="A267" s="145" t="n"/>
      <c r="B267" s="145" t="n"/>
      <c r="C267" s="145" t="n"/>
      <c r="D267" s="145" t="n"/>
      <c r="E267" s="145" t="n"/>
      <c r="F267" s="145" t="n"/>
      <c r="G267" s="145" t="n"/>
      <c r="H267" s="145" t="n"/>
      <c r="I267" s="145" t="n"/>
      <c r="J267" s="145" t="n"/>
      <c r="K267" s="145" t="n"/>
      <c r="L267" s="145" t="n"/>
      <c r="M267" s="145" t="n"/>
      <c r="N267" s="145" t="n"/>
      <c r="O267" s="145" t="n"/>
      <c r="P267" s="145" t="n"/>
      <c r="Q267" s="145" t="n"/>
      <c r="R267" s="145" t="n"/>
      <c r="S267" s="145" t="n"/>
      <c r="T267" s="145" t="n"/>
      <c r="U267" s="145" t="n"/>
      <c r="V267" s="145" t="n"/>
      <c r="W267" s="145" t="n"/>
      <c r="X267" s="145" t="n"/>
      <c r="Y267" s="145" t="n"/>
      <c r="Z267" s="145" t="n"/>
    </row>
    <row r="268" ht="15.75" customHeight="1" s="311">
      <c r="A268" s="145" t="n"/>
      <c r="B268" s="145" t="n"/>
      <c r="C268" s="145" t="n"/>
      <c r="D268" s="145" t="n"/>
      <c r="E268" s="145" t="n"/>
      <c r="F268" s="145" t="n"/>
      <c r="G268" s="145" t="n"/>
      <c r="H268" s="145" t="n"/>
      <c r="I268" s="145" t="n"/>
      <c r="J268" s="145" t="n"/>
      <c r="K268" s="145" t="n"/>
      <c r="L268" s="145" t="n"/>
      <c r="M268" s="145" t="n"/>
      <c r="N268" s="145" t="n"/>
      <c r="O268" s="145" t="n"/>
      <c r="P268" s="145" t="n"/>
      <c r="Q268" s="145" t="n"/>
      <c r="R268" s="145" t="n"/>
      <c r="S268" s="145" t="n"/>
      <c r="T268" s="145" t="n"/>
      <c r="U268" s="145" t="n"/>
      <c r="V268" s="145" t="n"/>
      <c r="W268" s="145" t="n"/>
      <c r="X268" s="145" t="n"/>
      <c r="Y268" s="145" t="n"/>
      <c r="Z268" s="145" t="n"/>
    </row>
    <row r="269" ht="15.75" customHeight="1" s="311">
      <c r="A269" s="145" t="n"/>
      <c r="B269" s="145" t="n"/>
      <c r="C269" s="145" t="n"/>
      <c r="D269" s="145" t="n"/>
      <c r="E269" s="145" t="n"/>
      <c r="F269" s="145" t="n"/>
      <c r="G269" s="145" t="n"/>
      <c r="H269" s="145" t="n"/>
      <c r="I269" s="145" t="n"/>
      <c r="J269" s="145" t="n"/>
      <c r="K269" s="145" t="n"/>
      <c r="L269" s="145" t="n"/>
      <c r="M269" s="145" t="n"/>
      <c r="N269" s="145" t="n"/>
      <c r="O269" s="145" t="n"/>
      <c r="P269" s="145" t="n"/>
      <c r="Q269" s="145" t="n"/>
      <c r="R269" s="145" t="n"/>
      <c r="S269" s="145" t="n"/>
      <c r="T269" s="145" t="n"/>
      <c r="U269" s="145" t="n"/>
      <c r="V269" s="145" t="n"/>
      <c r="W269" s="145" t="n"/>
      <c r="X269" s="145" t="n"/>
      <c r="Y269" s="145" t="n"/>
      <c r="Z269" s="145" t="n"/>
    </row>
    <row r="270" ht="15.75" customHeight="1" s="311">
      <c r="A270" s="145" t="n"/>
      <c r="B270" s="145" t="n"/>
      <c r="C270" s="145" t="n"/>
      <c r="D270" s="145" t="n"/>
      <c r="E270" s="145" t="n"/>
      <c r="F270" s="145" t="n"/>
      <c r="G270" s="145" t="n"/>
      <c r="H270" s="145" t="n"/>
      <c r="I270" s="145" t="n"/>
      <c r="J270" s="145" t="n"/>
      <c r="K270" s="145" t="n"/>
      <c r="L270" s="145" t="n"/>
      <c r="M270" s="145" t="n"/>
      <c r="N270" s="145" t="n"/>
      <c r="O270" s="145" t="n"/>
      <c r="P270" s="145" t="n"/>
      <c r="Q270" s="145" t="n"/>
      <c r="R270" s="145" t="n"/>
      <c r="S270" s="145" t="n"/>
      <c r="T270" s="145" t="n"/>
      <c r="U270" s="145" t="n"/>
      <c r="V270" s="145" t="n"/>
      <c r="W270" s="145" t="n"/>
      <c r="X270" s="145" t="n"/>
      <c r="Y270" s="145" t="n"/>
      <c r="Z270" s="145" t="n"/>
    </row>
    <row r="271" ht="15.75" customHeight="1" s="311">
      <c r="A271" s="145" t="n"/>
      <c r="B271" s="145" t="n"/>
      <c r="C271" s="145" t="n"/>
      <c r="D271" s="145" t="n"/>
      <c r="E271" s="145" t="n"/>
      <c r="F271" s="145" t="n"/>
      <c r="G271" s="145" t="n"/>
      <c r="H271" s="145" t="n"/>
      <c r="I271" s="145" t="n"/>
      <c r="J271" s="145" t="n"/>
      <c r="K271" s="145" t="n"/>
      <c r="L271" s="145" t="n"/>
      <c r="M271" s="145" t="n"/>
      <c r="N271" s="145" t="n"/>
      <c r="O271" s="145" t="n"/>
      <c r="P271" s="145" t="n"/>
      <c r="Q271" s="145" t="n"/>
      <c r="R271" s="145" t="n"/>
      <c r="S271" s="145" t="n"/>
      <c r="T271" s="145" t="n"/>
      <c r="U271" s="145" t="n"/>
      <c r="V271" s="145" t="n"/>
      <c r="W271" s="145" t="n"/>
      <c r="X271" s="145" t="n"/>
      <c r="Y271" s="145" t="n"/>
      <c r="Z271" s="145" t="n"/>
    </row>
    <row r="272" ht="15.75" customHeight="1" s="311">
      <c r="A272" s="145" t="n"/>
      <c r="B272" s="145" t="n"/>
      <c r="C272" s="145" t="n"/>
      <c r="D272" s="145" t="n"/>
      <c r="E272" s="145" t="n"/>
      <c r="F272" s="145" t="n"/>
      <c r="G272" s="145" t="n"/>
      <c r="H272" s="145" t="n"/>
      <c r="I272" s="145" t="n"/>
      <c r="J272" s="145" t="n"/>
      <c r="K272" s="145" t="n"/>
      <c r="L272" s="145" t="n"/>
      <c r="M272" s="145" t="n"/>
      <c r="N272" s="145" t="n"/>
      <c r="O272" s="145" t="n"/>
      <c r="P272" s="145" t="n"/>
      <c r="Q272" s="145" t="n"/>
      <c r="R272" s="145" t="n"/>
      <c r="S272" s="145" t="n"/>
      <c r="T272" s="145" t="n"/>
      <c r="U272" s="145" t="n"/>
      <c r="V272" s="145" t="n"/>
      <c r="W272" s="145" t="n"/>
      <c r="X272" s="145" t="n"/>
      <c r="Y272" s="145" t="n"/>
      <c r="Z272" s="145" t="n"/>
    </row>
    <row r="273" ht="15.75" customHeight="1" s="311">
      <c r="A273" s="145" t="n"/>
      <c r="B273" s="145" t="n"/>
      <c r="C273" s="145" t="n"/>
      <c r="D273" s="145" t="n"/>
      <c r="E273" s="145" t="n"/>
      <c r="F273" s="145" t="n"/>
      <c r="G273" s="145" t="n"/>
      <c r="H273" s="145" t="n"/>
      <c r="I273" s="145" t="n"/>
      <c r="J273" s="145" t="n"/>
      <c r="K273" s="145" t="n"/>
      <c r="L273" s="145" t="n"/>
      <c r="M273" s="145" t="n"/>
      <c r="N273" s="145" t="n"/>
      <c r="O273" s="145" t="n"/>
      <c r="P273" s="145" t="n"/>
      <c r="Q273" s="145" t="n"/>
      <c r="R273" s="145" t="n"/>
      <c r="S273" s="145" t="n"/>
      <c r="T273" s="145" t="n"/>
      <c r="U273" s="145" t="n"/>
      <c r="V273" s="145" t="n"/>
      <c r="W273" s="145" t="n"/>
      <c r="X273" s="145" t="n"/>
      <c r="Y273" s="145" t="n"/>
      <c r="Z273" s="145" t="n"/>
    </row>
    <row r="274" ht="15.75" customHeight="1" s="311">
      <c r="A274" s="145" t="n"/>
      <c r="B274" s="145" t="n"/>
      <c r="C274" s="145" t="n"/>
      <c r="D274" s="145" t="n"/>
      <c r="E274" s="145" t="n"/>
      <c r="F274" s="145" t="n"/>
      <c r="G274" s="145" t="n"/>
      <c r="H274" s="145" t="n"/>
      <c r="I274" s="145" t="n"/>
      <c r="J274" s="145" t="n"/>
      <c r="K274" s="145" t="n"/>
      <c r="L274" s="145" t="n"/>
      <c r="M274" s="145" t="n"/>
      <c r="N274" s="145" t="n"/>
      <c r="O274" s="145" t="n"/>
      <c r="P274" s="145" t="n"/>
      <c r="Q274" s="145" t="n"/>
      <c r="R274" s="145" t="n"/>
      <c r="S274" s="145" t="n"/>
      <c r="T274" s="145" t="n"/>
      <c r="U274" s="145" t="n"/>
      <c r="V274" s="145" t="n"/>
      <c r="W274" s="145" t="n"/>
      <c r="X274" s="145" t="n"/>
      <c r="Y274" s="145" t="n"/>
      <c r="Z274" s="145" t="n"/>
    </row>
    <row r="275" ht="15.75" customHeight="1" s="311">
      <c r="A275" s="145" t="n"/>
      <c r="B275" s="145" t="n"/>
      <c r="C275" s="145" t="n"/>
      <c r="D275" s="145" t="n"/>
      <c r="E275" s="145" t="n"/>
      <c r="F275" s="145" t="n"/>
      <c r="G275" s="145" t="n"/>
      <c r="H275" s="145" t="n"/>
      <c r="I275" s="145" t="n"/>
      <c r="J275" s="145" t="n"/>
      <c r="K275" s="145" t="n"/>
      <c r="L275" s="145" t="n"/>
      <c r="M275" s="145" t="n"/>
      <c r="N275" s="145" t="n"/>
      <c r="O275" s="145" t="n"/>
      <c r="P275" s="145" t="n"/>
      <c r="Q275" s="145" t="n"/>
      <c r="R275" s="145" t="n"/>
      <c r="S275" s="145" t="n"/>
      <c r="T275" s="145" t="n"/>
      <c r="U275" s="145" t="n"/>
      <c r="V275" s="145" t="n"/>
      <c r="W275" s="145" t="n"/>
      <c r="X275" s="145" t="n"/>
      <c r="Y275" s="145" t="n"/>
      <c r="Z275" s="145" t="n"/>
    </row>
    <row r="276" ht="15.75" customHeight="1" s="311">
      <c r="A276" s="145" t="n"/>
      <c r="B276" s="145" t="n"/>
      <c r="C276" s="145" t="n"/>
      <c r="D276" s="145" t="n"/>
      <c r="E276" s="145" t="n"/>
      <c r="F276" s="145" t="n"/>
      <c r="G276" s="145" t="n"/>
      <c r="H276" s="145" t="n"/>
      <c r="I276" s="145" t="n"/>
      <c r="J276" s="145" t="n"/>
      <c r="K276" s="145" t="n"/>
      <c r="L276" s="145" t="n"/>
      <c r="M276" s="145" t="n"/>
      <c r="N276" s="145" t="n"/>
      <c r="O276" s="145" t="n"/>
      <c r="P276" s="145" t="n"/>
      <c r="Q276" s="145" t="n"/>
      <c r="R276" s="145" t="n"/>
      <c r="S276" s="145" t="n"/>
      <c r="T276" s="145" t="n"/>
      <c r="U276" s="145" t="n"/>
      <c r="V276" s="145" t="n"/>
      <c r="W276" s="145" t="n"/>
      <c r="X276" s="145" t="n"/>
      <c r="Y276" s="145" t="n"/>
      <c r="Z276" s="145" t="n"/>
    </row>
    <row r="277" ht="15.75" customHeight="1" s="311">
      <c r="A277" s="145" t="n"/>
      <c r="B277" s="145" t="n"/>
      <c r="C277" s="145" t="n"/>
      <c r="D277" s="145" t="n"/>
      <c r="E277" s="145" t="n"/>
      <c r="F277" s="145" t="n"/>
      <c r="G277" s="145" t="n"/>
      <c r="H277" s="145" t="n"/>
      <c r="I277" s="145" t="n"/>
      <c r="J277" s="145" t="n"/>
      <c r="K277" s="145" t="n"/>
      <c r="L277" s="145" t="n"/>
      <c r="M277" s="145" t="n"/>
      <c r="N277" s="145" t="n"/>
      <c r="O277" s="145" t="n"/>
      <c r="P277" s="145" t="n"/>
      <c r="Q277" s="145" t="n"/>
      <c r="R277" s="145" t="n"/>
      <c r="S277" s="145" t="n"/>
      <c r="T277" s="145" t="n"/>
      <c r="U277" s="145" t="n"/>
      <c r="V277" s="145" t="n"/>
      <c r="W277" s="145" t="n"/>
      <c r="X277" s="145" t="n"/>
      <c r="Y277" s="145" t="n"/>
      <c r="Z277" s="145" t="n"/>
    </row>
    <row r="278" ht="15.75" customHeight="1" s="311">
      <c r="A278" s="145" t="n"/>
      <c r="B278" s="145" t="n"/>
      <c r="C278" s="145" t="n"/>
      <c r="D278" s="145" t="n"/>
      <c r="E278" s="145" t="n"/>
      <c r="F278" s="145" t="n"/>
      <c r="G278" s="145" t="n"/>
      <c r="H278" s="145" t="n"/>
      <c r="I278" s="145" t="n"/>
      <c r="J278" s="145" t="n"/>
      <c r="K278" s="145" t="n"/>
      <c r="L278" s="145" t="n"/>
      <c r="M278" s="145" t="n"/>
      <c r="N278" s="145" t="n"/>
      <c r="O278" s="145" t="n"/>
      <c r="P278" s="145" t="n"/>
      <c r="Q278" s="145" t="n"/>
      <c r="R278" s="145" t="n"/>
      <c r="S278" s="145" t="n"/>
      <c r="T278" s="145" t="n"/>
      <c r="U278" s="145" t="n"/>
      <c r="V278" s="145" t="n"/>
      <c r="W278" s="145" t="n"/>
      <c r="X278" s="145" t="n"/>
      <c r="Y278" s="145" t="n"/>
      <c r="Z278" s="145" t="n"/>
    </row>
    <row r="279" ht="15.75" customHeight="1" s="311">
      <c r="A279" s="145" t="n"/>
      <c r="B279" s="145" t="n"/>
      <c r="C279" s="145" t="n"/>
      <c r="D279" s="145" t="n"/>
      <c r="E279" s="145" t="n"/>
      <c r="F279" s="145" t="n"/>
      <c r="G279" s="145" t="n"/>
      <c r="H279" s="145" t="n"/>
      <c r="I279" s="145" t="n"/>
      <c r="J279" s="145" t="n"/>
      <c r="K279" s="145" t="n"/>
      <c r="L279" s="145" t="n"/>
      <c r="M279" s="145" t="n"/>
      <c r="N279" s="145" t="n"/>
      <c r="O279" s="145" t="n"/>
      <c r="P279" s="145" t="n"/>
      <c r="Q279" s="145" t="n"/>
      <c r="R279" s="145" t="n"/>
      <c r="S279" s="145" t="n"/>
      <c r="T279" s="145" t="n"/>
      <c r="U279" s="145" t="n"/>
      <c r="V279" s="145" t="n"/>
      <c r="W279" s="145" t="n"/>
      <c r="X279" s="145" t="n"/>
      <c r="Y279" s="145" t="n"/>
      <c r="Z279" s="145" t="n"/>
    </row>
    <row r="280" ht="15.75" customHeight="1" s="311">
      <c r="A280" s="145" t="n"/>
      <c r="B280" s="145" t="n"/>
      <c r="C280" s="145" t="n"/>
      <c r="D280" s="145" t="n"/>
      <c r="E280" s="145" t="n"/>
      <c r="F280" s="145" t="n"/>
      <c r="G280" s="145" t="n"/>
      <c r="H280" s="145" t="n"/>
      <c r="I280" s="145" t="n"/>
      <c r="J280" s="145" t="n"/>
      <c r="K280" s="145" t="n"/>
      <c r="L280" s="145" t="n"/>
      <c r="M280" s="145" t="n"/>
      <c r="N280" s="145" t="n"/>
      <c r="O280" s="145" t="n"/>
      <c r="P280" s="145" t="n"/>
      <c r="Q280" s="145" t="n"/>
      <c r="R280" s="145" t="n"/>
      <c r="S280" s="145" t="n"/>
      <c r="T280" s="145" t="n"/>
      <c r="U280" s="145" t="n"/>
      <c r="V280" s="145" t="n"/>
      <c r="W280" s="145" t="n"/>
      <c r="X280" s="145" t="n"/>
      <c r="Y280" s="145" t="n"/>
      <c r="Z280" s="145" t="n"/>
    </row>
    <row r="281" ht="15.75" customHeight="1" s="311">
      <c r="A281" s="145" t="n"/>
      <c r="B281" s="145" t="n"/>
      <c r="C281" s="145" t="n"/>
      <c r="D281" s="145" t="n"/>
      <c r="E281" s="145" t="n"/>
      <c r="F281" s="145" t="n"/>
      <c r="G281" s="145" t="n"/>
      <c r="H281" s="145" t="n"/>
      <c r="I281" s="145" t="n"/>
      <c r="J281" s="145" t="n"/>
      <c r="K281" s="145" t="n"/>
      <c r="L281" s="145" t="n"/>
      <c r="M281" s="145" t="n"/>
      <c r="N281" s="145" t="n"/>
      <c r="O281" s="145" t="n"/>
      <c r="P281" s="145" t="n"/>
      <c r="Q281" s="145" t="n"/>
      <c r="R281" s="145" t="n"/>
      <c r="S281" s="145" t="n"/>
      <c r="T281" s="145" t="n"/>
      <c r="U281" s="145" t="n"/>
      <c r="V281" s="145" t="n"/>
      <c r="W281" s="145" t="n"/>
      <c r="X281" s="145" t="n"/>
      <c r="Y281" s="145" t="n"/>
      <c r="Z281" s="145" t="n"/>
    </row>
    <row r="282" ht="15.75" customHeight="1" s="311">
      <c r="A282" s="145" t="n"/>
      <c r="B282" s="145" t="n"/>
      <c r="C282" s="145" t="n"/>
      <c r="D282" s="145" t="n"/>
      <c r="E282" s="145" t="n"/>
      <c r="F282" s="145" t="n"/>
      <c r="G282" s="145" t="n"/>
      <c r="H282" s="145" t="n"/>
      <c r="I282" s="145" t="n"/>
      <c r="J282" s="145" t="n"/>
      <c r="K282" s="145" t="n"/>
      <c r="L282" s="145" t="n"/>
      <c r="M282" s="145" t="n"/>
      <c r="N282" s="145" t="n"/>
      <c r="O282" s="145" t="n"/>
      <c r="P282" s="145" t="n"/>
      <c r="Q282" s="145" t="n"/>
      <c r="R282" s="145" t="n"/>
      <c r="S282" s="145" t="n"/>
      <c r="T282" s="145" t="n"/>
      <c r="U282" s="145" t="n"/>
      <c r="V282" s="145" t="n"/>
      <c r="W282" s="145" t="n"/>
      <c r="X282" s="145" t="n"/>
      <c r="Y282" s="145" t="n"/>
      <c r="Z282" s="145" t="n"/>
    </row>
    <row r="283" ht="15.75" customHeight="1" s="311">
      <c r="A283" s="145" t="n"/>
      <c r="B283" s="145" t="n"/>
      <c r="C283" s="145" t="n"/>
      <c r="D283" s="145" t="n"/>
      <c r="E283" s="145" t="n"/>
      <c r="F283" s="145" t="n"/>
      <c r="G283" s="145" t="n"/>
      <c r="H283" s="145" t="n"/>
      <c r="I283" s="145" t="n"/>
      <c r="J283" s="145" t="n"/>
      <c r="K283" s="145" t="n"/>
      <c r="L283" s="145" t="n"/>
      <c r="M283" s="145" t="n"/>
      <c r="N283" s="145" t="n"/>
      <c r="O283" s="145" t="n"/>
      <c r="P283" s="145" t="n"/>
      <c r="Q283" s="145" t="n"/>
      <c r="R283" s="145" t="n"/>
      <c r="S283" s="145" t="n"/>
      <c r="T283" s="145" t="n"/>
      <c r="U283" s="145" t="n"/>
      <c r="V283" s="145" t="n"/>
      <c r="W283" s="145" t="n"/>
      <c r="X283" s="145" t="n"/>
      <c r="Y283" s="145" t="n"/>
      <c r="Z283" s="145" t="n"/>
    </row>
    <row r="284" ht="15.75" customHeight="1" s="311">
      <c r="A284" s="145" t="n"/>
      <c r="B284" s="145" t="n"/>
      <c r="C284" s="145" t="n"/>
      <c r="D284" s="145" t="n"/>
      <c r="E284" s="145" t="n"/>
      <c r="F284" s="145" t="n"/>
      <c r="G284" s="145" t="n"/>
      <c r="H284" s="145" t="n"/>
      <c r="I284" s="145" t="n"/>
      <c r="J284" s="145" t="n"/>
      <c r="K284" s="145" t="n"/>
      <c r="L284" s="145" t="n"/>
      <c r="M284" s="145" t="n"/>
      <c r="N284" s="145" t="n"/>
      <c r="O284" s="145" t="n"/>
      <c r="P284" s="145" t="n"/>
      <c r="Q284" s="145" t="n"/>
      <c r="R284" s="145" t="n"/>
      <c r="S284" s="145" t="n"/>
      <c r="T284" s="145" t="n"/>
      <c r="U284" s="145" t="n"/>
      <c r="V284" s="145" t="n"/>
      <c r="W284" s="145" t="n"/>
      <c r="X284" s="145" t="n"/>
      <c r="Y284" s="145" t="n"/>
      <c r="Z284" s="145" t="n"/>
    </row>
    <row r="285" ht="15.75" customHeight="1" s="311">
      <c r="A285" s="145" t="n"/>
      <c r="B285" s="145" t="n"/>
      <c r="C285" s="145" t="n"/>
      <c r="D285" s="145" t="n"/>
      <c r="E285" s="145" t="n"/>
      <c r="F285" s="145" t="n"/>
      <c r="G285" s="145" t="n"/>
      <c r="H285" s="145" t="n"/>
      <c r="I285" s="145" t="n"/>
      <c r="J285" s="145" t="n"/>
      <c r="K285" s="145" t="n"/>
      <c r="L285" s="145" t="n"/>
      <c r="M285" s="145" t="n"/>
      <c r="N285" s="145" t="n"/>
      <c r="O285" s="145" t="n"/>
      <c r="P285" s="145" t="n"/>
      <c r="Q285" s="145" t="n"/>
      <c r="R285" s="145" t="n"/>
      <c r="S285" s="145" t="n"/>
      <c r="T285" s="145" t="n"/>
      <c r="U285" s="145" t="n"/>
      <c r="V285" s="145" t="n"/>
      <c r="W285" s="145" t="n"/>
      <c r="X285" s="145" t="n"/>
      <c r="Y285" s="145" t="n"/>
      <c r="Z285" s="145" t="n"/>
    </row>
    <row r="286" ht="15.75" customHeight="1" s="311">
      <c r="A286" s="145" t="n"/>
      <c r="B286" s="145" t="n"/>
      <c r="C286" s="145" t="n"/>
      <c r="D286" s="145" t="n"/>
      <c r="E286" s="145" t="n"/>
      <c r="F286" s="145" t="n"/>
      <c r="G286" s="145" t="n"/>
      <c r="H286" s="145" t="n"/>
      <c r="I286" s="145" t="n"/>
      <c r="J286" s="145" t="n"/>
      <c r="K286" s="145" t="n"/>
      <c r="L286" s="145" t="n"/>
      <c r="M286" s="145" t="n"/>
      <c r="N286" s="145" t="n"/>
      <c r="O286" s="145" t="n"/>
      <c r="P286" s="145" t="n"/>
      <c r="Q286" s="145" t="n"/>
      <c r="R286" s="145" t="n"/>
      <c r="S286" s="145" t="n"/>
      <c r="T286" s="145" t="n"/>
      <c r="U286" s="145" t="n"/>
      <c r="V286" s="145" t="n"/>
      <c r="W286" s="145" t="n"/>
      <c r="X286" s="145" t="n"/>
      <c r="Y286" s="145" t="n"/>
      <c r="Z286" s="145" t="n"/>
    </row>
    <row r="287" ht="15.75" customHeight="1" s="311">
      <c r="A287" s="145" t="n"/>
      <c r="B287" s="145" t="n"/>
      <c r="C287" s="145" t="n"/>
      <c r="D287" s="145" t="n"/>
      <c r="E287" s="145" t="n"/>
      <c r="F287" s="145" t="n"/>
      <c r="G287" s="145" t="n"/>
      <c r="H287" s="145" t="n"/>
      <c r="I287" s="145" t="n"/>
      <c r="J287" s="145" t="n"/>
      <c r="K287" s="145" t="n"/>
      <c r="L287" s="145" t="n"/>
      <c r="M287" s="145" t="n"/>
      <c r="N287" s="145" t="n"/>
      <c r="O287" s="145" t="n"/>
      <c r="P287" s="145" t="n"/>
      <c r="Q287" s="145" t="n"/>
      <c r="R287" s="145" t="n"/>
      <c r="S287" s="145" t="n"/>
      <c r="T287" s="145" t="n"/>
      <c r="U287" s="145" t="n"/>
      <c r="V287" s="145" t="n"/>
      <c r="W287" s="145" t="n"/>
      <c r="X287" s="145" t="n"/>
      <c r="Y287" s="145" t="n"/>
      <c r="Z287" s="145"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row>
  </sheetData>
  <mergeCells count="105">
    <mergeCell ref="H10:I10"/>
    <mergeCell ref="C40:E40"/>
    <mergeCell ref="H9:I9"/>
    <mergeCell ref="C51:E51"/>
    <mergeCell ref="B86:C86"/>
    <mergeCell ref="D86:E86"/>
    <mergeCell ref="B2:F2"/>
    <mergeCell ref="F86:G86"/>
    <mergeCell ref="C23:E23"/>
    <mergeCell ref="F80:G80"/>
    <mergeCell ref="F79:G79"/>
    <mergeCell ref="H79:I79"/>
    <mergeCell ref="B78:C78"/>
    <mergeCell ref="D72:E72"/>
    <mergeCell ref="D78:E78"/>
    <mergeCell ref="F72:G72"/>
    <mergeCell ref="H72:I72"/>
    <mergeCell ref="C49:E49"/>
    <mergeCell ref="D71:E71"/>
    <mergeCell ref="C34:E34"/>
    <mergeCell ref="F71:G71"/>
    <mergeCell ref="H65:I65"/>
    <mergeCell ref="C42:E42"/>
    <mergeCell ref="H87:I87"/>
    <mergeCell ref="B64:C64"/>
    <mergeCell ref="D64:E64"/>
    <mergeCell ref="D73:E73"/>
    <mergeCell ref="H71:I71"/>
    <mergeCell ref="F57:G57"/>
    <mergeCell ref="C25:E25"/>
    <mergeCell ref="C29:E29"/>
    <mergeCell ref="D10:E10"/>
    <mergeCell ref="F10:G10"/>
    <mergeCell ref="C22:E22"/>
    <mergeCell ref="B66:C66"/>
    <mergeCell ref="C46:E46"/>
    <mergeCell ref="B19:D19"/>
    <mergeCell ref="C52:E52"/>
    <mergeCell ref="C39:E39"/>
    <mergeCell ref="C48:E48"/>
    <mergeCell ref="F85:G85"/>
    <mergeCell ref="H85:I85"/>
    <mergeCell ref="D66:E66"/>
    <mergeCell ref="F66:G66"/>
    <mergeCell ref="C38:E38"/>
    <mergeCell ref="D9:E9"/>
    <mergeCell ref="H80:I80"/>
    <mergeCell ref="F9:G9"/>
    <mergeCell ref="C24:E24"/>
    <mergeCell ref="C33:E33"/>
    <mergeCell ref="B80:C80"/>
    <mergeCell ref="C26:E26"/>
    <mergeCell ref="C35:E35"/>
    <mergeCell ref="B79:C79"/>
    <mergeCell ref="D79:E79"/>
    <mergeCell ref="F64:G64"/>
    <mergeCell ref="F73:G73"/>
    <mergeCell ref="C50:E50"/>
    <mergeCell ref="F87:G87"/>
    <mergeCell ref="B72:C72"/>
    <mergeCell ref="H58:I58"/>
    <mergeCell ref="B71:C71"/>
    <mergeCell ref="D65:E65"/>
    <mergeCell ref="B58:C58"/>
    <mergeCell ref="C36:E36"/>
    <mergeCell ref="H73:I73"/>
    <mergeCell ref="B57:C57"/>
    <mergeCell ref="G6:K6"/>
    <mergeCell ref="F8:G8"/>
    <mergeCell ref="C28:E28"/>
    <mergeCell ref="C37:E37"/>
    <mergeCell ref="B43:E43"/>
    <mergeCell ref="H57:I57"/>
    <mergeCell ref="H66:I66"/>
    <mergeCell ref="C30:E30"/>
    <mergeCell ref="B9:C9"/>
    <mergeCell ref="H86:I86"/>
    <mergeCell ref="C4:E4"/>
    <mergeCell ref="B85:C85"/>
    <mergeCell ref="D85:E85"/>
    <mergeCell ref="C54:E54"/>
    <mergeCell ref="C41:E41"/>
    <mergeCell ref="F78:G78"/>
    <mergeCell ref="B59:C59"/>
    <mergeCell ref="H78:I78"/>
    <mergeCell ref="F65:G65"/>
    <mergeCell ref="D80:E80"/>
    <mergeCell ref="F59:G59"/>
    <mergeCell ref="H59:I59"/>
    <mergeCell ref="C27:E27"/>
    <mergeCell ref="H64:I64"/>
    <mergeCell ref="D57:E57"/>
    <mergeCell ref="B8:C8"/>
    <mergeCell ref="B73:C73"/>
    <mergeCell ref="B87:C87"/>
    <mergeCell ref="D87:E87"/>
    <mergeCell ref="C53:E53"/>
    <mergeCell ref="B10:C10"/>
    <mergeCell ref="D58:E58"/>
    <mergeCell ref="F58:G58"/>
    <mergeCell ref="B65:C65"/>
    <mergeCell ref="D8:E8"/>
    <mergeCell ref="H8:I8"/>
    <mergeCell ref="D59:E59"/>
    <mergeCell ref="C47:E47"/>
  </mergeCells>
  <conditionalFormatting sqref="C26">
    <cfRule type="cellIs" priority="1" operator="lessThan" dxfId="3">
      <formula>0</formula>
    </cfRule>
  </conditionalFormatting>
  <conditionalFormatting sqref="C29">
    <cfRule type="cellIs" priority="2" operator="lessThan" dxfId="3">
      <formula>0</formula>
    </cfRule>
  </conditionalFormatting>
  <conditionalFormatting sqref="C51">
    <cfRule type="cellIs" priority="3" operator="lessThan" dxfId="3">
      <formula>0</formula>
    </cfRule>
  </conditionalFormatting>
  <conditionalFormatting sqref="L16">
    <cfRule type="cellIs" priority="4" operator="notEqual" dxfId="3">
      <formula>0</formula>
    </cfRule>
  </conditionalFormatting>
  <dataValidations count="2">
    <dataValidation sqref="H4" showDropDown="0" showInputMessage="0" showErrorMessage="0" allowBlank="1" type="list">
      <formula1>Panel!$Q$1:$Q$24</formula1>
    </dataValidation>
    <dataValidation sqref="C4" showDropDown="0" showInputMessage="0" showErrorMessage="0" allowBlank="1" type="list">
      <formula1>Escenarios!$D$4:$H$4</formula1>
    </dataValidation>
  </dataValidations>
  <pageMargins left="0.75" right="0.75" top="1" bottom="1"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tabColor rgb="FFD64570"/>
    <outlinePr summaryBelow="1" summaryRight="1"/>
    <pageSetUpPr/>
  </sheetPr>
  <dimension ref="B1:AA226"/>
  <sheetViews>
    <sheetView showGridLines="0" zoomScale="100" workbookViewId="0">
      <pane xSplit="1" ySplit="10" topLeftCell="B11" activePane="bottomRight" state="frozen"/>
      <selection pane="topRight"/>
      <selection pane="bottomLeft"/>
      <selection pane="bottomRight" activeCell="A1" sqref="A1"/>
    </sheetView>
  </sheetViews>
  <sheetFormatPr baseColWidth="8" defaultRowHeight="15"/>
  <cols>
    <col width="3" customWidth="1" style="311" min="1" max="1"/>
    <col width="5.8" customWidth="1" style="311" min="2" max="2"/>
    <col width="5.8" customWidth="1" style="311" min="3" max="3"/>
    <col width="5.8" customWidth="1" style="311" min="4" max="4"/>
    <col width="5.8" customWidth="1" style="311" min="5" max="5"/>
    <col width="5.8" customWidth="1" style="311" min="6" max="6"/>
    <col width="5.8" customWidth="1" style="311" min="7" max="7"/>
    <col width="5.8" customWidth="1" style="311" min="8" max="8"/>
    <col width="2.5" customWidth="1" style="311" min="9" max="9"/>
    <col width="5.8" customWidth="1" style="311" min="10" max="10"/>
    <col width="5.8" customWidth="1" style="311" min="11" max="11"/>
    <col width="5.8" customWidth="1" style="311" min="12" max="12"/>
    <col width="5.8" customWidth="1" style="311" min="13" max="13"/>
    <col width="5.8" customWidth="1" style="311" min="14" max="14"/>
    <col width="5.8" customWidth="1" style="311" min="15" max="15"/>
    <col width="5.8" customWidth="1" style="311" min="16" max="16"/>
    <col width="2.5" customWidth="1" style="311" min="17" max="17"/>
    <col width="5.8" customWidth="1" style="311" min="18" max="18"/>
    <col width="5.8" customWidth="1" style="311" min="19" max="19"/>
    <col width="5.8" customWidth="1" style="311" min="20" max="20"/>
    <col width="5.8" customWidth="1" style="311" min="21" max="21"/>
    <col width="5.8" customWidth="1" style="311" min="22" max="22"/>
    <col width="5.8" customWidth="1" style="311" min="23" max="23"/>
    <col width="5.8" customWidth="1" style="311" min="24" max="24"/>
    <col width="12" customWidth="1" style="311" min="25" max="25"/>
    <col hidden="1" width="14" customWidth="1" style="311" min="26" max="26"/>
    <col hidden="1" width="30" customWidth="1" style="311" min="27" max="27"/>
  </cols>
  <sheetData>
    <row r="1" ht="21.75" customHeight="1" s="311">
      <c r="B1" s="339" t="inlineStr">
        <is>
          <t>CALENDARIO DE CITAS</t>
        </is>
      </c>
    </row>
    <row r="2" ht="30" customHeight="1" s="311">
      <c r="B2" s="340" t="inlineStr">
        <is>
          <t>Arriba tienes el mes actual (o el que elijas) en grande, y más abajo los doce meses del año de un vistazo. Escribe tus citas en el REGISTRO del final y todo se pinta solo, con el color de la prioridad más alta de cada día. Las filas de ejemplo están marcadas "(ejemplo)": bórralas cuando metas las tuyas.</t>
        </is>
      </c>
    </row>
    <row r="4" ht="20" customHeight="1" s="311">
      <c r="B4" s="341" t="inlineStr">
        <is>
          <t>AÑO:</t>
        </is>
      </c>
      <c r="D4" s="342" t="n">
        <v>2026</v>
      </c>
      <c r="E4" s="343" t="n"/>
      <c r="G4" s="341" t="inlineStr">
        <is>
          <t>MES:</t>
        </is>
      </c>
      <c r="I4" s="344" t="inlineStr">
        <is>
          <t>Actual (hoy)</t>
        </is>
      </c>
      <c r="J4" s="343" t="n"/>
      <c r="K4" s="343" t="n"/>
      <c r="M4" s="345">
        <f>IFERROR(IF(OR($I$4="Actual (hoy)",$I$4=""),MONTH(TODAY()),MATCH($I$4,{"Enero";"Febrero";"Marzo";"Abril";"Mayo";"Junio";"Julio";"Agosto";"Septiembre";"Octubre";"Noviembre";"Diciembre"},0)),MONTH(TODAY()))</f>
        <v/>
      </c>
      <c r="O4" s="346">
        <f>" Mostrando:  "&amp;INDEX({"Enero";"Febrero";"Marzo";"Abril";"Mayo";"Junio";"Julio";"Agosto";"Septiembre";"Octubre";"Noviembre";"Diciembre"},$M$4)&amp;" de "&amp;$D$4&amp;"  ▸  pinta el calendario grande de arriba"</f>
        <v/>
      </c>
    </row>
    <row r="5" ht="18" customHeight="1" s="311">
      <c r="B5" s="347" t="inlineStr">
        <is>
          <t>LEYENDA:</t>
        </is>
      </c>
      <c r="J5" s="348" t="inlineStr">
        <is>
          <t>1 · Urgente</t>
        </is>
      </c>
      <c r="K5" s="349" t="n"/>
      <c r="L5" s="349" t="n"/>
      <c r="M5" s="350" t="inlineStr">
        <is>
          <t>2 · Alta</t>
        </is>
      </c>
      <c r="N5" s="351" t="n"/>
      <c r="O5" s="351" t="n"/>
      <c r="P5" s="352" t="inlineStr">
        <is>
          <t>3 · Media</t>
        </is>
      </c>
      <c r="Q5" s="353" t="n"/>
      <c r="R5" s="353" t="n"/>
      <c r="S5" s="354" t="inlineStr">
        <is>
          <t>4 · Baja</t>
        </is>
      </c>
      <c r="T5" s="355" t="n"/>
      <c r="U5" s="355" t="n"/>
      <c r="V5" s="356" t="inlineStr">
        <is>
          <t>Sin prioridad</t>
        </is>
      </c>
      <c r="W5" s="357" t="n"/>
      <c r="X5" s="357" t="n"/>
    </row>
    <row r="6" ht="8" customHeight="1" s="311"/>
    <row r="7" ht="15" customHeight="1" s="311">
      <c r="B7" s="358" t="inlineStr">
        <is>
          <t>CITAS DEL AÑO</t>
        </is>
      </c>
      <c r="C7" s="359" t="n"/>
      <c r="D7" s="359" t="n"/>
      <c r="E7" s="359" t="n"/>
      <c r="F7" s="359" t="n"/>
      <c r="H7" s="360" t="inlineStr">
        <is>
          <t>PENDIENTES</t>
        </is>
      </c>
      <c r="I7" s="361" t="n"/>
      <c r="J7" s="361" t="n"/>
      <c r="K7" s="361" t="n"/>
      <c r="L7" s="361" t="n"/>
      <c r="N7" s="362" t="inlineStr">
        <is>
          <t>URGENTES PENDIENTES</t>
        </is>
      </c>
      <c r="O7" s="363" t="n"/>
      <c r="P7" s="363" t="n"/>
      <c r="Q7" s="363" t="n"/>
      <c r="R7" s="363" t="n"/>
      <c r="T7" s="364" t="inlineStr">
        <is>
          <t>PRÓXIMA CITA</t>
        </is>
      </c>
      <c r="U7" s="365" t="n"/>
      <c r="V7" s="365" t="n"/>
      <c r="W7" s="365" t="n"/>
      <c r="X7" s="365" t="n"/>
    </row>
    <row r="8" ht="25.5" customHeight="1" s="311">
      <c r="B8" s="366">
        <f>COUNTIFS($B$62:$B$211,"&gt;="&amp;DATE($D$4,1,1),$B$62:$B$211,"&lt;="&amp;DATE($D$4,12,31),$V$62:$V$211,"&lt;&gt;4 · Cancelada")</f>
        <v/>
      </c>
      <c r="C8" s="367" t="n"/>
      <c r="D8" s="367" t="n"/>
      <c r="E8" s="367" t="n"/>
      <c r="F8" s="367" t="n"/>
      <c r="H8" s="366">
        <f>COUNTIFS($B$62:$B$211,"&gt;="&amp;TODAY(),$V$62:$V$211,"&lt;&gt;4 · Cancelada",$V$62:$V$211,"&lt;&gt;3 · Hecha")</f>
        <v/>
      </c>
      <c r="I8" s="367" t="n"/>
      <c r="J8" s="367" t="n"/>
      <c r="K8" s="367" t="n"/>
      <c r="L8" s="367" t="n"/>
      <c r="N8" s="366">
        <f>COUNTIFS($B$62:$B$211,"&gt;="&amp;TODAY(),$S$62:$S$211,"1 · Urgente",$V$62:$V$211,"&lt;&gt;4 · Cancelada",$V$62:$V$211,"&lt;&gt;3 · Hecha")</f>
        <v/>
      </c>
      <c r="O8" s="367" t="n"/>
      <c r="P8" s="367" t="n"/>
      <c r="Q8" s="367" t="n"/>
      <c r="R8" s="367" t="n"/>
      <c r="T8" s="368">
        <f>IF(COUNT($Z$62:$Z$211)=0,"—",MIN($Z$62:$Z$211))</f>
        <v/>
      </c>
      <c r="U8" s="367" t="n"/>
      <c r="V8" s="367" t="n"/>
      <c r="W8" s="367" t="n"/>
      <c r="X8" s="367" t="n"/>
    </row>
    <row r="9" ht="15" customHeight="1" s="311">
      <c r="B9" s="369" t="inlineStr">
        <is>
          <t>Sin contar las canceladas</t>
        </is>
      </c>
      <c r="C9" s="367" t="n"/>
      <c r="D9" s="367" t="n"/>
      <c r="E9" s="367" t="n"/>
      <c r="F9" s="367" t="n"/>
      <c r="H9" s="369" t="inlineStr">
        <is>
          <t>Aún por celebrar</t>
        </is>
      </c>
      <c r="I9" s="367" t="n"/>
      <c r="J9" s="367" t="n"/>
      <c r="K9" s="367" t="n"/>
      <c r="L9" s="367" t="n"/>
      <c r="N9" s="369" t="inlineStr">
        <is>
          <t>Prioridad 1 sin celebrar</t>
        </is>
      </c>
      <c r="O9" s="367" t="n"/>
      <c r="P9" s="367" t="n"/>
      <c r="Q9" s="367" t="n"/>
      <c r="R9" s="367" t="n"/>
      <c r="T9" s="369" t="inlineStr">
        <is>
          <t>La primera que llega</t>
        </is>
      </c>
      <c r="U9" s="367" t="n"/>
      <c r="V9" s="367" t="n"/>
      <c r="W9" s="367" t="n"/>
      <c r="X9" s="367" t="n"/>
    </row>
    <row r="10" ht="18" customHeight="1" s="311">
      <c r="B10" s="370">
        <f>IFERROR(IF(COUNT($Z$62:$Z$211)=0,"📭 No tienes ninguna cita futura registrada.","📌 Siguiente: "&amp;TEXT(MIN($Z$62:$Z$211),"DD/MM/YYYY")&amp;"  ·  "&amp;INDEX($G$62:$G$211,MATCH(MIN($Z$62:$Z$211),$B$62:$B$211,0))&amp;"  ·  "&amp;IF(MIN($Z$62:$Z$211)=TODAY(),"es HOY","faltan "&amp;(MIN($Z$62:$Z$211)-TODAY())&amp;" días")),"")</f>
        <v/>
      </c>
    </row>
    <row r="11" ht="8" customHeight="1" s="311"/>
    <row r="12" ht="24" customHeight="1" s="311">
      <c r="B12" s="371">
        <f>"★ "&amp;UPPER(INDEX({"Enero";"Febrero";"Marzo";"Abril";"Mayo";"Junio";"Julio";"Agosto";"Septiembre";"Octubre";"Noviembre";"Diciembre"},$M$4))&amp;"  "&amp;$D$4</f>
        <v/>
      </c>
      <c r="C12" s="372" t="n"/>
      <c r="D12" s="372" t="n"/>
      <c r="E12" s="372" t="n"/>
      <c r="F12" s="372" t="n"/>
      <c r="G12" s="373">
        <f>COUNTIFS($B$62:$B$211,"&gt;="&amp;DATE($D$4,$M$4,1),$B$62:$B$211,"&lt;="&amp;EOMONTH(DATE($D$4,$M$4,1),0),$V$62:$V$211,"&lt;&gt;4 · Cancelada")&amp;" citas"</f>
        <v/>
      </c>
      <c r="H12" s="372" t="n"/>
    </row>
    <row r="13" ht="20" customHeight="1" s="311">
      <c r="B13" s="374" t="inlineStr">
        <is>
          <t>L</t>
        </is>
      </c>
      <c r="C13" s="374" t="inlineStr">
        <is>
          <t>M</t>
        </is>
      </c>
      <c r="D13" s="374" t="inlineStr">
        <is>
          <t>X</t>
        </is>
      </c>
      <c r="E13" s="374" t="inlineStr">
        <is>
          <t>J</t>
        </is>
      </c>
      <c r="F13" s="374" t="inlineStr">
        <is>
          <t>V</t>
        </is>
      </c>
      <c r="G13" s="374" t="inlineStr">
        <is>
          <t>S</t>
        </is>
      </c>
      <c r="H13" s="374" t="inlineStr">
        <is>
          <t>D</t>
        </is>
      </c>
    </row>
    <row r="14" ht="34" customHeight="1" s="311">
      <c r="B14" s="375">
        <f>IF(MONTH(DATE($D$4,$M$4,1)-WEEKDAY(DATE($D$4,$M$4,1),2)+1+0)&lt;&gt;$M$4,"",DATE($D$4,$M$4,1)-WEEKDAY(DATE($D$4,$M$4,1),2)+1+0)</f>
        <v/>
      </c>
      <c r="C14" s="375">
        <f>IF(MONTH(DATE($D$4,$M$4,1)-WEEKDAY(DATE($D$4,$M$4,1),2)+1+1)&lt;&gt;$M$4,"",DATE($D$4,$M$4,1)-WEEKDAY(DATE($D$4,$M$4,1),2)+1+1)</f>
        <v/>
      </c>
      <c r="D14" s="375">
        <f>IF(MONTH(DATE($D$4,$M$4,1)-WEEKDAY(DATE($D$4,$M$4,1),2)+1+2)&lt;&gt;$M$4,"",DATE($D$4,$M$4,1)-WEEKDAY(DATE($D$4,$M$4,1),2)+1+2)</f>
        <v/>
      </c>
      <c r="E14" s="375">
        <f>IF(MONTH(DATE($D$4,$M$4,1)-WEEKDAY(DATE($D$4,$M$4,1),2)+1+3)&lt;&gt;$M$4,"",DATE($D$4,$M$4,1)-WEEKDAY(DATE($D$4,$M$4,1),2)+1+3)</f>
        <v/>
      </c>
      <c r="F14" s="375">
        <f>IF(MONTH(DATE($D$4,$M$4,1)-WEEKDAY(DATE($D$4,$M$4,1),2)+1+4)&lt;&gt;$M$4,"",DATE($D$4,$M$4,1)-WEEKDAY(DATE($D$4,$M$4,1),2)+1+4)</f>
        <v/>
      </c>
      <c r="G14" s="376">
        <f>IF(MONTH(DATE($D$4,$M$4,1)-WEEKDAY(DATE($D$4,$M$4,1),2)+1+5)&lt;&gt;$M$4,"",DATE($D$4,$M$4,1)-WEEKDAY(DATE($D$4,$M$4,1),2)+1+5)</f>
        <v/>
      </c>
      <c r="H14" s="376">
        <f>IF(MONTH(DATE($D$4,$M$4,1)-WEEKDAY(DATE($D$4,$M$4,1),2)+1+6)&lt;&gt;$M$4,"",DATE($D$4,$M$4,1)-WEEKDAY(DATE($D$4,$M$4,1),2)+1+6)</f>
        <v/>
      </c>
    </row>
    <row r="15" ht="34" customHeight="1" s="311">
      <c r="B15" s="375">
        <f>IF(MONTH(DATE($D$4,$M$4,1)-WEEKDAY(DATE($D$4,$M$4,1),2)+1+7)&lt;&gt;$M$4,"",DATE($D$4,$M$4,1)-WEEKDAY(DATE($D$4,$M$4,1),2)+1+7)</f>
        <v/>
      </c>
      <c r="C15" s="375">
        <f>IF(MONTH(DATE($D$4,$M$4,1)-WEEKDAY(DATE($D$4,$M$4,1),2)+1+8)&lt;&gt;$M$4,"",DATE($D$4,$M$4,1)-WEEKDAY(DATE($D$4,$M$4,1),2)+1+8)</f>
        <v/>
      </c>
      <c r="D15" s="375">
        <f>IF(MONTH(DATE($D$4,$M$4,1)-WEEKDAY(DATE($D$4,$M$4,1),2)+1+9)&lt;&gt;$M$4,"",DATE($D$4,$M$4,1)-WEEKDAY(DATE($D$4,$M$4,1),2)+1+9)</f>
        <v/>
      </c>
      <c r="E15" s="375">
        <f>IF(MONTH(DATE($D$4,$M$4,1)-WEEKDAY(DATE($D$4,$M$4,1),2)+1+10)&lt;&gt;$M$4,"",DATE($D$4,$M$4,1)-WEEKDAY(DATE($D$4,$M$4,1),2)+1+10)</f>
        <v/>
      </c>
      <c r="F15" s="375">
        <f>IF(MONTH(DATE($D$4,$M$4,1)-WEEKDAY(DATE($D$4,$M$4,1),2)+1+11)&lt;&gt;$M$4,"",DATE($D$4,$M$4,1)-WEEKDAY(DATE($D$4,$M$4,1),2)+1+11)</f>
        <v/>
      </c>
      <c r="G15" s="376">
        <f>IF(MONTH(DATE($D$4,$M$4,1)-WEEKDAY(DATE($D$4,$M$4,1),2)+1+12)&lt;&gt;$M$4,"",DATE($D$4,$M$4,1)-WEEKDAY(DATE($D$4,$M$4,1),2)+1+12)</f>
        <v/>
      </c>
      <c r="H15" s="376">
        <f>IF(MONTH(DATE($D$4,$M$4,1)-WEEKDAY(DATE($D$4,$M$4,1),2)+1+13)&lt;&gt;$M$4,"",DATE($D$4,$M$4,1)-WEEKDAY(DATE($D$4,$M$4,1),2)+1+13)</f>
        <v/>
      </c>
    </row>
    <row r="16" ht="34" customHeight="1" s="311">
      <c r="B16" s="375">
        <f>IF(MONTH(DATE($D$4,$M$4,1)-WEEKDAY(DATE($D$4,$M$4,1),2)+1+14)&lt;&gt;$M$4,"",DATE($D$4,$M$4,1)-WEEKDAY(DATE($D$4,$M$4,1),2)+1+14)</f>
        <v/>
      </c>
      <c r="C16" s="375">
        <f>IF(MONTH(DATE($D$4,$M$4,1)-WEEKDAY(DATE($D$4,$M$4,1),2)+1+15)&lt;&gt;$M$4,"",DATE($D$4,$M$4,1)-WEEKDAY(DATE($D$4,$M$4,1),2)+1+15)</f>
        <v/>
      </c>
      <c r="D16" s="375">
        <f>IF(MONTH(DATE($D$4,$M$4,1)-WEEKDAY(DATE($D$4,$M$4,1),2)+1+16)&lt;&gt;$M$4,"",DATE($D$4,$M$4,1)-WEEKDAY(DATE($D$4,$M$4,1),2)+1+16)</f>
        <v/>
      </c>
      <c r="E16" s="375">
        <f>IF(MONTH(DATE($D$4,$M$4,1)-WEEKDAY(DATE($D$4,$M$4,1),2)+1+17)&lt;&gt;$M$4,"",DATE($D$4,$M$4,1)-WEEKDAY(DATE($D$4,$M$4,1),2)+1+17)</f>
        <v/>
      </c>
      <c r="F16" s="375">
        <f>IF(MONTH(DATE($D$4,$M$4,1)-WEEKDAY(DATE($D$4,$M$4,1),2)+1+18)&lt;&gt;$M$4,"",DATE($D$4,$M$4,1)-WEEKDAY(DATE($D$4,$M$4,1),2)+1+18)</f>
        <v/>
      </c>
      <c r="G16" s="376">
        <f>IF(MONTH(DATE($D$4,$M$4,1)-WEEKDAY(DATE($D$4,$M$4,1),2)+1+19)&lt;&gt;$M$4,"",DATE($D$4,$M$4,1)-WEEKDAY(DATE($D$4,$M$4,1),2)+1+19)</f>
        <v/>
      </c>
      <c r="H16" s="376">
        <f>IF(MONTH(DATE($D$4,$M$4,1)-WEEKDAY(DATE($D$4,$M$4,1),2)+1+20)&lt;&gt;$M$4,"",DATE($D$4,$M$4,1)-WEEKDAY(DATE($D$4,$M$4,1),2)+1+20)</f>
        <v/>
      </c>
    </row>
    <row r="17" ht="34" customHeight="1" s="311">
      <c r="B17" s="375">
        <f>IF(MONTH(DATE($D$4,$M$4,1)-WEEKDAY(DATE($D$4,$M$4,1),2)+1+21)&lt;&gt;$M$4,"",DATE($D$4,$M$4,1)-WEEKDAY(DATE($D$4,$M$4,1),2)+1+21)</f>
        <v/>
      </c>
      <c r="C17" s="375">
        <f>IF(MONTH(DATE($D$4,$M$4,1)-WEEKDAY(DATE($D$4,$M$4,1),2)+1+22)&lt;&gt;$M$4,"",DATE($D$4,$M$4,1)-WEEKDAY(DATE($D$4,$M$4,1),2)+1+22)</f>
        <v/>
      </c>
      <c r="D17" s="375">
        <f>IF(MONTH(DATE($D$4,$M$4,1)-WEEKDAY(DATE($D$4,$M$4,1),2)+1+23)&lt;&gt;$M$4,"",DATE($D$4,$M$4,1)-WEEKDAY(DATE($D$4,$M$4,1),2)+1+23)</f>
        <v/>
      </c>
      <c r="E17" s="375">
        <f>IF(MONTH(DATE($D$4,$M$4,1)-WEEKDAY(DATE($D$4,$M$4,1),2)+1+24)&lt;&gt;$M$4,"",DATE($D$4,$M$4,1)-WEEKDAY(DATE($D$4,$M$4,1),2)+1+24)</f>
        <v/>
      </c>
      <c r="F17" s="375">
        <f>IF(MONTH(DATE($D$4,$M$4,1)-WEEKDAY(DATE($D$4,$M$4,1),2)+1+25)&lt;&gt;$M$4,"",DATE($D$4,$M$4,1)-WEEKDAY(DATE($D$4,$M$4,1),2)+1+25)</f>
        <v/>
      </c>
      <c r="G17" s="376">
        <f>IF(MONTH(DATE($D$4,$M$4,1)-WEEKDAY(DATE($D$4,$M$4,1),2)+1+26)&lt;&gt;$M$4,"",DATE($D$4,$M$4,1)-WEEKDAY(DATE($D$4,$M$4,1),2)+1+26)</f>
        <v/>
      </c>
      <c r="H17" s="376">
        <f>IF(MONTH(DATE($D$4,$M$4,1)-WEEKDAY(DATE($D$4,$M$4,1),2)+1+27)&lt;&gt;$M$4,"",DATE($D$4,$M$4,1)-WEEKDAY(DATE($D$4,$M$4,1),2)+1+27)</f>
        <v/>
      </c>
    </row>
    <row r="18" ht="34" customHeight="1" s="311">
      <c r="B18" s="375">
        <f>IF(MONTH(DATE($D$4,$M$4,1)-WEEKDAY(DATE($D$4,$M$4,1),2)+1+28)&lt;&gt;$M$4,"",DATE($D$4,$M$4,1)-WEEKDAY(DATE($D$4,$M$4,1),2)+1+28)</f>
        <v/>
      </c>
      <c r="C18" s="375">
        <f>IF(MONTH(DATE($D$4,$M$4,1)-WEEKDAY(DATE($D$4,$M$4,1),2)+1+29)&lt;&gt;$M$4,"",DATE($D$4,$M$4,1)-WEEKDAY(DATE($D$4,$M$4,1),2)+1+29)</f>
        <v/>
      </c>
      <c r="D18" s="375">
        <f>IF(MONTH(DATE($D$4,$M$4,1)-WEEKDAY(DATE($D$4,$M$4,1),2)+1+30)&lt;&gt;$M$4,"",DATE($D$4,$M$4,1)-WEEKDAY(DATE($D$4,$M$4,1),2)+1+30)</f>
        <v/>
      </c>
      <c r="E18" s="375">
        <f>IF(MONTH(DATE($D$4,$M$4,1)-WEEKDAY(DATE($D$4,$M$4,1),2)+1+31)&lt;&gt;$M$4,"",DATE($D$4,$M$4,1)-WEEKDAY(DATE($D$4,$M$4,1),2)+1+31)</f>
        <v/>
      </c>
      <c r="F18" s="375">
        <f>IF(MONTH(DATE($D$4,$M$4,1)-WEEKDAY(DATE($D$4,$M$4,1),2)+1+32)&lt;&gt;$M$4,"",DATE($D$4,$M$4,1)-WEEKDAY(DATE($D$4,$M$4,1),2)+1+32)</f>
        <v/>
      </c>
      <c r="G18" s="376">
        <f>IF(MONTH(DATE($D$4,$M$4,1)-WEEKDAY(DATE($D$4,$M$4,1),2)+1+33)&lt;&gt;$M$4,"",DATE($D$4,$M$4,1)-WEEKDAY(DATE($D$4,$M$4,1),2)+1+33)</f>
        <v/>
      </c>
      <c r="H18" s="376">
        <f>IF(MONTH(DATE($D$4,$M$4,1)-WEEKDAY(DATE($D$4,$M$4,1),2)+1+34)&lt;&gt;$M$4,"",DATE($D$4,$M$4,1)-WEEKDAY(DATE($D$4,$M$4,1),2)+1+34)</f>
        <v/>
      </c>
    </row>
    <row r="19" ht="34" customHeight="1" s="311">
      <c r="B19" s="375">
        <f>IF(MONTH(DATE($D$4,$M$4,1)-WEEKDAY(DATE($D$4,$M$4,1),2)+1+35)&lt;&gt;$M$4,"",DATE($D$4,$M$4,1)-WEEKDAY(DATE($D$4,$M$4,1),2)+1+35)</f>
        <v/>
      </c>
      <c r="C19" s="375">
        <f>IF(MONTH(DATE($D$4,$M$4,1)-WEEKDAY(DATE($D$4,$M$4,1),2)+1+36)&lt;&gt;$M$4,"",DATE($D$4,$M$4,1)-WEEKDAY(DATE($D$4,$M$4,1),2)+1+36)</f>
        <v/>
      </c>
      <c r="D19" s="375">
        <f>IF(MONTH(DATE($D$4,$M$4,1)-WEEKDAY(DATE($D$4,$M$4,1),2)+1+37)&lt;&gt;$M$4,"",DATE($D$4,$M$4,1)-WEEKDAY(DATE($D$4,$M$4,1),2)+1+37)</f>
        <v/>
      </c>
      <c r="E19" s="375">
        <f>IF(MONTH(DATE($D$4,$M$4,1)-WEEKDAY(DATE($D$4,$M$4,1),2)+1+38)&lt;&gt;$M$4,"",DATE($D$4,$M$4,1)-WEEKDAY(DATE($D$4,$M$4,1),2)+1+38)</f>
        <v/>
      </c>
      <c r="F19" s="375">
        <f>IF(MONTH(DATE($D$4,$M$4,1)-WEEKDAY(DATE($D$4,$M$4,1),2)+1+39)&lt;&gt;$M$4,"",DATE($D$4,$M$4,1)-WEEKDAY(DATE($D$4,$M$4,1),2)+1+39)</f>
        <v/>
      </c>
      <c r="G19" s="376">
        <f>IF(MONTH(DATE($D$4,$M$4,1)-WEEKDAY(DATE($D$4,$M$4,1),2)+1+40)&lt;&gt;$M$4,"",DATE($D$4,$M$4,1)-WEEKDAY(DATE($D$4,$M$4,1),2)+1+40)</f>
        <v/>
      </c>
      <c r="H19" s="376">
        <f>IF(MONTH(DATE($D$4,$M$4,1)-WEEKDAY(DATE($D$4,$M$4,1),2)+1+41)&lt;&gt;$M$4,"",DATE($D$4,$M$4,1)-WEEKDAY(DATE($D$4,$M$4,1),2)+1+41)</f>
        <v/>
      </c>
    </row>
    <row r="20" ht="10" customHeight="1" s="311"/>
    <row r="21" ht="21.75" customHeight="1" s="311">
      <c r="B21" s="377" t="inlineStr">
        <is>
          <t>LOS 12 MESES DEL AÑO — de un vistazo</t>
        </is>
      </c>
      <c r="C21" s="378" t="n"/>
      <c r="D21" s="378" t="n"/>
      <c r="E21" s="378" t="n"/>
      <c r="F21" s="378" t="n"/>
      <c r="G21" s="378" t="n"/>
      <c r="H21" s="378" t="n"/>
      <c r="I21" s="378" t="n"/>
      <c r="J21" s="378" t="n"/>
      <c r="K21" s="378" t="n"/>
      <c r="L21" s="378" t="n"/>
      <c r="M21" s="378" t="n"/>
      <c r="N21" s="378" t="n"/>
      <c r="O21" s="378" t="n"/>
      <c r="P21" s="378" t="n"/>
      <c r="Q21" s="378" t="n"/>
      <c r="R21" s="378" t="n"/>
      <c r="S21" s="378" t="n"/>
      <c r="T21" s="378" t="n"/>
      <c r="U21" s="378" t="n"/>
      <c r="V21" s="378" t="n"/>
      <c r="W21" s="378" t="n"/>
      <c r="X21" s="378" t="n"/>
    </row>
    <row r="22" ht="8" customHeight="1" s="311"/>
    <row r="23" ht="19" customHeight="1" s="311">
      <c r="B23" s="379">
        <f>"ENERO  "&amp;$D$4</f>
        <v/>
      </c>
      <c r="C23" s="372" t="n"/>
      <c r="D23" s="372" t="n"/>
      <c r="E23" s="372" t="n"/>
      <c r="F23" s="372" t="n"/>
      <c r="G23" s="380">
        <f>IF(COUNTIFS($B$62:$B$211,"&gt;="&amp;DATE($D$4,1,1),$B$62:$B$211,"&lt;="&amp;EOMONTH(DATE($D$4,1,1),0),$V$62:$V$211,"&lt;&gt;4 · Cancelada")=1,"1 cita",COUNTIFS($B$62:$B$211,"&gt;="&amp;DATE($D$4,1,1),$B$62:$B$211,"&lt;="&amp;EOMONTH(DATE($D$4,1,1),0),$V$62:$V$211,"&lt;&gt;4 · Cancelada")&amp;" citas")</f>
        <v/>
      </c>
      <c r="H23" s="372" t="n"/>
      <c r="J23" s="379">
        <f>"FEBRERO  "&amp;$D$4</f>
        <v/>
      </c>
      <c r="K23" s="372" t="n"/>
      <c r="L23" s="372" t="n"/>
      <c r="M23" s="372" t="n"/>
      <c r="N23" s="372" t="n"/>
      <c r="O23" s="380">
        <f>IF(COUNTIFS($B$62:$B$211,"&gt;="&amp;DATE($D$4,2,1),$B$62:$B$211,"&lt;="&amp;EOMONTH(DATE($D$4,2,1),0),$V$62:$V$211,"&lt;&gt;4 · Cancelada")=1,"1 cita",COUNTIFS($B$62:$B$211,"&gt;="&amp;DATE($D$4,2,1),$B$62:$B$211,"&lt;="&amp;EOMONTH(DATE($D$4,2,1),0),$V$62:$V$211,"&lt;&gt;4 · Cancelada")&amp;" citas")</f>
        <v/>
      </c>
      <c r="P23" s="372" t="n"/>
      <c r="R23" s="379">
        <f>"MARZO  "&amp;$D$4</f>
        <v/>
      </c>
      <c r="S23" s="372" t="n"/>
      <c r="T23" s="372" t="n"/>
      <c r="U23" s="372" t="n"/>
      <c r="V23" s="372" t="n"/>
      <c r="W23" s="380">
        <f>IF(COUNTIFS($B$62:$B$211,"&gt;="&amp;DATE($D$4,3,1),$B$62:$B$211,"&lt;="&amp;EOMONTH(DATE($D$4,3,1),0),$V$62:$V$211,"&lt;&gt;4 · Cancelada")=1,"1 cita",COUNTIFS($B$62:$B$211,"&gt;="&amp;DATE($D$4,3,1),$B$62:$B$211,"&lt;="&amp;EOMONTH(DATE($D$4,3,1),0),$V$62:$V$211,"&lt;&gt;4 · Cancelada")&amp;" citas")</f>
        <v/>
      </c>
      <c r="X23" s="372" t="n"/>
    </row>
    <row r="24" ht="15" customHeight="1" s="311">
      <c r="B24" s="358" t="inlineStr">
        <is>
          <t>L</t>
        </is>
      </c>
      <c r="C24" s="358" t="inlineStr">
        <is>
          <t>M</t>
        </is>
      </c>
      <c r="D24" s="358" t="inlineStr">
        <is>
          <t>X</t>
        </is>
      </c>
      <c r="E24" s="358" t="inlineStr">
        <is>
          <t>J</t>
        </is>
      </c>
      <c r="F24" s="358" t="inlineStr">
        <is>
          <t>V</t>
        </is>
      </c>
      <c r="G24" s="358" t="inlineStr">
        <is>
          <t>S</t>
        </is>
      </c>
      <c r="H24" s="358" t="inlineStr">
        <is>
          <t>D</t>
        </is>
      </c>
      <c r="J24" s="358" t="inlineStr">
        <is>
          <t>L</t>
        </is>
      </c>
      <c r="K24" s="358" t="inlineStr">
        <is>
          <t>M</t>
        </is>
      </c>
      <c r="L24" s="358" t="inlineStr">
        <is>
          <t>X</t>
        </is>
      </c>
      <c r="M24" s="358" t="inlineStr">
        <is>
          <t>J</t>
        </is>
      </c>
      <c r="N24" s="358" t="inlineStr">
        <is>
          <t>V</t>
        </is>
      </c>
      <c r="O24" s="358" t="inlineStr">
        <is>
          <t>S</t>
        </is>
      </c>
      <c r="P24" s="358" t="inlineStr">
        <is>
          <t>D</t>
        </is>
      </c>
      <c r="R24" s="358" t="inlineStr">
        <is>
          <t>L</t>
        </is>
      </c>
      <c r="S24" s="358" t="inlineStr">
        <is>
          <t>M</t>
        </is>
      </c>
      <c r="T24" s="358" t="inlineStr">
        <is>
          <t>X</t>
        </is>
      </c>
      <c r="U24" s="358" t="inlineStr">
        <is>
          <t>J</t>
        </is>
      </c>
      <c r="V24" s="358" t="inlineStr">
        <is>
          <t>V</t>
        </is>
      </c>
      <c r="W24" s="358" t="inlineStr">
        <is>
          <t>S</t>
        </is>
      </c>
      <c r="X24" s="358" t="inlineStr">
        <is>
          <t>D</t>
        </is>
      </c>
    </row>
    <row r="25" ht="18" customHeight="1" s="311">
      <c r="B25" s="381">
        <f>IF(MONTH(DATE($D$4,1,1)-WEEKDAY(DATE($D$4,1,1),2)+1+0)&lt;&gt;1,"",DATE($D$4,1,1)-WEEKDAY(DATE($D$4,1,1),2)+1+0)</f>
        <v/>
      </c>
      <c r="C25" s="381">
        <f>IF(MONTH(DATE($D$4,1,1)-WEEKDAY(DATE($D$4,1,1),2)+1+1)&lt;&gt;1,"",DATE($D$4,1,1)-WEEKDAY(DATE($D$4,1,1),2)+1+1)</f>
        <v/>
      </c>
      <c r="D25" s="381">
        <f>IF(MONTH(DATE($D$4,1,1)-WEEKDAY(DATE($D$4,1,1),2)+1+2)&lt;&gt;1,"",DATE($D$4,1,1)-WEEKDAY(DATE($D$4,1,1),2)+1+2)</f>
        <v/>
      </c>
      <c r="E25" s="381">
        <f>IF(MONTH(DATE($D$4,1,1)-WEEKDAY(DATE($D$4,1,1),2)+1+3)&lt;&gt;1,"",DATE($D$4,1,1)-WEEKDAY(DATE($D$4,1,1),2)+1+3)</f>
        <v/>
      </c>
      <c r="F25" s="381">
        <f>IF(MONTH(DATE($D$4,1,1)-WEEKDAY(DATE($D$4,1,1),2)+1+4)&lt;&gt;1,"",DATE($D$4,1,1)-WEEKDAY(DATE($D$4,1,1),2)+1+4)</f>
        <v/>
      </c>
      <c r="G25" s="382">
        <f>IF(MONTH(DATE($D$4,1,1)-WEEKDAY(DATE($D$4,1,1),2)+1+5)&lt;&gt;1,"",DATE($D$4,1,1)-WEEKDAY(DATE($D$4,1,1),2)+1+5)</f>
        <v/>
      </c>
      <c r="H25" s="382">
        <f>IF(MONTH(DATE($D$4,1,1)-WEEKDAY(DATE($D$4,1,1),2)+1+6)&lt;&gt;1,"",DATE($D$4,1,1)-WEEKDAY(DATE($D$4,1,1),2)+1+6)</f>
        <v/>
      </c>
      <c r="J25" s="381">
        <f>IF(MONTH(DATE($D$4,2,1)-WEEKDAY(DATE($D$4,2,1),2)+1+0)&lt;&gt;2,"",DATE($D$4,2,1)-WEEKDAY(DATE($D$4,2,1),2)+1+0)</f>
        <v/>
      </c>
      <c r="K25" s="381">
        <f>IF(MONTH(DATE($D$4,2,1)-WEEKDAY(DATE($D$4,2,1),2)+1+1)&lt;&gt;2,"",DATE($D$4,2,1)-WEEKDAY(DATE($D$4,2,1),2)+1+1)</f>
        <v/>
      </c>
      <c r="L25" s="381">
        <f>IF(MONTH(DATE($D$4,2,1)-WEEKDAY(DATE($D$4,2,1),2)+1+2)&lt;&gt;2,"",DATE($D$4,2,1)-WEEKDAY(DATE($D$4,2,1),2)+1+2)</f>
        <v/>
      </c>
      <c r="M25" s="381">
        <f>IF(MONTH(DATE($D$4,2,1)-WEEKDAY(DATE($D$4,2,1),2)+1+3)&lt;&gt;2,"",DATE($D$4,2,1)-WEEKDAY(DATE($D$4,2,1),2)+1+3)</f>
        <v/>
      </c>
      <c r="N25" s="381">
        <f>IF(MONTH(DATE($D$4,2,1)-WEEKDAY(DATE($D$4,2,1),2)+1+4)&lt;&gt;2,"",DATE($D$4,2,1)-WEEKDAY(DATE($D$4,2,1),2)+1+4)</f>
        <v/>
      </c>
      <c r="O25" s="382">
        <f>IF(MONTH(DATE($D$4,2,1)-WEEKDAY(DATE($D$4,2,1),2)+1+5)&lt;&gt;2,"",DATE($D$4,2,1)-WEEKDAY(DATE($D$4,2,1),2)+1+5)</f>
        <v/>
      </c>
      <c r="P25" s="382">
        <f>IF(MONTH(DATE($D$4,2,1)-WEEKDAY(DATE($D$4,2,1),2)+1+6)&lt;&gt;2,"",DATE($D$4,2,1)-WEEKDAY(DATE($D$4,2,1),2)+1+6)</f>
        <v/>
      </c>
      <c r="R25" s="381">
        <f>IF(MONTH(DATE($D$4,3,1)-WEEKDAY(DATE($D$4,3,1),2)+1+0)&lt;&gt;3,"",DATE($D$4,3,1)-WEEKDAY(DATE($D$4,3,1),2)+1+0)</f>
        <v/>
      </c>
      <c r="S25" s="381">
        <f>IF(MONTH(DATE($D$4,3,1)-WEEKDAY(DATE($D$4,3,1),2)+1+1)&lt;&gt;3,"",DATE($D$4,3,1)-WEEKDAY(DATE($D$4,3,1),2)+1+1)</f>
        <v/>
      </c>
      <c r="T25" s="381">
        <f>IF(MONTH(DATE($D$4,3,1)-WEEKDAY(DATE($D$4,3,1),2)+1+2)&lt;&gt;3,"",DATE($D$4,3,1)-WEEKDAY(DATE($D$4,3,1),2)+1+2)</f>
        <v/>
      </c>
      <c r="U25" s="381">
        <f>IF(MONTH(DATE($D$4,3,1)-WEEKDAY(DATE($D$4,3,1),2)+1+3)&lt;&gt;3,"",DATE($D$4,3,1)-WEEKDAY(DATE($D$4,3,1),2)+1+3)</f>
        <v/>
      </c>
      <c r="V25" s="381">
        <f>IF(MONTH(DATE($D$4,3,1)-WEEKDAY(DATE($D$4,3,1),2)+1+4)&lt;&gt;3,"",DATE($D$4,3,1)-WEEKDAY(DATE($D$4,3,1),2)+1+4)</f>
        <v/>
      </c>
      <c r="W25" s="382">
        <f>IF(MONTH(DATE($D$4,3,1)-WEEKDAY(DATE($D$4,3,1),2)+1+5)&lt;&gt;3,"",DATE($D$4,3,1)-WEEKDAY(DATE($D$4,3,1),2)+1+5)</f>
        <v/>
      </c>
      <c r="X25" s="382">
        <f>IF(MONTH(DATE($D$4,3,1)-WEEKDAY(DATE($D$4,3,1),2)+1+6)&lt;&gt;3,"",DATE($D$4,3,1)-WEEKDAY(DATE($D$4,3,1),2)+1+6)</f>
        <v/>
      </c>
    </row>
    <row r="26" ht="18" customHeight="1" s="311">
      <c r="B26" s="381">
        <f>IF(MONTH(DATE($D$4,1,1)-WEEKDAY(DATE($D$4,1,1),2)+1+7)&lt;&gt;1,"",DATE($D$4,1,1)-WEEKDAY(DATE($D$4,1,1),2)+1+7)</f>
        <v/>
      </c>
      <c r="C26" s="381">
        <f>IF(MONTH(DATE($D$4,1,1)-WEEKDAY(DATE($D$4,1,1),2)+1+8)&lt;&gt;1,"",DATE($D$4,1,1)-WEEKDAY(DATE($D$4,1,1),2)+1+8)</f>
        <v/>
      </c>
      <c r="D26" s="381">
        <f>IF(MONTH(DATE($D$4,1,1)-WEEKDAY(DATE($D$4,1,1),2)+1+9)&lt;&gt;1,"",DATE($D$4,1,1)-WEEKDAY(DATE($D$4,1,1),2)+1+9)</f>
        <v/>
      </c>
      <c r="E26" s="381">
        <f>IF(MONTH(DATE($D$4,1,1)-WEEKDAY(DATE($D$4,1,1),2)+1+10)&lt;&gt;1,"",DATE($D$4,1,1)-WEEKDAY(DATE($D$4,1,1),2)+1+10)</f>
        <v/>
      </c>
      <c r="F26" s="381">
        <f>IF(MONTH(DATE($D$4,1,1)-WEEKDAY(DATE($D$4,1,1),2)+1+11)&lt;&gt;1,"",DATE($D$4,1,1)-WEEKDAY(DATE($D$4,1,1),2)+1+11)</f>
        <v/>
      </c>
      <c r="G26" s="382">
        <f>IF(MONTH(DATE($D$4,1,1)-WEEKDAY(DATE($D$4,1,1),2)+1+12)&lt;&gt;1,"",DATE($D$4,1,1)-WEEKDAY(DATE($D$4,1,1),2)+1+12)</f>
        <v/>
      </c>
      <c r="H26" s="382">
        <f>IF(MONTH(DATE($D$4,1,1)-WEEKDAY(DATE($D$4,1,1),2)+1+13)&lt;&gt;1,"",DATE($D$4,1,1)-WEEKDAY(DATE($D$4,1,1),2)+1+13)</f>
        <v/>
      </c>
      <c r="J26" s="381">
        <f>IF(MONTH(DATE($D$4,2,1)-WEEKDAY(DATE($D$4,2,1),2)+1+7)&lt;&gt;2,"",DATE($D$4,2,1)-WEEKDAY(DATE($D$4,2,1),2)+1+7)</f>
        <v/>
      </c>
      <c r="K26" s="381">
        <f>IF(MONTH(DATE($D$4,2,1)-WEEKDAY(DATE($D$4,2,1),2)+1+8)&lt;&gt;2,"",DATE($D$4,2,1)-WEEKDAY(DATE($D$4,2,1),2)+1+8)</f>
        <v/>
      </c>
      <c r="L26" s="381">
        <f>IF(MONTH(DATE($D$4,2,1)-WEEKDAY(DATE($D$4,2,1),2)+1+9)&lt;&gt;2,"",DATE($D$4,2,1)-WEEKDAY(DATE($D$4,2,1),2)+1+9)</f>
        <v/>
      </c>
      <c r="M26" s="381">
        <f>IF(MONTH(DATE($D$4,2,1)-WEEKDAY(DATE($D$4,2,1),2)+1+10)&lt;&gt;2,"",DATE($D$4,2,1)-WEEKDAY(DATE($D$4,2,1),2)+1+10)</f>
        <v/>
      </c>
      <c r="N26" s="381">
        <f>IF(MONTH(DATE($D$4,2,1)-WEEKDAY(DATE($D$4,2,1),2)+1+11)&lt;&gt;2,"",DATE($D$4,2,1)-WEEKDAY(DATE($D$4,2,1),2)+1+11)</f>
        <v/>
      </c>
      <c r="O26" s="382">
        <f>IF(MONTH(DATE($D$4,2,1)-WEEKDAY(DATE($D$4,2,1),2)+1+12)&lt;&gt;2,"",DATE($D$4,2,1)-WEEKDAY(DATE($D$4,2,1),2)+1+12)</f>
        <v/>
      </c>
      <c r="P26" s="382">
        <f>IF(MONTH(DATE($D$4,2,1)-WEEKDAY(DATE($D$4,2,1),2)+1+13)&lt;&gt;2,"",DATE($D$4,2,1)-WEEKDAY(DATE($D$4,2,1),2)+1+13)</f>
        <v/>
      </c>
      <c r="R26" s="381">
        <f>IF(MONTH(DATE($D$4,3,1)-WEEKDAY(DATE($D$4,3,1),2)+1+7)&lt;&gt;3,"",DATE($D$4,3,1)-WEEKDAY(DATE($D$4,3,1),2)+1+7)</f>
        <v/>
      </c>
      <c r="S26" s="381">
        <f>IF(MONTH(DATE($D$4,3,1)-WEEKDAY(DATE($D$4,3,1),2)+1+8)&lt;&gt;3,"",DATE($D$4,3,1)-WEEKDAY(DATE($D$4,3,1),2)+1+8)</f>
        <v/>
      </c>
      <c r="T26" s="381">
        <f>IF(MONTH(DATE($D$4,3,1)-WEEKDAY(DATE($D$4,3,1),2)+1+9)&lt;&gt;3,"",DATE($D$4,3,1)-WEEKDAY(DATE($D$4,3,1),2)+1+9)</f>
        <v/>
      </c>
      <c r="U26" s="381">
        <f>IF(MONTH(DATE($D$4,3,1)-WEEKDAY(DATE($D$4,3,1),2)+1+10)&lt;&gt;3,"",DATE($D$4,3,1)-WEEKDAY(DATE($D$4,3,1),2)+1+10)</f>
        <v/>
      </c>
      <c r="V26" s="381">
        <f>IF(MONTH(DATE($D$4,3,1)-WEEKDAY(DATE($D$4,3,1),2)+1+11)&lt;&gt;3,"",DATE($D$4,3,1)-WEEKDAY(DATE($D$4,3,1),2)+1+11)</f>
        <v/>
      </c>
      <c r="W26" s="382">
        <f>IF(MONTH(DATE($D$4,3,1)-WEEKDAY(DATE($D$4,3,1),2)+1+12)&lt;&gt;3,"",DATE($D$4,3,1)-WEEKDAY(DATE($D$4,3,1),2)+1+12)</f>
        <v/>
      </c>
      <c r="X26" s="382">
        <f>IF(MONTH(DATE($D$4,3,1)-WEEKDAY(DATE($D$4,3,1),2)+1+13)&lt;&gt;3,"",DATE($D$4,3,1)-WEEKDAY(DATE($D$4,3,1),2)+1+13)</f>
        <v/>
      </c>
    </row>
    <row r="27" ht="18" customHeight="1" s="311">
      <c r="B27" s="381">
        <f>IF(MONTH(DATE($D$4,1,1)-WEEKDAY(DATE($D$4,1,1),2)+1+14)&lt;&gt;1,"",DATE($D$4,1,1)-WEEKDAY(DATE($D$4,1,1),2)+1+14)</f>
        <v/>
      </c>
      <c r="C27" s="381">
        <f>IF(MONTH(DATE($D$4,1,1)-WEEKDAY(DATE($D$4,1,1),2)+1+15)&lt;&gt;1,"",DATE($D$4,1,1)-WEEKDAY(DATE($D$4,1,1),2)+1+15)</f>
        <v/>
      </c>
      <c r="D27" s="381">
        <f>IF(MONTH(DATE($D$4,1,1)-WEEKDAY(DATE($D$4,1,1),2)+1+16)&lt;&gt;1,"",DATE($D$4,1,1)-WEEKDAY(DATE($D$4,1,1),2)+1+16)</f>
        <v/>
      </c>
      <c r="E27" s="381">
        <f>IF(MONTH(DATE($D$4,1,1)-WEEKDAY(DATE($D$4,1,1),2)+1+17)&lt;&gt;1,"",DATE($D$4,1,1)-WEEKDAY(DATE($D$4,1,1),2)+1+17)</f>
        <v/>
      </c>
      <c r="F27" s="381">
        <f>IF(MONTH(DATE($D$4,1,1)-WEEKDAY(DATE($D$4,1,1),2)+1+18)&lt;&gt;1,"",DATE($D$4,1,1)-WEEKDAY(DATE($D$4,1,1),2)+1+18)</f>
        <v/>
      </c>
      <c r="G27" s="382">
        <f>IF(MONTH(DATE($D$4,1,1)-WEEKDAY(DATE($D$4,1,1),2)+1+19)&lt;&gt;1,"",DATE($D$4,1,1)-WEEKDAY(DATE($D$4,1,1),2)+1+19)</f>
        <v/>
      </c>
      <c r="H27" s="382">
        <f>IF(MONTH(DATE($D$4,1,1)-WEEKDAY(DATE($D$4,1,1),2)+1+20)&lt;&gt;1,"",DATE($D$4,1,1)-WEEKDAY(DATE($D$4,1,1),2)+1+20)</f>
        <v/>
      </c>
      <c r="J27" s="381">
        <f>IF(MONTH(DATE($D$4,2,1)-WEEKDAY(DATE($D$4,2,1),2)+1+14)&lt;&gt;2,"",DATE($D$4,2,1)-WEEKDAY(DATE($D$4,2,1),2)+1+14)</f>
        <v/>
      </c>
      <c r="K27" s="381">
        <f>IF(MONTH(DATE($D$4,2,1)-WEEKDAY(DATE($D$4,2,1),2)+1+15)&lt;&gt;2,"",DATE($D$4,2,1)-WEEKDAY(DATE($D$4,2,1),2)+1+15)</f>
        <v/>
      </c>
      <c r="L27" s="381">
        <f>IF(MONTH(DATE($D$4,2,1)-WEEKDAY(DATE($D$4,2,1),2)+1+16)&lt;&gt;2,"",DATE($D$4,2,1)-WEEKDAY(DATE($D$4,2,1),2)+1+16)</f>
        <v/>
      </c>
      <c r="M27" s="381">
        <f>IF(MONTH(DATE($D$4,2,1)-WEEKDAY(DATE($D$4,2,1),2)+1+17)&lt;&gt;2,"",DATE($D$4,2,1)-WEEKDAY(DATE($D$4,2,1),2)+1+17)</f>
        <v/>
      </c>
      <c r="N27" s="381">
        <f>IF(MONTH(DATE($D$4,2,1)-WEEKDAY(DATE($D$4,2,1),2)+1+18)&lt;&gt;2,"",DATE($D$4,2,1)-WEEKDAY(DATE($D$4,2,1),2)+1+18)</f>
        <v/>
      </c>
      <c r="O27" s="382">
        <f>IF(MONTH(DATE($D$4,2,1)-WEEKDAY(DATE($D$4,2,1),2)+1+19)&lt;&gt;2,"",DATE($D$4,2,1)-WEEKDAY(DATE($D$4,2,1),2)+1+19)</f>
        <v/>
      </c>
      <c r="P27" s="382">
        <f>IF(MONTH(DATE($D$4,2,1)-WEEKDAY(DATE($D$4,2,1),2)+1+20)&lt;&gt;2,"",DATE($D$4,2,1)-WEEKDAY(DATE($D$4,2,1),2)+1+20)</f>
        <v/>
      </c>
      <c r="R27" s="381">
        <f>IF(MONTH(DATE($D$4,3,1)-WEEKDAY(DATE($D$4,3,1),2)+1+14)&lt;&gt;3,"",DATE($D$4,3,1)-WEEKDAY(DATE($D$4,3,1),2)+1+14)</f>
        <v/>
      </c>
      <c r="S27" s="381">
        <f>IF(MONTH(DATE($D$4,3,1)-WEEKDAY(DATE($D$4,3,1),2)+1+15)&lt;&gt;3,"",DATE($D$4,3,1)-WEEKDAY(DATE($D$4,3,1),2)+1+15)</f>
        <v/>
      </c>
      <c r="T27" s="381">
        <f>IF(MONTH(DATE($D$4,3,1)-WEEKDAY(DATE($D$4,3,1),2)+1+16)&lt;&gt;3,"",DATE($D$4,3,1)-WEEKDAY(DATE($D$4,3,1),2)+1+16)</f>
        <v/>
      </c>
      <c r="U27" s="381">
        <f>IF(MONTH(DATE($D$4,3,1)-WEEKDAY(DATE($D$4,3,1),2)+1+17)&lt;&gt;3,"",DATE($D$4,3,1)-WEEKDAY(DATE($D$4,3,1),2)+1+17)</f>
        <v/>
      </c>
      <c r="V27" s="381">
        <f>IF(MONTH(DATE($D$4,3,1)-WEEKDAY(DATE($D$4,3,1),2)+1+18)&lt;&gt;3,"",DATE($D$4,3,1)-WEEKDAY(DATE($D$4,3,1),2)+1+18)</f>
        <v/>
      </c>
      <c r="W27" s="382">
        <f>IF(MONTH(DATE($D$4,3,1)-WEEKDAY(DATE($D$4,3,1),2)+1+19)&lt;&gt;3,"",DATE($D$4,3,1)-WEEKDAY(DATE($D$4,3,1),2)+1+19)</f>
        <v/>
      </c>
      <c r="X27" s="382">
        <f>IF(MONTH(DATE($D$4,3,1)-WEEKDAY(DATE($D$4,3,1),2)+1+20)&lt;&gt;3,"",DATE($D$4,3,1)-WEEKDAY(DATE($D$4,3,1),2)+1+20)</f>
        <v/>
      </c>
    </row>
    <row r="28" ht="18" customHeight="1" s="311">
      <c r="B28" s="381">
        <f>IF(MONTH(DATE($D$4,1,1)-WEEKDAY(DATE($D$4,1,1),2)+1+21)&lt;&gt;1,"",DATE($D$4,1,1)-WEEKDAY(DATE($D$4,1,1),2)+1+21)</f>
        <v/>
      </c>
      <c r="C28" s="381">
        <f>IF(MONTH(DATE($D$4,1,1)-WEEKDAY(DATE($D$4,1,1),2)+1+22)&lt;&gt;1,"",DATE($D$4,1,1)-WEEKDAY(DATE($D$4,1,1),2)+1+22)</f>
        <v/>
      </c>
      <c r="D28" s="381">
        <f>IF(MONTH(DATE($D$4,1,1)-WEEKDAY(DATE($D$4,1,1),2)+1+23)&lt;&gt;1,"",DATE($D$4,1,1)-WEEKDAY(DATE($D$4,1,1),2)+1+23)</f>
        <v/>
      </c>
      <c r="E28" s="381">
        <f>IF(MONTH(DATE($D$4,1,1)-WEEKDAY(DATE($D$4,1,1),2)+1+24)&lt;&gt;1,"",DATE($D$4,1,1)-WEEKDAY(DATE($D$4,1,1),2)+1+24)</f>
        <v/>
      </c>
      <c r="F28" s="381">
        <f>IF(MONTH(DATE($D$4,1,1)-WEEKDAY(DATE($D$4,1,1),2)+1+25)&lt;&gt;1,"",DATE($D$4,1,1)-WEEKDAY(DATE($D$4,1,1),2)+1+25)</f>
        <v/>
      </c>
      <c r="G28" s="382">
        <f>IF(MONTH(DATE($D$4,1,1)-WEEKDAY(DATE($D$4,1,1),2)+1+26)&lt;&gt;1,"",DATE($D$4,1,1)-WEEKDAY(DATE($D$4,1,1),2)+1+26)</f>
        <v/>
      </c>
      <c r="H28" s="382">
        <f>IF(MONTH(DATE($D$4,1,1)-WEEKDAY(DATE($D$4,1,1),2)+1+27)&lt;&gt;1,"",DATE($D$4,1,1)-WEEKDAY(DATE($D$4,1,1),2)+1+27)</f>
        <v/>
      </c>
      <c r="J28" s="381">
        <f>IF(MONTH(DATE($D$4,2,1)-WEEKDAY(DATE($D$4,2,1),2)+1+21)&lt;&gt;2,"",DATE($D$4,2,1)-WEEKDAY(DATE($D$4,2,1),2)+1+21)</f>
        <v/>
      </c>
      <c r="K28" s="381">
        <f>IF(MONTH(DATE($D$4,2,1)-WEEKDAY(DATE($D$4,2,1),2)+1+22)&lt;&gt;2,"",DATE($D$4,2,1)-WEEKDAY(DATE($D$4,2,1),2)+1+22)</f>
        <v/>
      </c>
      <c r="L28" s="381">
        <f>IF(MONTH(DATE($D$4,2,1)-WEEKDAY(DATE($D$4,2,1),2)+1+23)&lt;&gt;2,"",DATE($D$4,2,1)-WEEKDAY(DATE($D$4,2,1),2)+1+23)</f>
        <v/>
      </c>
      <c r="M28" s="381">
        <f>IF(MONTH(DATE($D$4,2,1)-WEEKDAY(DATE($D$4,2,1),2)+1+24)&lt;&gt;2,"",DATE($D$4,2,1)-WEEKDAY(DATE($D$4,2,1),2)+1+24)</f>
        <v/>
      </c>
      <c r="N28" s="381">
        <f>IF(MONTH(DATE($D$4,2,1)-WEEKDAY(DATE($D$4,2,1),2)+1+25)&lt;&gt;2,"",DATE($D$4,2,1)-WEEKDAY(DATE($D$4,2,1),2)+1+25)</f>
        <v/>
      </c>
      <c r="O28" s="382">
        <f>IF(MONTH(DATE($D$4,2,1)-WEEKDAY(DATE($D$4,2,1),2)+1+26)&lt;&gt;2,"",DATE($D$4,2,1)-WEEKDAY(DATE($D$4,2,1),2)+1+26)</f>
        <v/>
      </c>
      <c r="P28" s="382">
        <f>IF(MONTH(DATE($D$4,2,1)-WEEKDAY(DATE($D$4,2,1),2)+1+27)&lt;&gt;2,"",DATE($D$4,2,1)-WEEKDAY(DATE($D$4,2,1),2)+1+27)</f>
        <v/>
      </c>
      <c r="R28" s="381">
        <f>IF(MONTH(DATE($D$4,3,1)-WEEKDAY(DATE($D$4,3,1),2)+1+21)&lt;&gt;3,"",DATE($D$4,3,1)-WEEKDAY(DATE($D$4,3,1),2)+1+21)</f>
        <v/>
      </c>
      <c r="S28" s="381">
        <f>IF(MONTH(DATE($D$4,3,1)-WEEKDAY(DATE($D$4,3,1),2)+1+22)&lt;&gt;3,"",DATE($D$4,3,1)-WEEKDAY(DATE($D$4,3,1),2)+1+22)</f>
        <v/>
      </c>
      <c r="T28" s="381">
        <f>IF(MONTH(DATE($D$4,3,1)-WEEKDAY(DATE($D$4,3,1),2)+1+23)&lt;&gt;3,"",DATE($D$4,3,1)-WEEKDAY(DATE($D$4,3,1),2)+1+23)</f>
        <v/>
      </c>
      <c r="U28" s="381">
        <f>IF(MONTH(DATE($D$4,3,1)-WEEKDAY(DATE($D$4,3,1),2)+1+24)&lt;&gt;3,"",DATE($D$4,3,1)-WEEKDAY(DATE($D$4,3,1),2)+1+24)</f>
        <v/>
      </c>
      <c r="V28" s="381">
        <f>IF(MONTH(DATE($D$4,3,1)-WEEKDAY(DATE($D$4,3,1),2)+1+25)&lt;&gt;3,"",DATE($D$4,3,1)-WEEKDAY(DATE($D$4,3,1),2)+1+25)</f>
        <v/>
      </c>
      <c r="W28" s="382">
        <f>IF(MONTH(DATE($D$4,3,1)-WEEKDAY(DATE($D$4,3,1),2)+1+26)&lt;&gt;3,"",DATE($D$4,3,1)-WEEKDAY(DATE($D$4,3,1),2)+1+26)</f>
        <v/>
      </c>
      <c r="X28" s="382">
        <f>IF(MONTH(DATE($D$4,3,1)-WEEKDAY(DATE($D$4,3,1),2)+1+27)&lt;&gt;3,"",DATE($D$4,3,1)-WEEKDAY(DATE($D$4,3,1),2)+1+27)</f>
        <v/>
      </c>
    </row>
    <row r="29" ht="18" customHeight="1" s="311">
      <c r="B29" s="381">
        <f>IF(MONTH(DATE($D$4,1,1)-WEEKDAY(DATE($D$4,1,1),2)+1+28)&lt;&gt;1,"",DATE($D$4,1,1)-WEEKDAY(DATE($D$4,1,1),2)+1+28)</f>
        <v/>
      </c>
      <c r="C29" s="381">
        <f>IF(MONTH(DATE($D$4,1,1)-WEEKDAY(DATE($D$4,1,1),2)+1+29)&lt;&gt;1,"",DATE($D$4,1,1)-WEEKDAY(DATE($D$4,1,1),2)+1+29)</f>
        <v/>
      </c>
      <c r="D29" s="381">
        <f>IF(MONTH(DATE($D$4,1,1)-WEEKDAY(DATE($D$4,1,1),2)+1+30)&lt;&gt;1,"",DATE($D$4,1,1)-WEEKDAY(DATE($D$4,1,1),2)+1+30)</f>
        <v/>
      </c>
      <c r="E29" s="381">
        <f>IF(MONTH(DATE($D$4,1,1)-WEEKDAY(DATE($D$4,1,1),2)+1+31)&lt;&gt;1,"",DATE($D$4,1,1)-WEEKDAY(DATE($D$4,1,1),2)+1+31)</f>
        <v/>
      </c>
      <c r="F29" s="381">
        <f>IF(MONTH(DATE($D$4,1,1)-WEEKDAY(DATE($D$4,1,1),2)+1+32)&lt;&gt;1,"",DATE($D$4,1,1)-WEEKDAY(DATE($D$4,1,1),2)+1+32)</f>
        <v/>
      </c>
      <c r="G29" s="382">
        <f>IF(MONTH(DATE($D$4,1,1)-WEEKDAY(DATE($D$4,1,1),2)+1+33)&lt;&gt;1,"",DATE($D$4,1,1)-WEEKDAY(DATE($D$4,1,1),2)+1+33)</f>
        <v/>
      </c>
      <c r="H29" s="382">
        <f>IF(MONTH(DATE($D$4,1,1)-WEEKDAY(DATE($D$4,1,1),2)+1+34)&lt;&gt;1,"",DATE($D$4,1,1)-WEEKDAY(DATE($D$4,1,1),2)+1+34)</f>
        <v/>
      </c>
      <c r="J29" s="381">
        <f>IF(MONTH(DATE($D$4,2,1)-WEEKDAY(DATE($D$4,2,1),2)+1+28)&lt;&gt;2,"",DATE($D$4,2,1)-WEEKDAY(DATE($D$4,2,1),2)+1+28)</f>
        <v/>
      </c>
      <c r="K29" s="381">
        <f>IF(MONTH(DATE($D$4,2,1)-WEEKDAY(DATE($D$4,2,1),2)+1+29)&lt;&gt;2,"",DATE($D$4,2,1)-WEEKDAY(DATE($D$4,2,1),2)+1+29)</f>
        <v/>
      </c>
      <c r="L29" s="381">
        <f>IF(MONTH(DATE($D$4,2,1)-WEEKDAY(DATE($D$4,2,1),2)+1+30)&lt;&gt;2,"",DATE($D$4,2,1)-WEEKDAY(DATE($D$4,2,1),2)+1+30)</f>
        <v/>
      </c>
      <c r="M29" s="381">
        <f>IF(MONTH(DATE($D$4,2,1)-WEEKDAY(DATE($D$4,2,1),2)+1+31)&lt;&gt;2,"",DATE($D$4,2,1)-WEEKDAY(DATE($D$4,2,1),2)+1+31)</f>
        <v/>
      </c>
      <c r="N29" s="381">
        <f>IF(MONTH(DATE($D$4,2,1)-WEEKDAY(DATE($D$4,2,1),2)+1+32)&lt;&gt;2,"",DATE($D$4,2,1)-WEEKDAY(DATE($D$4,2,1),2)+1+32)</f>
        <v/>
      </c>
      <c r="O29" s="382">
        <f>IF(MONTH(DATE($D$4,2,1)-WEEKDAY(DATE($D$4,2,1),2)+1+33)&lt;&gt;2,"",DATE($D$4,2,1)-WEEKDAY(DATE($D$4,2,1),2)+1+33)</f>
        <v/>
      </c>
      <c r="P29" s="382">
        <f>IF(MONTH(DATE($D$4,2,1)-WEEKDAY(DATE($D$4,2,1),2)+1+34)&lt;&gt;2,"",DATE($D$4,2,1)-WEEKDAY(DATE($D$4,2,1),2)+1+34)</f>
        <v/>
      </c>
      <c r="R29" s="381">
        <f>IF(MONTH(DATE($D$4,3,1)-WEEKDAY(DATE($D$4,3,1),2)+1+28)&lt;&gt;3,"",DATE($D$4,3,1)-WEEKDAY(DATE($D$4,3,1),2)+1+28)</f>
        <v/>
      </c>
      <c r="S29" s="381">
        <f>IF(MONTH(DATE($D$4,3,1)-WEEKDAY(DATE($D$4,3,1),2)+1+29)&lt;&gt;3,"",DATE($D$4,3,1)-WEEKDAY(DATE($D$4,3,1),2)+1+29)</f>
        <v/>
      </c>
      <c r="T29" s="381">
        <f>IF(MONTH(DATE($D$4,3,1)-WEEKDAY(DATE($D$4,3,1),2)+1+30)&lt;&gt;3,"",DATE($D$4,3,1)-WEEKDAY(DATE($D$4,3,1),2)+1+30)</f>
        <v/>
      </c>
      <c r="U29" s="381">
        <f>IF(MONTH(DATE($D$4,3,1)-WEEKDAY(DATE($D$4,3,1),2)+1+31)&lt;&gt;3,"",DATE($D$4,3,1)-WEEKDAY(DATE($D$4,3,1),2)+1+31)</f>
        <v/>
      </c>
      <c r="V29" s="381">
        <f>IF(MONTH(DATE($D$4,3,1)-WEEKDAY(DATE($D$4,3,1),2)+1+32)&lt;&gt;3,"",DATE($D$4,3,1)-WEEKDAY(DATE($D$4,3,1),2)+1+32)</f>
        <v/>
      </c>
      <c r="W29" s="382">
        <f>IF(MONTH(DATE($D$4,3,1)-WEEKDAY(DATE($D$4,3,1),2)+1+33)&lt;&gt;3,"",DATE($D$4,3,1)-WEEKDAY(DATE($D$4,3,1),2)+1+33)</f>
        <v/>
      </c>
      <c r="X29" s="382">
        <f>IF(MONTH(DATE($D$4,3,1)-WEEKDAY(DATE($D$4,3,1),2)+1+34)&lt;&gt;3,"",DATE($D$4,3,1)-WEEKDAY(DATE($D$4,3,1),2)+1+34)</f>
        <v/>
      </c>
    </row>
    <row r="30" ht="18" customHeight="1" s="311">
      <c r="B30" s="381">
        <f>IF(MONTH(DATE($D$4,1,1)-WEEKDAY(DATE($D$4,1,1),2)+1+35)&lt;&gt;1,"",DATE($D$4,1,1)-WEEKDAY(DATE($D$4,1,1),2)+1+35)</f>
        <v/>
      </c>
      <c r="C30" s="381">
        <f>IF(MONTH(DATE($D$4,1,1)-WEEKDAY(DATE($D$4,1,1),2)+1+36)&lt;&gt;1,"",DATE($D$4,1,1)-WEEKDAY(DATE($D$4,1,1),2)+1+36)</f>
        <v/>
      </c>
      <c r="D30" s="381">
        <f>IF(MONTH(DATE($D$4,1,1)-WEEKDAY(DATE($D$4,1,1),2)+1+37)&lt;&gt;1,"",DATE($D$4,1,1)-WEEKDAY(DATE($D$4,1,1),2)+1+37)</f>
        <v/>
      </c>
      <c r="E30" s="381">
        <f>IF(MONTH(DATE($D$4,1,1)-WEEKDAY(DATE($D$4,1,1),2)+1+38)&lt;&gt;1,"",DATE($D$4,1,1)-WEEKDAY(DATE($D$4,1,1),2)+1+38)</f>
        <v/>
      </c>
      <c r="F30" s="381">
        <f>IF(MONTH(DATE($D$4,1,1)-WEEKDAY(DATE($D$4,1,1),2)+1+39)&lt;&gt;1,"",DATE($D$4,1,1)-WEEKDAY(DATE($D$4,1,1),2)+1+39)</f>
        <v/>
      </c>
      <c r="G30" s="382">
        <f>IF(MONTH(DATE($D$4,1,1)-WEEKDAY(DATE($D$4,1,1),2)+1+40)&lt;&gt;1,"",DATE($D$4,1,1)-WEEKDAY(DATE($D$4,1,1),2)+1+40)</f>
        <v/>
      </c>
      <c r="H30" s="382">
        <f>IF(MONTH(DATE($D$4,1,1)-WEEKDAY(DATE($D$4,1,1),2)+1+41)&lt;&gt;1,"",DATE($D$4,1,1)-WEEKDAY(DATE($D$4,1,1),2)+1+41)</f>
        <v/>
      </c>
      <c r="J30" s="381">
        <f>IF(MONTH(DATE($D$4,2,1)-WEEKDAY(DATE($D$4,2,1),2)+1+35)&lt;&gt;2,"",DATE($D$4,2,1)-WEEKDAY(DATE($D$4,2,1),2)+1+35)</f>
        <v/>
      </c>
      <c r="K30" s="381">
        <f>IF(MONTH(DATE($D$4,2,1)-WEEKDAY(DATE($D$4,2,1),2)+1+36)&lt;&gt;2,"",DATE($D$4,2,1)-WEEKDAY(DATE($D$4,2,1),2)+1+36)</f>
        <v/>
      </c>
      <c r="L30" s="381">
        <f>IF(MONTH(DATE($D$4,2,1)-WEEKDAY(DATE($D$4,2,1),2)+1+37)&lt;&gt;2,"",DATE($D$4,2,1)-WEEKDAY(DATE($D$4,2,1),2)+1+37)</f>
        <v/>
      </c>
      <c r="M30" s="381">
        <f>IF(MONTH(DATE($D$4,2,1)-WEEKDAY(DATE($D$4,2,1),2)+1+38)&lt;&gt;2,"",DATE($D$4,2,1)-WEEKDAY(DATE($D$4,2,1),2)+1+38)</f>
        <v/>
      </c>
      <c r="N30" s="381">
        <f>IF(MONTH(DATE($D$4,2,1)-WEEKDAY(DATE($D$4,2,1),2)+1+39)&lt;&gt;2,"",DATE($D$4,2,1)-WEEKDAY(DATE($D$4,2,1),2)+1+39)</f>
        <v/>
      </c>
      <c r="O30" s="382">
        <f>IF(MONTH(DATE($D$4,2,1)-WEEKDAY(DATE($D$4,2,1),2)+1+40)&lt;&gt;2,"",DATE($D$4,2,1)-WEEKDAY(DATE($D$4,2,1),2)+1+40)</f>
        <v/>
      </c>
      <c r="P30" s="382">
        <f>IF(MONTH(DATE($D$4,2,1)-WEEKDAY(DATE($D$4,2,1),2)+1+41)&lt;&gt;2,"",DATE($D$4,2,1)-WEEKDAY(DATE($D$4,2,1),2)+1+41)</f>
        <v/>
      </c>
      <c r="R30" s="381">
        <f>IF(MONTH(DATE($D$4,3,1)-WEEKDAY(DATE($D$4,3,1),2)+1+35)&lt;&gt;3,"",DATE($D$4,3,1)-WEEKDAY(DATE($D$4,3,1),2)+1+35)</f>
        <v/>
      </c>
      <c r="S30" s="381">
        <f>IF(MONTH(DATE($D$4,3,1)-WEEKDAY(DATE($D$4,3,1),2)+1+36)&lt;&gt;3,"",DATE($D$4,3,1)-WEEKDAY(DATE($D$4,3,1),2)+1+36)</f>
        <v/>
      </c>
      <c r="T30" s="381">
        <f>IF(MONTH(DATE($D$4,3,1)-WEEKDAY(DATE($D$4,3,1),2)+1+37)&lt;&gt;3,"",DATE($D$4,3,1)-WEEKDAY(DATE($D$4,3,1),2)+1+37)</f>
        <v/>
      </c>
      <c r="U30" s="381">
        <f>IF(MONTH(DATE($D$4,3,1)-WEEKDAY(DATE($D$4,3,1),2)+1+38)&lt;&gt;3,"",DATE($D$4,3,1)-WEEKDAY(DATE($D$4,3,1),2)+1+38)</f>
        <v/>
      </c>
      <c r="V30" s="381">
        <f>IF(MONTH(DATE($D$4,3,1)-WEEKDAY(DATE($D$4,3,1),2)+1+39)&lt;&gt;3,"",DATE($D$4,3,1)-WEEKDAY(DATE($D$4,3,1),2)+1+39)</f>
        <v/>
      </c>
      <c r="W30" s="382">
        <f>IF(MONTH(DATE($D$4,3,1)-WEEKDAY(DATE($D$4,3,1),2)+1+40)&lt;&gt;3,"",DATE($D$4,3,1)-WEEKDAY(DATE($D$4,3,1),2)+1+40)</f>
        <v/>
      </c>
      <c r="X30" s="382">
        <f>IF(MONTH(DATE($D$4,3,1)-WEEKDAY(DATE($D$4,3,1),2)+1+41)&lt;&gt;3,"",DATE($D$4,3,1)-WEEKDAY(DATE($D$4,3,1),2)+1+41)</f>
        <v/>
      </c>
    </row>
    <row r="32" ht="19" customHeight="1" s="311">
      <c r="B32" s="379">
        <f>"ABRIL  "&amp;$D$4</f>
        <v/>
      </c>
      <c r="C32" s="372" t="n"/>
      <c r="D32" s="372" t="n"/>
      <c r="E32" s="372" t="n"/>
      <c r="F32" s="372" t="n"/>
      <c r="G32" s="380">
        <f>IF(COUNTIFS($B$62:$B$211,"&gt;="&amp;DATE($D$4,4,1),$B$62:$B$211,"&lt;="&amp;EOMONTH(DATE($D$4,4,1),0),$V$62:$V$211,"&lt;&gt;4 · Cancelada")=1,"1 cita",COUNTIFS($B$62:$B$211,"&gt;="&amp;DATE($D$4,4,1),$B$62:$B$211,"&lt;="&amp;EOMONTH(DATE($D$4,4,1),0),$V$62:$V$211,"&lt;&gt;4 · Cancelada")&amp;" citas")</f>
        <v/>
      </c>
      <c r="H32" s="372" t="n"/>
      <c r="J32" s="379">
        <f>"MAYO  "&amp;$D$4</f>
        <v/>
      </c>
      <c r="K32" s="372" t="n"/>
      <c r="L32" s="372" t="n"/>
      <c r="M32" s="372" t="n"/>
      <c r="N32" s="372" t="n"/>
      <c r="O32" s="380">
        <f>IF(COUNTIFS($B$62:$B$211,"&gt;="&amp;DATE($D$4,5,1),$B$62:$B$211,"&lt;="&amp;EOMONTH(DATE($D$4,5,1),0),$V$62:$V$211,"&lt;&gt;4 · Cancelada")=1,"1 cita",COUNTIFS($B$62:$B$211,"&gt;="&amp;DATE($D$4,5,1),$B$62:$B$211,"&lt;="&amp;EOMONTH(DATE($D$4,5,1),0),$V$62:$V$211,"&lt;&gt;4 · Cancelada")&amp;" citas")</f>
        <v/>
      </c>
      <c r="P32" s="372" t="n"/>
      <c r="R32" s="379">
        <f>"JUNIO  "&amp;$D$4</f>
        <v/>
      </c>
      <c r="S32" s="372" t="n"/>
      <c r="T32" s="372" t="n"/>
      <c r="U32" s="372" t="n"/>
      <c r="V32" s="372" t="n"/>
      <c r="W32" s="380">
        <f>IF(COUNTIFS($B$62:$B$211,"&gt;="&amp;DATE($D$4,6,1),$B$62:$B$211,"&lt;="&amp;EOMONTH(DATE($D$4,6,1),0),$V$62:$V$211,"&lt;&gt;4 · Cancelada")=1,"1 cita",COUNTIFS($B$62:$B$211,"&gt;="&amp;DATE($D$4,6,1),$B$62:$B$211,"&lt;="&amp;EOMONTH(DATE($D$4,6,1),0),$V$62:$V$211,"&lt;&gt;4 · Cancelada")&amp;" citas")</f>
        <v/>
      </c>
      <c r="X32" s="372" t="n"/>
    </row>
    <row r="33" ht="15" customHeight="1" s="311">
      <c r="B33" s="358" t="inlineStr">
        <is>
          <t>L</t>
        </is>
      </c>
      <c r="C33" s="358" t="inlineStr">
        <is>
          <t>M</t>
        </is>
      </c>
      <c r="D33" s="358" t="inlineStr">
        <is>
          <t>X</t>
        </is>
      </c>
      <c r="E33" s="358" t="inlineStr">
        <is>
          <t>J</t>
        </is>
      </c>
      <c r="F33" s="358" t="inlineStr">
        <is>
          <t>V</t>
        </is>
      </c>
      <c r="G33" s="358" t="inlineStr">
        <is>
          <t>S</t>
        </is>
      </c>
      <c r="H33" s="358" t="inlineStr">
        <is>
          <t>D</t>
        </is>
      </c>
      <c r="J33" s="358" t="inlineStr">
        <is>
          <t>L</t>
        </is>
      </c>
      <c r="K33" s="358" t="inlineStr">
        <is>
          <t>M</t>
        </is>
      </c>
      <c r="L33" s="358" t="inlineStr">
        <is>
          <t>X</t>
        </is>
      </c>
      <c r="M33" s="358" t="inlineStr">
        <is>
          <t>J</t>
        </is>
      </c>
      <c r="N33" s="358" t="inlineStr">
        <is>
          <t>V</t>
        </is>
      </c>
      <c r="O33" s="358" t="inlineStr">
        <is>
          <t>S</t>
        </is>
      </c>
      <c r="P33" s="358" t="inlineStr">
        <is>
          <t>D</t>
        </is>
      </c>
      <c r="R33" s="358" t="inlineStr">
        <is>
          <t>L</t>
        </is>
      </c>
      <c r="S33" s="358" t="inlineStr">
        <is>
          <t>M</t>
        </is>
      </c>
      <c r="T33" s="358" t="inlineStr">
        <is>
          <t>X</t>
        </is>
      </c>
      <c r="U33" s="358" t="inlineStr">
        <is>
          <t>J</t>
        </is>
      </c>
      <c r="V33" s="358" t="inlineStr">
        <is>
          <t>V</t>
        </is>
      </c>
      <c r="W33" s="358" t="inlineStr">
        <is>
          <t>S</t>
        </is>
      </c>
      <c r="X33" s="358" t="inlineStr">
        <is>
          <t>D</t>
        </is>
      </c>
    </row>
    <row r="34" ht="18" customHeight="1" s="311">
      <c r="B34" s="381">
        <f>IF(MONTH(DATE($D$4,4,1)-WEEKDAY(DATE($D$4,4,1),2)+1+0)&lt;&gt;4,"",DATE($D$4,4,1)-WEEKDAY(DATE($D$4,4,1),2)+1+0)</f>
        <v/>
      </c>
      <c r="C34" s="381">
        <f>IF(MONTH(DATE($D$4,4,1)-WEEKDAY(DATE($D$4,4,1),2)+1+1)&lt;&gt;4,"",DATE($D$4,4,1)-WEEKDAY(DATE($D$4,4,1),2)+1+1)</f>
        <v/>
      </c>
      <c r="D34" s="381">
        <f>IF(MONTH(DATE($D$4,4,1)-WEEKDAY(DATE($D$4,4,1),2)+1+2)&lt;&gt;4,"",DATE($D$4,4,1)-WEEKDAY(DATE($D$4,4,1),2)+1+2)</f>
        <v/>
      </c>
      <c r="E34" s="381">
        <f>IF(MONTH(DATE($D$4,4,1)-WEEKDAY(DATE($D$4,4,1),2)+1+3)&lt;&gt;4,"",DATE($D$4,4,1)-WEEKDAY(DATE($D$4,4,1),2)+1+3)</f>
        <v/>
      </c>
      <c r="F34" s="381">
        <f>IF(MONTH(DATE($D$4,4,1)-WEEKDAY(DATE($D$4,4,1),2)+1+4)&lt;&gt;4,"",DATE($D$4,4,1)-WEEKDAY(DATE($D$4,4,1),2)+1+4)</f>
        <v/>
      </c>
      <c r="G34" s="382">
        <f>IF(MONTH(DATE($D$4,4,1)-WEEKDAY(DATE($D$4,4,1),2)+1+5)&lt;&gt;4,"",DATE($D$4,4,1)-WEEKDAY(DATE($D$4,4,1),2)+1+5)</f>
        <v/>
      </c>
      <c r="H34" s="382">
        <f>IF(MONTH(DATE($D$4,4,1)-WEEKDAY(DATE($D$4,4,1),2)+1+6)&lt;&gt;4,"",DATE($D$4,4,1)-WEEKDAY(DATE($D$4,4,1),2)+1+6)</f>
        <v/>
      </c>
      <c r="J34" s="381">
        <f>IF(MONTH(DATE($D$4,5,1)-WEEKDAY(DATE($D$4,5,1),2)+1+0)&lt;&gt;5,"",DATE($D$4,5,1)-WEEKDAY(DATE($D$4,5,1),2)+1+0)</f>
        <v/>
      </c>
      <c r="K34" s="381">
        <f>IF(MONTH(DATE($D$4,5,1)-WEEKDAY(DATE($D$4,5,1),2)+1+1)&lt;&gt;5,"",DATE($D$4,5,1)-WEEKDAY(DATE($D$4,5,1),2)+1+1)</f>
        <v/>
      </c>
      <c r="L34" s="381">
        <f>IF(MONTH(DATE($D$4,5,1)-WEEKDAY(DATE($D$4,5,1),2)+1+2)&lt;&gt;5,"",DATE($D$4,5,1)-WEEKDAY(DATE($D$4,5,1),2)+1+2)</f>
        <v/>
      </c>
      <c r="M34" s="381">
        <f>IF(MONTH(DATE($D$4,5,1)-WEEKDAY(DATE($D$4,5,1),2)+1+3)&lt;&gt;5,"",DATE($D$4,5,1)-WEEKDAY(DATE($D$4,5,1),2)+1+3)</f>
        <v/>
      </c>
      <c r="N34" s="381">
        <f>IF(MONTH(DATE($D$4,5,1)-WEEKDAY(DATE($D$4,5,1),2)+1+4)&lt;&gt;5,"",DATE($D$4,5,1)-WEEKDAY(DATE($D$4,5,1),2)+1+4)</f>
        <v/>
      </c>
      <c r="O34" s="382">
        <f>IF(MONTH(DATE($D$4,5,1)-WEEKDAY(DATE($D$4,5,1),2)+1+5)&lt;&gt;5,"",DATE($D$4,5,1)-WEEKDAY(DATE($D$4,5,1),2)+1+5)</f>
        <v/>
      </c>
      <c r="P34" s="382">
        <f>IF(MONTH(DATE($D$4,5,1)-WEEKDAY(DATE($D$4,5,1),2)+1+6)&lt;&gt;5,"",DATE($D$4,5,1)-WEEKDAY(DATE($D$4,5,1),2)+1+6)</f>
        <v/>
      </c>
      <c r="R34" s="381">
        <f>IF(MONTH(DATE($D$4,6,1)-WEEKDAY(DATE($D$4,6,1),2)+1+0)&lt;&gt;6,"",DATE($D$4,6,1)-WEEKDAY(DATE($D$4,6,1),2)+1+0)</f>
        <v/>
      </c>
      <c r="S34" s="381">
        <f>IF(MONTH(DATE($D$4,6,1)-WEEKDAY(DATE($D$4,6,1),2)+1+1)&lt;&gt;6,"",DATE($D$4,6,1)-WEEKDAY(DATE($D$4,6,1),2)+1+1)</f>
        <v/>
      </c>
      <c r="T34" s="381">
        <f>IF(MONTH(DATE($D$4,6,1)-WEEKDAY(DATE($D$4,6,1),2)+1+2)&lt;&gt;6,"",DATE($D$4,6,1)-WEEKDAY(DATE($D$4,6,1),2)+1+2)</f>
        <v/>
      </c>
      <c r="U34" s="381">
        <f>IF(MONTH(DATE($D$4,6,1)-WEEKDAY(DATE($D$4,6,1),2)+1+3)&lt;&gt;6,"",DATE($D$4,6,1)-WEEKDAY(DATE($D$4,6,1),2)+1+3)</f>
        <v/>
      </c>
      <c r="V34" s="381">
        <f>IF(MONTH(DATE($D$4,6,1)-WEEKDAY(DATE($D$4,6,1),2)+1+4)&lt;&gt;6,"",DATE($D$4,6,1)-WEEKDAY(DATE($D$4,6,1),2)+1+4)</f>
        <v/>
      </c>
      <c r="W34" s="382">
        <f>IF(MONTH(DATE($D$4,6,1)-WEEKDAY(DATE($D$4,6,1),2)+1+5)&lt;&gt;6,"",DATE($D$4,6,1)-WEEKDAY(DATE($D$4,6,1),2)+1+5)</f>
        <v/>
      </c>
      <c r="X34" s="382">
        <f>IF(MONTH(DATE($D$4,6,1)-WEEKDAY(DATE($D$4,6,1),2)+1+6)&lt;&gt;6,"",DATE($D$4,6,1)-WEEKDAY(DATE($D$4,6,1),2)+1+6)</f>
        <v/>
      </c>
    </row>
    <row r="35" ht="18" customHeight="1" s="311">
      <c r="B35" s="381">
        <f>IF(MONTH(DATE($D$4,4,1)-WEEKDAY(DATE($D$4,4,1),2)+1+7)&lt;&gt;4,"",DATE($D$4,4,1)-WEEKDAY(DATE($D$4,4,1),2)+1+7)</f>
        <v/>
      </c>
      <c r="C35" s="381">
        <f>IF(MONTH(DATE($D$4,4,1)-WEEKDAY(DATE($D$4,4,1),2)+1+8)&lt;&gt;4,"",DATE($D$4,4,1)-WEEKDAY(DATE($D$4,4,1),2)+1+8)</f>
        <v/>
      </c>
      <c r="D35" s="381">
        <f>IF(MONTH(DATE($D$4,4,1)-WEEKDAY(DATE($D$4,4,1),2)+1+9)&lt;&gt;4,"",DATE($D$4,4,1)-WEEKDAY(DATE($D$4,4,1),2)+1+9)</f>
        <v/>
      </c>
      <c r="E35" s="381">
        <f>IF(MONTH(DATE($D$4,4,1)-WEEKDAY(DATE($D$4,4,1),2)+1+10)&lt;&gt;4,"",DATE($D$4,4,1)-WEEKDAY(DATE($D$4,4,1),2)+1+10)</f>
        <v/>
      </c>
      <c r="F35" s="381">
        <f>IF(MONTH(DATE($D$4,4,1)-WEEKDAY(DATE($D$4,4,1),2)+1+11)&lt;&gt;4,"",DATE($D$4,4,1)-WEEKDAY(DATE($D$4,4,1),2)+1+11)</f>
        <v/>
      </c>
      <c r="G35" s="382">
        <f>IF(MONTH(DATE($D$4,4,1)-WEEKDAY(DATE($D$4,4,1),2)+1+12)&lt;&gt;4,"",DATE($D$4,4,1)-WEEKDAY(DATE($D$4,4,1),2)+1+12)</f>
        <v/>
      </c>
      <c r="H35" s="382">
        <f>IF(MONTH(DATE($D$4,4,1)-WEEKDAY(DATE($D$4,4,1),2)+1+13)&lt;&gt;4,"",DATE($D$4,4,1)-WEEKDAY(DATE($D$4,4,1),2)+1+13)</f>
        <v/>
      </c>
      <c r="J35" s="381">
        <f>IF(MONTH(DATE($D$4,5,1)-WEEKDAY(DATE($D$4,5,1),2)+1+7)&lt;&gt;5,"",DATE($D$4,5,1)-WEEKDAY(DATE($D$4,5,1),2)+1+7)</f>
        <v/>
      </c>
      <c r="K35" s="381">
        <f>IF(MONTH(DATE($D$4,5,1)-WEEKDAY(DATE($D$4,5,1),2)+1+8)&lt;&gt;5,"",DATE($D$4,5,1)-WEEKDAY(DATE($D$4,5,1),2)+1+8)</f>
        <v/>
      </c>
      <c r="L35" s="381">
        <f>IF(MONTH(DATE($D$4,5,1)-WEEKDAY(DATE($D$4,5,1),2)+1+9)&lt;&gt;5,"",DATE($D$4,5,1)-WEEKDAY(DATE($D$4,5,1),2)+1+9)</f>
        <v/>
      </c>
      <c r="M35" s="381">
        <f>IF(MONTH(DATE($D$4,5,1)-WEEKDAY(DATE($D$4,5,1),2)+1+10)&lt;&gt;5,"",DATE($D$4,5,1)-WEEKDAY(DATE($D$4,5,1),2)+1+10)</f>
        <v/>
      </c>
      <c r="N35" s="381">
        <f>IF(MONTH(DATE($D$4,5,1)-WEEKDAY(DATE($D$4,5,1),2)+1+11)&lt;&gt;5,"",DATE($D$4,5,1)-WEEKDAY(DATE($D$4,5,1),2)+1+11)</f>
        <v/>
      </c>
      <c r="O35" s="382">
        <f>IF(MONTH(DATE($D$4,5,1)-WEEKDAY(DATE($D$4,5,1),2)+1+12)&lt;&gt;5,"",DATE($D$4,5,1)-WEEKDAY(DATE($D$4,5,1),2)+1+12)</f>
        <v/>
      </c>
      <c r="P35" s="382">
        <f>IF(MONTH(DATE($D$4,5,1)-WEEKDAY(DATE($D$4,5,1),2)+1+13)&lt;&gt;5,"",DATE($D$4,5,1)-WEEKDAY(DATE($D$4,5,1),2)+1+13)</f>
        <v/>
      </c>
      <c r="R35" s="381">
        <f>IF(MONTH(DATE($D$4,6,1)-WEEKDAY(DATE($D$4,6,1),2)+1+7)&lt;&gt;6,"",DATE($D$4,6,1)-WEEKDAY(DATE($D$4,6,1),2)+1+7)</f>
        <v/>
      </c>
      <c r="S35" s="381">
        <f>IF(MONTH(DATE($D$4,6,1)-WEEKDAY(DATE($D$4,6,1),2)+1+8)&lt;&gt;6,"",DATE($D$4,6,1)-WEEKDAY(DATE($D$4,6,1),2)+1+8)</f>
        <v/>
      </c>
      <c r="T35" s="381">
        <f>IF(MONTH(DATE($D$4,6,1)-WEEKDAY(DATE($D$4,6,1),2)+1+9)&lt;&gt;6,"",DATE($D$4,6,1)-WEEKDAY(DATE($D$4,6,1),2)+1+9)</f>
        <v/>
      </c>
      <c r="U35" s="381">
        <f>IF(MONTH(DATE($D$4,6,1)-WEEKDAY(DATE($D$4,6,1),2)+1+10)&lt;&gt;6,"",DATE($D$4,6,1)-WEEKDAY(DATE($D$4,6,1),2)+1+10)</f>
        <v/>
      </c>
      <c r="V35" s="381">
        <f>IF(MONTH(DATE($D$4,6,1)-WEEKDAY(DATE($D$4,6,1),2)+1+11)&lt;&gt;6,"",DATE($D$4,6,1)-WEEKDAY(DATE($D$4,6,1),2)+1+11)</f>
        <v/>
      </c>
      <c r="W35" s="382">
        <f>IF(MONTH(DATE($D$4,6,1)-WEEKDAY(DATE($D$4,6,1),2)+1+12)&lt;&gt;6,"",DATE($D$4,6,1)-WEEKDAY(DATE($D$4,6,1),2)+1+12)</f>
        <v/>
      </c>
      <c r="X35" s="382">
        <f>IF(MONTH(DATE($D$4,6,1)-WEEKDAY(DATE($D$4,6,1),2)+1+13)&lt;&gt;6,"",DATE($D$4,6,1)-WEEKDAY(DATE($D$4,6,1),2)+1+13)</f>
        <v/>
      </c>
    </row>
    <row r="36" ht="18" customHeight="1" s="311">
      <c r="B36" s="381">
        <f>IF(MONTH(DATE($D$4,4,1)-WEEKDAY(DATE($D$4,4,1),2)+1+14)&lt;&gt;4,"",DATE($D$4,4,1)-WEEKDAY(DATE($D$4,4,1),2)+1+14)</f>
        <v/>
      </c>
      <c r="C36" s="381">
        <f>IF(MONTH(DATE($D$4,4,1)-WEEKDAY(DATE($D$4,4,1),2)+1+15)&lt;&gt;4,"",DATE($D$4,4,1)-WEEKDAY(DATE($D$4,4,1),2)+1+15)</f>
        <v/>
      </c>
      <c r="D36" s="381">
        <f>IF(MONTH(DATE($D$4,4,1)-WEEKDAY(DATE($D$4,4,1),2)+1+16)&lt;&gt;4,"",DATE($D$4,4,1)-WEEKDAY(DATE($D$4,4,1),2)+1+16)</f>
        <v/>
      </c>
      <c r="E36" s="381">
        <f>IF(MONTH(DATE($D$4,4,1)-WEEKDAY(DATE($D$4,4,1),2)+1+17)&lt;&gt;4,"",DATE($D$4,4,1)-WEEKDAY(DATE($D$4,4,1),2)+1+17)</f>
        <v/>
      </c>
      <c r="F36" s="381">
        <f>IF(MONTH(DATE($D$4,4,1)-WEEKDAY(DATE($D$4,4,1),2)+1+18)&lt;&gt;4,"",DATE($D$4,4,1)-WEEKDAY(DATE($D$4,4,1),2)+1+18)</f>
        <v/>
      </c>
      <c r="G36" s="382">
        <f>IF(MONTH(DATE($D$4,4,1)-WEEKDAY(DATE($D$4,4,1),2)+1+19)&lt;&gt;4,"",DATE($D$4,4,1)-WEEKDAY(DATE($D$4,4,1),2)+1+19)</f>
        <v/>
      </c>
      <c r="H36" s="382">
        <f>IF(MONTH(DATE($D$4,4,1)-WEEKDAY(DATE($D$4,4,1),2)+1+20)&lt;&gt;4,"",DATE($D$4,4,1)-WEEKDAY(DATE($D$4,4,1),2)+1+20)</f>
        <v/>
      </c>
      <c r="J36" s="381">
        <f>IF(MONTH(DATE($D$4,5,1)-WEEKDAY(DATE($D$4,5,1),2)+1+14)&lt;&gt;5,"",DATE($D$4,5,1)-WEEKDAY(DATE($D$4,5,1),2)+1+14)</f>
        <v/>
      </c>
      <c r="K36" s="381">
        <f>IF(MONTH(DATE($D$4,5,1)-WEEKDAY(DATE($D$4,5,1),2)+1+15)&lt;&gt;5,"",DATE($D$4,5,1)-WEEKDAY(DATE($D$4,5,1),2)+1+15)</f>
        <v/>
      </c>
      <c r="L36" s="381">
        <f>IF(MONTH(DATE($D$4,5,1)-WEEKDAY(DATE($D$4,5,1),2)+1+16)&lt;&gt;5,"",DATE($D$4,5,1)-WEEKDAY(DATE($D$4,5,1),2)+1+16)</f>
        <v/>
      </c>
      <c r="M36" s="381">
        <f>IF(MONTH(DATE($D$4,5,1)-WEEKDAY(DATE($D$4,5,1),2)+1+17)&lt;&gt;5,"",DATE($D$4,5,1)-WEEKDAY(DATE($D$4,5,1),2)+1+17)</f>
        <v/>
      </c>
      <c r="N36" s="381">
        <f>IF(MONTH(DATE($D$4,5,1)-WEEKDAY(DATE($D$4,5,1),2)+1+18)&lt;&gt;5,"",DATE($D$4,5,1)-WEEKDAY(DATE($D$4,5,1),2)+1+18)</f>
        <v/>
      </c>
      <c r="O36" s="382">
        <f>IF(MONTH(DATE($D$4,5,1)-WEEKDAY(DATE($D$4,5,1),2)+1+19)&lt;&gt;5,"",DATE($D$4,5,1)-WEEKDAY(DATE($D$4,5,1),2)+1+19)</f>
        <v/>
      </c>
      <c r="P36" s="382">
        <f>IF(MONTH(DATE($D$4,5,1)-WEEKDAY(DATE($D$4,5,1),2)+1+20)&lt;&gt;5,"",DATE($D$4,5,1)-WEEKDAY(DATE($D$4,5,1),2)+1+20)</f>
        <v/>
      </c>
      <c r="R36" s="381">
        <f>IF(MONTH(DATE($D$4,6,1)-WEEKDAY(DATE($D$4,6,1),2)+1+14)&lt;&gt;6,"",DATE($D$4,6,1)-WEEKDAY(DATE($D$4,6,1),2)+1+14)</f>
        <v/>
      </c>
      <c r="S36" s="381">
        <f>IF(MONTH(DATE($D$4,6,1)-WEEKDAY(DATE($D$4,6,1),2)+1+15)&lt;&gt;6,"",DATE($D$4,6,1)-WEEKDAY(DATE($D$4,6,1),2)+1+15)</f>
        <v/>
      </c>
      <c r="T36" s="381">
        <f>IF(MONTH(DATE($D$4,6,1)-WEEKDAY(DATE($D$4,6,1),2)+1+16)&lt;&gt;6,"",DATE($D$4,6,1)-WEEKDAY(DATE($D$4,6,1),2)+1+16)</f>
        <v/>
      </c>
      <c r="U36" s="381">
        <f>IF(MONTH(DATE($D$4,6,1)-WEEKDAY(DATE($D$4,6,1),2)+1+17)&lt;&gt;6,"",DATE($D$4,6,1)-WEEKDAY(DATE($D$4,6,1),2)+1+17)</f>
        <v/>
      </c>
      <c r="V36" s="381">
        <f>IF(MONTH(DATE($D$4,6,1)-WEEKDAY(DATE($D$4,6,1),2)+1+18)&lt;&gt;6,"",DATE($D$4,6,1)-WEEKDAY(DATE($D$4,6,1),2)+1+18)</f>
        <v/>
      </c>
      <c r="W36" s="382">
        <f>IF(MONTH(DATE($D$4,6,1)-WEEKDAY(DATE($D$4,6,1),2)+1+19)&lt;&gt;6,"",DATE($D$4,6,1)-WEEKDAY(DATE($D$4,6,1),2)+1+19)</f>
        <v/>
      </c>
      <c r="X36" s="382">
        <f>IF(MONTH(DATE($D$4,6,1)-WEEKDAY(DATE($D$4,6,1),2)+1+20)&lt;&gt;6,"",DATE($D$4,6,1)-WEEKDAY(DATE($D$4,6,1),2)+1+20)</f>
        <v/>
      </c>
    </row>
    <row r="37" ht="18" customHeight="1" s="311">
      <c r="B37" s="381">
        <f>IF(MONTH(DATE($D$4,4,1)-WEEKDAY(DATE($D$4,4,1),2)+1+21)&lt;&gt;4,"",DATE($D$4,4,1)-WEEKDAY(DATE($D$4,4,1),2)+1+21)</f>
        <v/>
      </c>
      <c r="C37" s="381">
        <f>IF(MONTH(DATE($D$4,4,1)-WEEKDAY(DATE($D$4,4,1),2)+1+22)&lt;&gt;4,"",DATE($D$4,4,1)-WEEKDAY(DATE($D$4,4,1),2)+1+22)</f>
        <v/>
      </c>
      <c r="D37" s="381">
        <f>IF(MONTH(DATE($D$4,4,1)-WEEKDAY(DATE($D$4,4,1),2)+1+23)&lt;&gt;4,"",DATE($D$4,4,1)-WEEKDAY(DATE($D$4,4,1),2)+1+23)</f>
        <v/>
      </c>
      <c r="E37" s="381">
        <f>IF(MONTH(DATE($D$4,4,1)-WEEKDAY(DATE($D$4,4,1),2)+1+24)&lt;&gt;4,"",DATE($D$4,4,1)-WEEKDAY(DATE($D$4,4,1),2)+1+24)</f>
        <v/>
      </c>
      <c r="F37" s="381">
        <f>IF(MONTH(DATE($D$4,4,1)-WEEKDAY(DATE($D$4,4,1),2)+1+25)&lt;&gt;4,"",DATE($D$4,4,1)-WEEKDAY(DATE($D$4,4,1),2)+1+25)</f>
        <v/>
      </c>
      <c r="G37" s="382">
        <f>IF(MONTH(DATE($D$4,4,1)-WEEKDAY(DATE($D$4,4,1),2)+1+26)&lt;&gt;4,"",DATE($D$4,4,1)-WEEKDAY(DATE($D$4,4,1),2)+1+26)</f>
        <v/>
      </c>
      <c r="H37" s="382">
        <f>IF(MONTH(DATE($D$4,4,1)-WEEKDAY(DATE($D$4,4,1),2)+1+27)&lt;&gt;4,"",DATE($D$4,4,1)-WEEKDAY(DATE($D$4,4,1),2)+1+27)</f>
        <v/>
      </c>
      <c r="J37" s="381">
        <f>IF(MONTH(DATE($D$4,5,1)-WEEKDAY(DATE($D$4,5,1),2)+1+21)&lt;&gt;5,"",DATE($D$4,5,1)-WEEKDAY(DATE($D$4,5,1),2)+1+21)</f>
        <v/>
      </c>
      <c r="K37" s="381">
        <f>IF(MONTH(DATE($D$4,5,1)-WEEKDAY(DATE($D$4,5,1),2)+1+22)&lt;&gt;5,"",DATE($D$4,5,1)-WEEKDAY(DATE($D$4,5,1),2)+1+22)</f>
        <v/>
      </c>
      <c r="L37" s="381">
        <f>IF(MONTH(DATE($D$4,5,1)-WEEKDAY(DATE($D$4,5,1),2)+1+23)&lt;&gt;5,"",DATE($D$4,5,1)-WEEKDAY(DATE($D$4,5,1),2)+1+23)</f>
        <v/>
      </c>
      <c r="M37" s="381">
        <f>IF(MONTH(DATE($D$4,5,1)-WEEKDAY(DATE($D$4,5,1),2)+1+24)&lt;&gt;5,"",DATE($D$4,5,1)-WEEKDAY(DATE($D$4,5,1),2)+1+24)</f>
        <v/>
      </c>
      <c r="N37" s="381">
        <f>IF(MONTH(DATE($D$4,5,1)-WEEKDAY(DATE($D$4,5,1),2)+1+25)&lt;&gt;5,"",DATE($D$4,5,1)-WEEKDAY(DATE($D$4,5,1),2)+1+25)</f>
        <v/>
      </c>
      <c r="O37" s="382">
        <f>IF(MONTH(DATE($D$4,5,1)-WEEKDAY(DATE($D$4,5,1),2)+1+26)&lt;&gt;5,"",DATE($D$4,5,1)-WEEKDAY(DATE($D$4,5,1),2)+1+26)</f>
        <v/>
      </c>
      <c r="P37" s="382">
        <f>IF(MONTH(DATE($D$4,5,1)-WEEKDAY(DATE($D$4,5,1),2)+1+27)&lt;&gt;5,"",DATE($D$4,5,1)-WEEKDAY(DATE($D$4,5,1),2)+1+27)</f>
        <v/>
      </c>
      <c r="R37" s="381">
        <f>IF(MONTH(DATE($D$4,6,1)-WEEKDAY(DATE($D$4,6,1),2)+1+21)&lt;&gt;6,"",DATE($D$4,6,1)-WEEKDAY(DATE($D$4,6,1),2)+1+21)</f>
        <v/>
      </c>
      <c r="S37" s="381">
        <f>IF(MONTH(DATE($D$4,6,1)-WEEKDAY(DATE($D$4,6,1),2)+1+22)&lt;&gt;6,"",DATE($D$4,6,1)-WEEKDAY(DATE($D$4,6,1),2)+1+22)</f>
        <v/>
      </c>
      <c r="T37" s="381">
        <f>IF(MONTH(DATE($D$4,6,1)-WEEKDAY(DATE($D$4,6,1),2)+1+23)&lt;&gt;6,"",DATE($D$4,6,1)-WEEKDAY(DATE($D$4,6,1),2)+1+23)</f>
        <v/>
      </c>
      <c r="U37" s="381">
        <f>IF(MONTH(DATE($D$4,6,1)-WEEKDAY(DATE($D$4,6,1),2)+1+24)&lt;&gt;6,"",DATE($D$4,6,1)-WEEKDAY(DATE($D$4,6,1),2)+1+24)</f>
        <v/>
      </c>
      <c r="V37" s="381">
        <f>IF(MONTH(DATE($D$4,6,1)-WEEKDAY(DATE($D$4,6,1),2)+1+25)&lt;&gt;6,"",DATE($D$4,6,1)-WEEKDAY(DATE($D$4,6,1),2)+1+25)</f>
        <v/>
      </c>
      <c r="W37" s="382">
        <f>IF(MONTH(DATE($D$4,6,1)-WEEKDAY(DATE($D$4,6,1),2)+1+26)&lt;&gt;6,"",DATE($D$4,6,1)-WEEKDAY(DATE($D$4,6,1),2)+1+26)</f>
        <v/>
      </c>
      <c r="X37" s="382">
        <f>IF(MONTH(DATE($D$4,6,1)-WEEKDAY(DATE($D$4,6,1),2)+1+27)&lt;&gt;6,"",DATE($D$4,6,1)-WEEKDAY(DATE($D$4,6,1),2)+1+27)</f>
        <v/>
      </c>
    </row>
    <row r="38" ht="18" customHeight="1" s="311">
      <c r="B38" s="381">
        <f>IF(MONTH(DATE($D$4,4,1)-WEEKDAY(DATE($D$4,4,1),2)+1+28)&lt;&gt;4,"",DATE($D$4,4,1)-WEEKDAY(DATE($D$4,4,1),2)+1+28)</f>
        <v/>
      </c>
      <c r="C38" s="381">
        <f>IF(MONTH(DATE($D$4,4,1)-WEEKDAY(DATE($D$4,4,1),2)+1+29)&lt;&gt;4,"",DATE($D$4,4,1)-WEEKDAY(DATE($D$4,4,1),2)+1+29)</f>
        <v/>
      </c>
      <c r="D38" s="381">
        <f>IF(MONTH(DATE($D$4,4,1)-WEEKDAY(DATE($D$4,4,1),2)+1+30)&lt;&gt;4,"",DATE($D$4,4,1)-WEEKDAY(DATE($D$4,4,1),2)+1+30)</f>
        <v/>
      </c>
      <c r="E38" s="381">
        <f>IF(MONTH(DATE($D$4,4,1)-WEEKDAY(DATE($D$4,4,1),2)+1+31)&lt;&gt;4,"",DATE($D$4,4,1)-WEEKDAY(DATE($D$4,4,1),2)+1+31)</f>
        <v/>
      </c>
      <c r="F38" s="381">
        <f>IF(MONTH(DATE($D$4,4,1)-WEEKDAY(DATE($D$4,4,1),2)+1+32)&lt;&gt;4,"",DATE($D$4,4,1)-WEEKDAY(DATE($D$4,4,1),2)+1+32)</f>
        <v/>
      </c>
      <c r="G38" s="382">
        <f>IF(MONTH(DATE($D$4,4,1)-WEEKDAY(DATE($D$4,4,1),2)+1+33)&lt;&gt;4,"",DATE($D$4,4,1)-WEEKDAY(DATE($D$4,4,1),2)+1+33)</f>
        <v/>
      </c>
      <c r="H38" s="382">
        <f>IF(MONTH(DATE($D$4,4,1)-WEEKDAY(DATE($D$4,4,1),2)+1+34)&lt;&gt;4,"",DATE($D$4,4,1)-WEEKDAY(DATE($D$4,4,1),2)+1+34)</f>
        <v/>
      </c>
      <c r="J38" s="381">
        <f>IF(MONTH(DATE($D$4,5,1)-WEEKDAY(DATE($D$4,5,1),2)+1+28)&lt;&gt;5,"",DATE($D$4,5,1)-WEEKDAY(DATE($D$4,5,1),2)+1+28)</f>
        <v/>
      </c>
      <c r="K38" s="381">
        <f>IF(MONTH(DATE($D$4,5,1)-WEEKDAY(DATE($D$4,5,1),2)+1+29)&lt;&gt;5,"",DATE($D$4,5,1)-WEEKDAY(DATE($D$4,5,1),2)+1+29)</f>
        <v/>
      </c>
      <c r="L38" s="381">
        <f>IF(MONTH(DATE($D$4,5,1)-WEEKDAY(DATE($D$4,5,1),2)+1+30)&lt;&gt;5,"",DATE($D$4,5,1)-WEEKDAY(DATE($D$4,5,1),2)+1+30)</f>
        <v/>
      </c>
      <c r="M38" s="381">
        <f>IF(MONTH(DATE($D$4,5,1)-WEEKDAY(DATE($D$4,5,1),2)+1+31)&lt;&gt;5,"",DATE($D$4,5,1)-WEEKDAY(DATE($D$4,5,1),2)+1+31)</f>
        <v/>
      </c>
      <c r="N38" s="381">
        <f>IF(MONTH(DATE($D$4,5,1)-WEEKDAY(DATE($D$4,5,1),2)+1+32)&lt;&gt;5,"",DATE($D$4,5,1)-WEEKDAY(DATE($D$4,5,1),2)+1+32)</f>
        <v/>
      </c>
      <c r="O38" s="382">
        <f>IF(MONTH(DATE($D$4,5,1)-WEEKDAY(DATE($D$4,5,1),2)+1+33)&lt;&gt;5,"",DATE($D$4,5,1)-WEEKDAY(DATE($D$4,5,1),2)+1+33)</f>
        <v/>
      </c>
      <c r="P38" s="382">
        <f>IF(MONTH(DATE($D$4,5,1)-WEEKDAY(DATE($D$4,5,1),2)+1+34)&lt;&gt;5,"",DATE($D$4,5,1)-WEEKDAY(DATE($D$4,5,1),2)+1+34)</f>
        <v/>
      </c>
      <c r="R38" s="381">
        <f>IF(MONTH(DATE($D$4,6,1)-WEEKDAY(DATE($D$4,6,1),2)+1+28)&lt;&gt;6,"",DATE($D$4,6,1)-WEEKDAY(DATE($D$4,6,1),2)+1+28)</f>
        <v/>
      </c>
      <c r="S38" s="381">
        <f>IF(MONTH(DATE($D$4,6,1)-WEEKDAY(DATE($D$4,6,1),2)+1+29)&lt;&gt;6,"",DATE($D$4,6,1)-WEEKDAY(DATE($D$4,6,1),2)+1+29)</f>
        <v/>
      </c>
      <c r="T38" s="381">
        <f>IF(MONTH(DATE($D$4,6,1)-WEEKDAY(DATE($D$4,6,1),2)+1+30)&lt;&gt;6,"",DATE($D$4,6,1)-WEEKDAY(DATE($D$4,6,1),2)+1+30)</f>
        <v/>
      </c>
      <c r="U38" s="381">
        <f>IF(MONTH(DATE($D$4,6,1)-WEEKDAY(DATE($D$4,6,1),2)+1+31)&lt;&gt;6,"",DATE($D$4,6,1)-WEEKDAY(DATE($D$4,6,1),2)+1+31)</f>
        <v/>
      </c>
      <c r="V38" s="381">
        <f>IF(MONTH(DATE($D$4,6,1)-WEEKDAY(DATE($D$4,6,1),2)+1+32)&lt;&gt;6,"",DATE($D$4,6,1)-WEEKDAY(DATE($D$4,6,1),2)+1+32)</f>
        <v/>
      </c>
      <c r="W38" s="382">
        <f>IF(MONTH(DATE($D$4,6,1)-WEEKDAY(DATE($D$4,6,1),2)+1+33)&lt;&gt;6,"",DATE($D$4,6,1)-WEEKDAY(DATE($D$4,6,1),2)+1+33)</f>
        <v/>
      </c>
      <c r="X38" s="382">
        <f>IF(MONTH(DATE($D$4,6,1)-WEEKDAY(DATE($D$4,6,1),2)+1+34)&lt;&gt;6,"",DATE($D$4,6,1)-WEEKDAY(DATE($D$4,6,1),2)+1+34)</f>
        <v/>
      </c>
    </row>
    <row r="39" ht="18" customHeight="1" s="311">
      <c r="B39" s="381">
        <f>IF(MONTH(DATE($D$4,4,1)-WEEKDAY(DATE($D$4,4,1),2)+1+35)&lt;&gt;4,"",DATE($D$4,4,1)-WEEKDAY(DATE($D$4,4,1),2)+1+35)</f>
        <v/>
      </c>
      <c r="C39" s="381">
        <f>IF(MONTH(DATE($D$4,4,1)-WEEKDAY(DATE($D$4,4,1),2)+1+36)&lt;&gt;4,"",DATE($D$4,4,1)-WEEKDAY(DATE($D$4,4,1),2)+1+36)</f>
        <v/>
      </c>
      <c r="D39" s="381">
        <f>IF(MONTH(DATE($D$4,4,1)-WEEKDAY(DATE($D$4,4,1),2)+1+37)&lt;&gt;4,"",DATE($D$4,4,1)-WEEKDAY(DATE($D$4,4,1),2)+1+37)</f>
        <v/>
      </c>
      <c r="E39" s="381">
        <f>IF(MONTH(DATE($D$4,4,1)-WEEKDAY(DATE($D$4,4,1),2)+1+38)&lt;&gt;4,"",DATE($D$4,4,1)-WEEKDAY(DATE($D$4,4,1),2)+1+38)</f>
        <v/>
      </c>
      <c r="F39" s="381">
        <f>IF(MONTH(DATE($D$4,4,1)-WEEKDAY(DATE($D$4,4,1),2)+1+39)&lt;&gt;4,"",DATE($D$4,4,1)-WEEKDAY(DATE($D$4,4,1),2)+1+39)</f>
        <v/>
      </c>
      <c r="G39" s="382">
        <f>IF(MONTH(DATE($D$4,4,1)-WEEKDAY(DATE($D$4,4,1),2)+1+40)&lt;&gt;4,"",DATE($D$4,4,1)-WEEKDAY(DATE($D$4,4,1),2)+1+40)</f>
        <v/>
      </c>
      <c r="H39" s="382">
        <f>IF(MONTH(DATE($D$4,4,1)-WEEKDAY(DATE($D$4,4,1),2)+1+41)&lt;&gt;4,"",DATE($D$4,4,1)-WEEKDAY(DATE($D$4,4,1),2)+1+41)</f>
        <v/>
      </c>
      <c r="J39" s="381">
        <f>IF(MONTH(DATE($D$4,5,1)-WEEKDAY(DATE($D$4,5,1),2)+1+35)&lt;&gt;5,"",DATE($D$4,5,1)-WEEKDAY(DATE($D$4,5,1),2)+1+35)</f>
        <v/>
      </c>
      <c r="K39" s="381">
        <f>IF(MONTH(DATE($D$4,5,1)-WEEKDAY(DATE($D$4,5,1),2)+1+36)&lt;&gt;5,"",DATE($D$4,5,1)-WEEKDAY(DATE($D$4,5,1),2)+1+36)</f>
        <v/>
      </c>
      <c r="L39" s="381">
        <f>IF(MONTH(DATE($D$4,5,1)-WEEKDAY(DATE($D$4,5,1),2)+1+37)&lt;&gt;5,"",DATE($D$4,5,1)-WEEKDAY(DATE($D$4,5,1),2)+1+37)</f>
        <v/>
      </c>
      <c r="M39" s="381">
        <f>IF(MONTH(DATE($D$4,5,1)-WEEKDAY(DATE($D$4,5,1),2)+1+38)&lt;&gt;5,"",DATE($D$4,5,1)-WEEKDAY(DATE($D$4,5,1),2)+1+38)</f>
        <v/>
      </c>
      <c r="N39" s="381">
        <f>IF(MONTH(DATE($D$4,5,1)-WEEKDAY(DATE($D$4,5,1),2)+1+39)&lt;&gt;5,"",DATE($D$4,5,1)-WEEKDAY(DATE($D$4,5,1),2)+1+39)</f>
        <v/>
      </c>
      <c r="O39" s="382">
        <f>IF(MONTH(DATE($D$4,5,1)-WEEKDAY(DATE($D$4,5,1),2)+1+40)&lt;&gt;5,"",DATE($D$4,5,1)-WEEKDAY(DATE($D$4,5,1),2)+1+40)</f>
        <v/>
      </c>
      <c r="P39" s="382">
        <f>IF(MONTH(DATE($D$4,5,1)-WEEKDAY(DATE($D$4,5,1),2)+1+41)&lt;&gt;5,"",DATE($D$4,5,1)-WEEKDAY(DATE($D$4,5,1),2)+1+41)</f>
        <v/>
      </c>
      <c r="R39" s="381">
        <f>IF(MONTH(DATE($D$4,6,1)-WEEKDAY(DATE($D$4,6,1),2)+1+35)&lt;&gt;6,"",DATE($D$4,6,1)-WEEKDAY(DATE($D$4,6,1),2)+1+35)</f>
        <v/>
      </c>
      <c r="S39" s="381">
        <f>IF(MONTH(DATE($D$4,6,1)-WEEKDAY(DATE($D$4,6,1),2)+1+36)&lt;&gt;6,"",DATE($D$4,6,1)-WEEKDAY(DATE($D$4,6,1),2)+1+36)</f>
        <v/>
      </c>
      <c r="T39" s="381">
        <f>IF(MONTH(DATE($D$4,6,1)-WEEKDAY(DATE($D$4,6,1),2)+1+37)&lt;&gt;6,"",DATE($D$4,6,1)-WEEKDAY(DATE($D$4,6,1),2)+1+37)</f>
        <v/>
      </c>
      <c r="U39" s="381">
        <f>IF(MONTH(DATE($D$4,6,1)-WEEKDAY(DATE($D$4,6,1),2)+1+38)&lt;&gt;6,"",DATE($D$4,6,1)-WEEKDAY(DATE($D$4,6,1),2)+1+38)</f>
        <v/>
      </c>
      <c r="V39" s="381">
        <f>IF(MONTH(DATE($D$4,6,1)-WEEKDAY(DATE($D$4,6,1),2)+1+39)&lt;&gt;6,"",DATE($D$4,6,1)-WEEKDAY(DATE($D$4,6,1),2)+1+39)</f>
        <v/>
      </c>
      <c r="W39" s="382">
        <f>IF(MONTH(DATE($D$4,6,1)-WEEKDAY(DATE($D$4,6,1),2)+1+40)&lt;&gt;6,"",DATE($D$4,6,1)-WEEKDAY(DATE($D$4,6,1),2)+1+40)</f>
        <v/>
      </c>
      <c r="X39" s="382">
        <f>IF(MONTH(DATE($D$4,6,1)-WEEKDAY(DATE($D$4,6,1),2)+1+41)&lt;&gt;6,"",DATE($D$4,6,1)-WEEKDAY(DATE($D$4,6,1),2)+1+41)</f>
        <v/>
      </c>
    </row>
    <row r="41" ht="19" customHeight="1" s="311">
      <c r="B41" s="379">
        <f>"JULIO  "&amp;$D$4</f>
        <v/>
      </c>
      <c r="C41" s="372" t="n"/>
      <c r="D41" s="372" t="n"/>
      <c r="E41" s="372" t="n"/>
      <c r="F41" s="372" t="n"/>
      <c r="G41" s="380">
        <f>IF(COUNTIFS($B$62:$B$211,"&gt;="&amp;DATE($D$4,7,1),$B$62:$B$211,"&lt;="&amp;EOMONTH(DATE($D$4,7,1),0),$V$62:$V$211,"&lt;&gt;4 · Cancelada")=1,"1 cita",COUNTIFS($B$62:$B$211,"&gt;="&amp;DATE($D$4,7,1),$B$62:$B$211,"&lt;="&amp;EOMONTH(DATE($D$4,7,1),0),$V$62:$V$211,"&lt;&gt;4 · Cancelada")&amp;" citas")</f>
        <v/>
      </c>
      <c r="H41" s="372" t="n"/>
      <c r="J41" s="379">
        <f>"AGOSTO  "&amp;$D$4</f>
        <v/>
      </c>
      <c r="K41" s="372" t="n"/>
      <c r="L41" s="372" t="n"/>
      <c r="M41" s="372" t="n"/>
      <c r="N41" s="372" t="n"/>
      <c r="O41" s="380">
        <f>IF(COUNTIFS($B$62:$B$211,"&gt;="&amp;DATE($D$4,8,1),$B$62:$B$211,"&lt;="&amp;EOMONTH(DATE($D$4,8,1),0),$V$62:$V$211,"&lt;&gt;4 · Cancelada")=1,"1 cita",COUNTIFS($B$62:$B$211,"&gt;="&amp;DATE($D$4,8,1),$B$62:$B$211,"&lt;="&amp;EOMONTH(DATE($D$4,8,1),0),$V$62:$V$211,"&lt;&gt;4 · Cancelada")&amp;" citas")</f>
        <v/>
      </c>
      <c r="P41" s="372" t="n"/>
      <c r="R41" s="379">
        <f>"SEPTIEMBRE  "&amp;$D$4</f>
        <v/>
      </c>
      <c r="S41" s="372" t="n"/>
      <c r="T41" s="372" t="n"/>
      <c r="U41" s="372" t="n"/>
      <c r="V41" s="372" t="n"/>
      <c r="W41" s="380">
        <f>IF(COUNTIFS($B$62:$B$211,"&gt;="&amp;DATE($D$4,9,1),$B$62:$B$211,"&lt;="&amp;EOMONTH(DATE($D$4,9,1),0),$V$62:$V$211,"&lt;&gt;4 · Cancelada")=1,"1 cita",COUNTIFS($B$62:$B$211,"&gt;="&amp;DATE($D$4,9,1),$B$62:$B$211,"&lt;="&amp;EOMONTH(DATE($D$4,9,1),0),$V$62:$V$211,"&lt;&gt;4 · Cancelada")&amp;" citas")</f>
        <v/>
      </c>
      <c r="X41" s="372" t="n"/>
    </row>
    <row r="42" ht="15" customHeight="1" s="311">
      <c r="B42" s="358" t="inlineStr">
        <is>
          <t>L</t>
        </is>
      </c>
      <c r="C42" s="358" t="inlineStr">
        <is>
          <t>M</t>
        </is>
      </c>
      <c r="D42" s="358" t="inlineStr">
        <is>
          <t>X</t>
        </is>
      </c>
      <c r="E42" s="358" t="inlineStr">
        <is>
          <t>J</t>
        </is>
      </c>
      <c r="F42" s="358" t="inlineStr">
        <is>
          <t>V</t>
        </is>
      </c>
      <c r="G42" s="358" t="inlineStr">
        <is>
          <t>S</t>
        </is>
      </c>
      <c r="H42" s="358" t="inlineStr">
        <is>
          <t>D</t>
        </is>
      </c>
      <c r="J42" s="358" t="inlineStr">
        <is>
          <t>L</t>
        </is>
      </c>
      <c r="K42" s="358" t="inlineStr">
        <is>
          <t>M</t>
        </is>
      </c>
      <c r="L42" s="358" t="inlineStr">
        <is>
          <t>X</t>
        </is>
      </c>
      <c r="M42" s="358" t="inlineStr">
        <is>
          <t>J</t>
        </is>
      </c>
      <c r="N42" s="358" t="inlineStr">
        <is>
          <t>V</t>
        </is>
      </c>
      <c r="O42" s="358" t="inlineStr">
        <is>
          <t>S</t>
        </is>
      </c>
      <c r="P42" s="358" t="inlineStr">
        <is>
          <t>D</t>
        </is>
      </c>
      <c r="R42" s="358" t="inlineStr">
        <is>
          <t>L</t>
        </is>
      </c>
      <c r="S42" s="358" t="inlineStr">
        <is>
          <t>M</t>
        </is>
      </c>
      <c r="T42" s="358" t="inlineStr">
        <is>
          <t>X</t>
        </is>
      </c>
      <c r="U42" s="358" t="inlineStr">
        <is>
          <t>J</t>
        </is>
      </c>
      <c r="V42" s="358" t="inlineStr">
        <is>
          <t>V</t>
        </is>
      </c>
      <c r="W42" s="358" t="inlineStr">
        <is>
          <t>S</t>
        </is>
      </c>
      <c r="X42" s="358" t="inlineStr">
        <is>
          <t>D</t>
        </is>
      </c>
    </row>
    <row r="43" ht="18" customHeight="1" s="311">
      <c r="B43" s="381">
        <f>IF(MONTH(DATE($D$4,7,1)-WEEKDAY(DATE($D$4,7,1),2)+1+0)&lt;&gt;7,"",DATE($D$4,7,1)-WEEKDAY(DATE($D$4,7,1),2)+1+0)</f>
        <v/>
      </c>
      <c r="C43" s="381">
        <f>IF(MONTH(DATE($D$4,7,1)-WEEKDAY(DATE($D$4,7,1),2)+1+1)&lt;&gt;7,"",DATE($D$4,7,1)-WEEKDAY(DATE($D$4,7,1),2)+1+1)</f>
        <v/>
      </c>
      <c r="D43" s="381">
        <f>IF(MONTH(DATE($D$4,7,1)-WEEKDAY(DATE($D$4,7,1),2)+1+2)&lt;&gt;7,"",DATE($D$4,7,1)-WEEKDAY(DATE($D$4,7,1),2)+1+2)</f>
        <v/>
      </c>
      <c r="E43" s="381">
        <f>IF(MONTH(DATE($D$4,7,1)-WEEKDAY(DATE($D$4,7,1),2)+1+3)&lt;&gt;7,"",DATE($D$4,7,1)-WEEKDAY(DATE($D$4,7,1),2)+1+3)</f>
        <v/>
      </c>
      <c r="F43" s="381">
        <f>IF(MONTH(DATE($D$4,7,1)-WEEKDAY(DATE($D$4,7,1),2)+1+4)&lt;&gt;7,"",DATE($D$4,7,1)-WEEKDAY(DATE($D$4,7,1),2)+1+4)</f>
        <v/>
      </c>
      <c r="G43" s="382">
        <f>IF(MONTH(DATE($D$4,7,1)-WEEKDAY(DATE($D$4,7,1),2)+1+5)&lt;&gt;7,"",DATE($D$4,7,1)-WEEKDAY(DATE($D$4,7,1),2)+1+5)</f>
        <v/>
      </c>
      <c r="H43" s="382">
        <f>IF(MONTH(DATE($D$4,7,1)-WEEKDAY(DATE($D$4,7,1),2)+1+6)&lt;&gt;7,"",DATE($D$4,7,1)-WEEKDAY(DATE($D$4,7,1),2)+1+6)</f>
        <v/>
      </c>
      <c r="J43" s="381">
        <f>IF(MONTH(DATE($D$4,8,1)-WEEKDAY(DATE($D$4,8,1),2)+1+0)&lt;&gt;8,"",DATE($D$4,8,1)-WEEKDAY(DATE($D$4,8,1),2)+1+0)</f>
        <v/>
      </c>
      <c r="K43" s="381">
        <f>IF(MONTH(DATE($D$4,8,1)-WEEKDAY(DATE($D$4,8,1),2)+1+1)&lt;&gt;8,"",DATE($D$4,8,1)-WEEKDAY(DATE($D$4,8,1),2)+1+1)</f>
        <v/>
      </c>
      <c r="L43" s="381">
        <f>IF(MONTH(DATE($D$4,8,1)-WEEKDAY(DATE($D$4,8,1),2)+1+2)&lt;&gt;8,"",DATE($D$4,8,1)-WEEKDAY(DATE($D$4,8,1),2)+1+2)</f>
        <v/>
      </c>
      <c r="M43" s="381">
        <f>IF(MONTH(DATE($D$4,8,1)-WEEKDAY(DATE($D$4,8,1),2)+1+3)&lt;&gt;8,"",DATE($D$4,8,1)-WEEKDAY(DATE($D$4,8,1),2)+1+3)</f>
        <v/>
      </c>
      <c r="N43" s="381">
        <f>IF(MONTH(DATE($D$4,8,1)-WEEKDAY(DATE($D$4,8,1),2)+1+4)&lt;&gt;8,"",DATE($D$4,8,1)-WEEKDAY(DATE($D$4,8,1),2)+1+4)</f>
        <v/>
      </c>
      <c r="O43" s="382">
        <f>IF(MONTH(DATE($D$4,8,1)-WEEKDAY(DATE($D$4,8,1),2)+1+5)&lt;&gt;8,"",DATE($D$4,8,1)-WEEKDAY(DATE($D$4,8,1),2)+1+5)</f>
        <v/>
      </c>
      <c r="P43" s="382">
        <f>IF(MONTH(DATE($D$4,8,1)-WEEKDAY(DATE($D$4,8,1),2)+1+6)&lt;&gt;8,"",DATE($D$4,8,1)-WEEKDAY(DATE($D$4,8,1),2)+1+6)</f>
        <v/>
      </c>
      <c r="R43" s="381">
        <f>IF(MONTH(DATE($D$4,9,1)-WEEKDAY(DATE($D$4,9,1),2)+1+0)&lt;&gt;9,"",DATE($D$4,9,1)-WEEKDAY(DATE($D$4,9,1),2)+1+0)</f>
        <v/>
      </c>
      <c r="S43" s="381">
        <f>IF(MONTH(DATE($D$4,9,1)-WEEKDAY(DATE($D$4,9,1),2)+1+1)&lt;&gt;9,"",DATE($D$4,9,1)-WEEKDAY(DATE($D$4,9,1),2)+1+1)</f>
        <v/>
      </c>
      <c r="T43" s="381">
        <f>IF(MONTH(DATE($D$4,9,1)-WEEKDAY(DATE($D$4,9,1),2)+1+2)&lt;&gt;9,"",DATE($D$4,9,1)-WEEKDAY(DATE($D$4,9,1),2)+1+2)</f>
        <v/>
      </c>
      <c r="U43" s="381">
        <f>IF(MONTH(DATE($D$4,9,1)-WEEKDAY(DATE($D$4,9,1),2)+1+3)&lt;&gt;9,"",DATE($D$4,9,1)-WEEKDAY(DATE($D$4,9,1),2)+1+3)</f>
        <v/>
      </c>
      <c r="V43" s="381">
        <f>IF(MONTH(DATE($D$4,9,1)-WEEKDAY(DATE($D$4,9,1),2)+1+4)&lt;&gt;9,"",DATE($D$4,9,1)-WEEKDAY(DATE($D$4,9,1),2)+1+4)</f>
        <v/>
      </c>
      <c r="W43" s="382">
        <f>IF(MONTH(DATE($D$4,9,1)-WEEKDAY(DATE($D$4,9,1),2)+1+5)&lt;&gt;9,"",DATE($D$4,9,1)-WEEKDAY(DATE($D$4,9,1),2)+1+5)</f>
        <v/>
      </c>
      <c r="X43" s="382">
        <f>IF(MONTH(DATE($D$4,9,1)-WEEKDAY(DATE($D$4,9,1),2)+1+6)&lt;&gt;9,"",DATE($D$4,9,1)-WEEKDAY(DATE($D$4,9,1),2)+1+6)</f>
        <v/>
      </c>
    </row>
    <row r="44" ht="18" customHeight="1" s="311">
      <c r="B44" s="381">
        <f>IF(MONTH(DATE($D$4,7,1)-WEEKDAY(DATE($D$4,7,1),2)+1+7)&lt;&gt;7,"",DATE($D$4,7,1)-WEEKDAY(DATE($D$4,7,1),2)+1+7)</f>
        <v/>
      </c>
      <c r="C44" s="381">
        <f>IF(MONTH(DATE($D$4,7,1)-WEEKDAY(DATE($D$4,7,1),2)+1+8)&lt;&gt;7,"",DATE($D$4,7,1)-WEEKDAY(DATE($D$4,7,1),2)+1+8)</f>
        <v/>
      </c>
      <c r="D44" s="381">
        <f>IF(MONTH(DATE($D$4,7,1)-WEEKDAY(DATE($D$4,7,1),2)+1+9)&lt;&gt;7,"",DATE($D$4,7,1)-WEEKDAY(DATE($D$4,7,1),2)+1+9)</f>
        <v/>
      </c>
      <c r="E44" s="381">
        <f>IF(MONTH(DATE($D$4,7,1)-WEEKDAY(DATE($D$4,7,1),2)+1+10)&lt;&gt;7,"",DATE($D$4,7,1)-WEEKDAY(DATE($D$4,7,1),2)+1+10)</f>
        <v/>
      </c>
      <c r="F44" s="381">
        <f>IF(MONTH(DATE($D$4,7,1)-WEEKDAY(DATE($D$4,7,1),2)+1+11)&lt;&gt;7,"",DATE($D$4,7,1)-WEEKDAY(DATE($D$4,7,1),2)+1+11)</f>
        <v/>
      </c>
      <c r="G44" s="382">
        <f>IF(MONTH(DATE($D$4,7,1)-WEEKDAY(DATE($D$4,7,1),2)+1+12)&lt;&gt;7,"",DATE($D$4,7,1)-WEEKDAY(DATE($D$4,7,1),2)+1+12)</f>
        <v/>
      </c>
      <c r="H44" s="382">
        <f>IF(MONTH(DATE($D$4,7,1)-WEEKDAY(DATE($D$4,7,1),2)+1+13)&lt;&gt;7,"",DATE($D$4,7,1)-WEEKDAY(DATE($D$4,7,1),2)+1+13)</f>
        <v/>
      </c>
      <c r="J44" s="381">
        <f>IF(MONTH(DATE($D$4,8,1)-WEEKDAY(DATE($D$4,8,1),2)+1+7)&lt;&gt;8,"",DATE($D$4,8,1)-WEEKDAY(DATE($D$4,8,1),2)+1+7)</f>
        <v/>
      </c>
      <c r="K44" s="381">
        <f>IF(MONTH(DATE($D$4,8,1)-WEEKDAY(DATE($D$4,8,1),2)+1+8)&lt;&gt;8,"",DATE($D$4,8,1)-WEEKDAY(DATE($D$4,8,1),2)+1+8)</f>
        <v/>
      </c>
      <c r="L44" s="381">
        <f>IF(MONTH(DATE($D$4,8,1)-WEEKDAY(DATE($D$4,8,1),2)+1+9)&lt;&gt;8,"",DATE($D$4,8,1)-WEEKDAY(DATE($D$4,8,1),2)+1+9)</f>
        <v/>
      </c>
      <c r="M44" s="381">
        <f>IF(MONTH(DATE($D$4,8,1)-WEEKDAY(DATE($D$4,8,1),2)+1+10)&lt;&gt;8,"",DATE($D$4,8,1)-WEEKDAY(DATE($D$4,8,1),2)+1+10)</f>
        <v/>
      </c>
      <c r="N44" s="381">
        <f>IF(MONTH(DATE($D$4,8,1)-WEEKDAY(DATE($D$4,8,1),2)+1+11)&lt;&gt;8,"",DATE($D$4,8,1)-WEEKDAY(DATE($D$4,8,1),2)+1+11)</f>
        <v/>
      </c>
      <c r="O44" s="382">
        <f>IF(MONTH(DATE($D$4,8,1)-WEEKDAY(DATE($D$4,8,1),2)+1+12)&lt;&gt;8,"",DATE($D$4,8,1)-WEEKDAY(DATE($D$4,8,1),2)+1+12)</f>
        <v/>
      </c>
      <c r="P44" s="382">
        <f>IF(MONTH(DATE($D$4,8,1)-WEEKDAY(DATE($D$4,8,1),2)+1+13)&lt;&gt;8,"",DATE($D$4,8,1)-WEEKDAY(DATE($D$4,8,1),2)+1+13)</f>
        <v/>
      </c>
      <c r="R44" s="381">
        <f>IF(MONTH(DATE($D$4,9,1)-WEEKDAY(DATE($D$4,9,1),2)+1+7)&lt;&gt;9,"",DATE($D$4,9,1)-WEEKDAY(DATE($D$4,9,1),2)+1+7)</f>
        <v/>
      </c>
      <c r="S44" s="381">
        <f>IF(MONTH(DATE($D$4,9,1)-WEEKDAY(DATE($D$4,9,1),2)+1+8)&lt;&gt;9,"",DATE($D$4,9,1)-WEEKDAY(DATE($D$4,9,1),2)+1+8)</f>
        <v/>
      </c>
      <c r="T44" s="381">
        <f>IF(MONTH(DATE($D$4,9,1)-WEEKDAY(DATE($D$4,9,1),2)+1+9)&lt;&gt;9,"",DATE($D$4,9,1)-WEEKDAY(DATE($D$4,9,1),2)+1+9)</f>
        <v/>
      </c>
      <c r="U44" s="381">
        <f>IF(MONTH(DATE($D$4,9,1)-WEEKDAY(DATE($D$4,9,1),2)+1+10)&lt;&gt;9,"",DATE($D$4,9,1)-WEEKDAY(DATE($D$4,9,1),2)+1+10)</f>
        <v/>
      </c>
      <c r="V44" s="381">
        <f>IF(MONTH(DATE($D$4,9,1)-WEEKDAY(DATE($D$4,9,1),2)+1+11)&lt;&gt;9,"",DATE($D$4,9,1)-WEEKDAY(DATE($D$4,9,1),2)+1+11)</f>
        <v/>
      </c>
      <c r="W44" s="382">
        <f>IF(MONTH(DATE($D$4,9,1)-WEEKDAY(DATE($D$4,9,1),2)+1+12)&lt;&gt;9,"",DATE($D$4,9,1)-WEEKDAY(DATE($D$4,9,1),2)+1+12)</f>
        <v/>
      </c>
      <c r="X44" s="382">
        <f>IF(MONTH(DATE($D$4,9,1)-WEEKDAY(DATE($D$4,9,1),2)+1+13)&lt;&gt;9,"",DATE($D$4,9,1)-WEEKDAY(DATE($D$4,9,1),2)+1+13)</f>
        <v/>
      </c>
    </row>
    <row r="45" ht="18" customHeight="1" s="311">
      <c r="B45" s="381">
        <f>IF(MONTH(DATE($D$4,7,1)-WEEKDAY(DATE($D$4,7,1),2)+1+14)&lt;&gt;7,"",DATE($D$4,7,1)-WEEKDAY(DATE($D$4,7,1),2)+1+14)</f>
        <v/>
      </c>
      <c r="C45" s="381">
        <f>IF(MONTH(DATE($D$4,7,1)-WEEKDAY(DATE($D$4,7,1),2)+1+15)&lt;&gt;7,"",DATE($D$4,7,1)-WEEKDAY(DATE($D$4,7,1),2)+1+15)</f>
        <v/>
      </c>
      <c r="D45" s="381">
        <f>IF(MONTH(DATE($D$4,7,1)-WEEKDAY(DATE($D$4,7,1),2)+1+16)&lt;&gt;7,"",DATE($D$4,7,1)-WEEKDAY(DATE($D$4,7,1),2)+1+16)</f>
        <v/>
      </c>
      <c r="E45" s="381">
        <f>IF(MONTH(DATE($D$4,7,1)-WEEKDAY(DATE($D$4,7,1),2)+1+17)&lt;&gt;7,"",DATE($D$4,7,1)-WEEKDAY(DATE($D$4,7,1),2)+1+17)</f>
        <v/>
      </c>
      <c r="F45" s="381">
        <f>IF(MONTH(DATE($D$4,7,1)-WEEKDAY(DATE($D$4,7,1),2)+1+18)&lt;&gt;7,"",DATE($D$4,7,1)-WEEKDAY(DATE($D$4,7,1),2)+1+18)</f>
        <v/>
      </c>
      <c r="G45" s="382">
        <f>IF(MONTH(DATE($D$4,7,1)-WEEKDAY(DATE($D$4,7,1),2)+1+19)&lt;&gt;7,"",DATE($D$4,7,1)-WEEKDAY(DATE($D$4,7,1),2)+1+19)</f>
        <v/>
      </c>
      <c r="H45" s="382">
        <f>IF(MONTH(DATE($D$4,7,1)-WEEKDAY(DATE($D$4,7,1),2)+1+20)&lt;&gt;7,"",DATE($D$4,7,1)-WEEKDAY(DATE($D$4,7,1),2)+1+20)</f>
        <v/>
      </c>
      <c r="J45" s="381">
        <f>IF(MONTH(DATE($D$4,8,1)-WEEKDAY(DATE($D$4,8,1),2)+1+14)&lt;&gt;8,"",DATE($D$4,8,1)-WEEKDAY(DATE($D$4,8,1),2)+1+14)</f>
        <v/>
      </c>
      <c r="K45" s="381">
        <f>IF(MONTH(DATE($D$4,8,1)-WEEKDAY(DATE($D$4,8,1),2)+1+15)&lt;&gt;8,"",DATE($D$4,8,1)-WEEKDAY(DATE($D$4,8,1),2)+1+15)</f>
        <v/>
      </c>
      <c r="L45" s="381">
        <f>IF(MONTH(DATE($D$4,8,1)-WEEKDAY(DATE($D$4,8,1),2)+1+16)&lt;&gt;8,"",DATE($D$4,8,1)-WEEKDAY(DATE($D$4,8,1),2)+1+16)</f>
        <v/>
      </c>
      <c r="M45" s="381">
        <f>IF(MONTH(DATE($D$4,8,1)-WEEKDAY(DATE($D$4,8,1),2)+1+17)&lt;&gt;8,"",DATE($D$4,8,1)-WEEKDAY(DATE($D$4,8,1),2)+1+17)</f>
        <v/>
      </c>
      <c r="N45" s="381">
        <f>IF(MONTH(DATE($D$4,8,1)-WEEKDAY(DATE($D$4,8,1),2)+1+18)&lt;&gt;8,"",DATE($D$4,8,1)-WEEKDAY(DATE($D$4,8,1),2)+1+18)</f>
        <v/>
      </c>
      <c r="O45" s="382">
        <f>IF(MONTH(DATE($D$4,8,1)-WEEKDAY(DATE($D$4,8,1),2)+1+19)&lt;&gt;8,"",DATE($D$4,8,1)-WEEKDAY(DATE($D$4,8,1),2)+1+19)</f>
        <v/>
      </c>
      <c r="P45" s="382">
        <f>IF(MONTH(DATE($D$4,8,1)-WEEKDAY(DATE($D$4,8,1),2)+1+20)&lt;&gt;8,"",DATE($D$4,8,1)-WEEKDAY(DATE($D$4,8,1),2)+1+20)</f>
        <v/>
      </c>
      <c r="R45" s="381">
        <f>IF(MONTH(DATE($D$4,9,1)-WEEKDAY(DATE($D$4,9,1),2)+1+14)&lt;&gt;9,"",DATE($D$4,9,1)-WEEKDAY(DATE($D$4,9,1),2)+1+14)</f>
        <v/>
      </c>
      <c r="S45" s="381">
        <f>IF(MONTH(DATE($D$4,9,1)-WEEKDAY(DATE($D$4,9,1),2)+1+15)&lt;&gt;9,"",DATE($D$4,9,1)-WEEKDAY(DATE($D$4,9,1),2)+1+15)</f>
        <v/>
      </c>
      <c r="T45" s="381">
        <f>IF(MONTH(DATE($D$4,9,1)-WEEKDAY(DATE($D$4,9,1),2)+1+16)&lt;&gt;9,"",DATE($D$4,9,1)-WEEKDAY(DATE($D$4,9,1),2)+1+16)</f>
        <v/>
      </c>
      <c r="U45" s="381">
        <f>IF(MONTH(DATE($D$4,9,1)-WEEKDAY(DATE($D$4,9,1),2)+1+17)&lt;&gt;9,"",DATE($D$4,9,1)-WEEKDAY(DATE($D$4,9,1),2)+1+17)</f>
        <v/>
      </c>
      <c r="V45" s="381">
        <f>IF(MONTH(DATE($D$4,9,1)-WEEKDAY(DATE($D$4,9,1),2)+1+18)&lt;&gt;9,"",DATE($D$4,9,1)-WEEKDAY(DATE($D$4,9,1),2)+1+18)</f>
        <v/>
      </c>
      <c r="W45" s="382">
        <f>IF(MONTH(DATE($D$4,9,1)-WEEKDAY(DATE($D$4,9,1),2)+1+19)&lt;&gt;9,"",DATE($D$4,9,1)-WEEKDAY(DATE($D$4,9,1),2)+1+19)</f>
        <v/>
      </c>
      <c r="X45" s="382">
        <f>IF(MONTH(DATE($D$4,9,1)-WEEKDAY(DATE($D$4,9,1),2)+1+20)&lt;&gt;9,"",DATE($D$4,9,1)-WEEKDAY(DATE($D$4,9,1),2)+1+20)</f>
        <v/>
      </c>
    </row>
    <row r="46" ht="18" customHeight="1" s="311">
      <c r="B46" s="381">
        <f>IF(MONTH(DATE($D$4,7,1)-WEEKDAY(DATE($D$4,7,1),2)+1+21)&lt;&gt;7,"",DATE($D$4,7,1)-WEEKDAY(DATE($D$4,7,1),2)+1+21)</f>
        <v/>
      </c>
      <c r="C46" s="381">
        <f>IF(MONTH(DATE($D$4,7,1)-WEEKDAY(DATE($D$4,7,1),2)+1+22)&lt;&gt;7,"",DATE($D$4,7,1)-WEEKDAY(DATE($D$4,7,1),2)+1+22)</f>
        <v/>
      </c>
      <c r="D46" s="381">
        <f>IF(MONTH(DATE($D$4,7,1)-WEEKDAY(DATE($D$4,7,1),2)+1+23)&lt;&gt;7,"",DATE($D$4,7,1)-WEEKDAY(DATE($D$4,7,1),2)+1+23)</f>
        <v/>
      </c>
      <c r="E46" s="381">
        <f>IF(MONTH(DATE($D$4,7,1)-WEEKDAY(DATE($D$4,7,1),2)+1+24)&lt;&gt;7,"",DATE($D$4,7,1)-WEEKDAY(DATE($D$4,7,1),2)+1+24)</f>
        <v/>
      </c>
      <c r="F46" s="381">
        <f>IF(MONTH(DATE($D$4,7,1)-WEEKDAY(DATE($D$4,7,1),2)+1+25)&lt;&gt;7,"",DATE($D$4,7,1)-WEEKDAY(DATE($D$4,7,1),2)+1+25)</f>
        <v/>
      </c>
      <c r="G46" s="382">
        <f>IF(MONTH(DATE($D$4,7,1)-WEEKDAY(DATE($D$4,7,1),2)+1+26)&lt;&gt;7,"",DATE($D$4,7,1)-WEEKDAY(DATE($D$4,7,1),2)+1+26)</f>
        <v/>
      </c>
      <c r="H46" s="382">
        <f>IF(MONTH(DATE($D$4,7,1)-WEEKDAY(DATE($D$4,7,1),2)+1+27)&lt;&gt;7,"",DATE($D$4,7,1)-WEEKDAY(DATE($D$4,7,1),2)+1+27)</f>
        <v/>
      </c>
      <c r="J46" s="381">
        <f>IF(MONTH(DATE($D$4,8,1)-WEEKDAY(DATE($D$4,8,1),2)+1+21)&lt;&gt;8,"",DATE($D$4,8,1)-WEEKDAY(DATE($D$4,8,1),2)+1+21)</f>
        <v/>
      </c>
      <c r="K46" s="381">
        <f>IF(MONTH(DATE($D$4,8,1)-WEEKDAY(DATE($D$4,8,1),2)+1+22)&lt;&gt;8,"",DATE($D$4,8,1)-WEEKDAY(DATE($D$4,8,1),2)+1+22)</f>
        <v/>
      </c>
      <c r="L46" s="381">
        <f>IF(MONTH(DATE($D$4,8,1)-WEEKDAY(DATE($D$4,8,1),2)+1+23)&lt;&gt;8,"",DATE($D$4,8,1)-WEEKDAY(DATE($D$4,8,1),2)+1+23)</f>
        <v/>
      </c>
      <c r="M46" s="381">
        <f>IF(MONTH(DATE($D$4,8,1)-WEEKDAY(DATE($D$4,8,1),2)+1+24)&lt;&gt;8,"",DATE($D$4,8,1)-WEEKDAY(DATE($D$4,8,1),2)+1+24)</f>
        <v/>
      </c>
      <c r="N46" s="381">
        <f>IF(MONTH(DATE($D$4,8,1)-WEEKDAY(DATE($D$4,8,1),2)+1+25)&lt;&gt;8,"",DATE($D$4,8,1)-WEEKDAY(DATE($D$4,8,1),2)+1+25)</f>
        <v/>
      </c>
      <c r="O46" s="382">
        <f>IF(MONTH(DATE($D$4,8,1)-WEEKDAY(DATE($D$4,8,1),2)+1+26)&lt;&gt;8,"",DATE($D$4,8,1)-WEEKDAY(DATE($D$4,8,1),2)+1+26)</f>
        <v/>
      </c>
      <c r="P46" s="382">
        <f>IF(MONTH(DATE($D$4,8,1)-WEEKDAY(DATE($D$4,8,1),2)+1+27)&lt;&gt;8,"",DATE($D$4,8,1)-WEEKDAY(DATE($D$4,8,1),2)+1+27)</f>
        <v/>
      </c>
      <c r="R46" s="381">
        <f>IF(MONTH(DATE($D$4,9,1)-WEEKDAY(DATE($D$4,9,1),2)+1+21)&lt;&gt;9,"",DATE($D$4,9,1)-WEEKDAY(DATE($D$4,9,1),2)+1+21)</f>
        <v/>
      </c>
      <c r="S46" s="381">
        <f>IF(MONTH(DATE($D$4,9,1)-WEEKDAY(DATE($D$4,9,1),2)+1+22)&lt;&gt;9,"",DATE($D$4,9,1)-WEEKDAY(DATE($D$4,9,1),2)+1+22)</f>
        <v/>
      </c>
      <c r="T46" s="381">
        <f>IF(MONTH(DATE($D$4,9,1)-WEEKDAY(DATE($D$4,9,1),2)+1+23)&lt;&gt;9,"",DATE($D$4,9,1)-WEEKDAY(DATE($D$4,9,1),2)+1+23)</f>
        <v/>
      </c>
      <c r="U46" s="381">
        <f>IF(MONTH(DATE($D$4,9,1)-WEEKDAY(DATE($D$4,9,1),2)+1+24)&lt;&gt;9,"",DATE($D$4,9,1)-WEEKDAY(DATE($D$4,9,1),2)+1+24)</f>
        <v/>
      </c>
      <c r="V46" s="381">
        <f>IF(MONTH(DATE($D$4,9,1)-WEEKDAY(DATE($D$4,9,1),2)+1+25)&lt;&gt;9,"",DATE($D$4,9,1)-WEEKDAY(DATE($D$4,9,1),2)+1+25)</f>
        <v/>
      </c>
      <c r="W46" s="382">
        <f>IF(MONTH(DATE($D$4,9,1)-WEEKDAY(DATE($D$4,9,1),2)+1+26)&lt;&gt;9,"",DATE($D$4,9,1)-WEEKDAY(DATE($D$4,9,1),2)+1+26)</f>
        <v/>
      </c>
      <c r="X46" s="382">
        <f>IF(MONTH(DATE($D$4,9,1)-WEEKDAY(DATE($D$4,9,1),2)+1+27)&lt;&gt;9,"",DATE($D$4,9,1)-WEEKDAY(DATE($D$4,9,1),2)+1+27)</f>
        <v/>
      </c>
    </row>
    <row r="47" ht="18" customHeight="1" s="311">
      <c r="B47" s="381">
        <f>IF(MONTH(DATE($D$4,7,1)-WEEKDAY(DATE($D$4,7,1),2)+1+28)&lt;&gt;7,"",DATE($D$4,7,1)-WEEKDAY(DATE($D$4,7,1),2)+1+28)</f>
        <v/>
      </c>
      <c r="C47" s="381">
        <f>IF(MONTH(DATE($D$4,7,1)-WEEKDAY(DATE($D$4,7,1),2)+1+29)&lt;&gt;7,"",DATE($D$4,7,1)-WEEKDAY(DATE($D$4,7,1),2)+1+29)</f>
        <v/>
      </c>
      <c r="D47" s="381">
        <f>IF(MONTH(DATE($D$4,7,1)-WEEKDAY(DATE($D$4,7,1),2)+1+30)&lt;&gt;7,"",DATE($D$4,7,1)-WEEKDAY(DATE($D$4,7,1),2)+1+30)</f>
        <v/>
      </c>
      <c r="E47" s="381">
        <f>IF(MONTH(DATE($D$4,7,1)-WEEKDAY(DATE($D$4,7,1),2)+1+31)&lt;&gt;7,"",DATE($D$4,7,1)-WEEKDAY(DATE($D$4,7,1),2)+1+31)</f>
        <v/>
      </c>
      <c r="F47" s="381">
        <f>IF(MONTH(DATE($D$4,7,1)-WEEKDAY(DATE($D$4,7,1),2)+1+32)&lt;&gt;7,"",DATE($D$4,7,1)-WEEKDAY(DATE($D$4,7,1),2)+1+32)</f>
        <v/>
      </c>
      <c r="G47" s="382">
        <f>IF(MONTH(DATE($D$4,7,1)-WEEKDAY(DATE($D$4,7,1),2)+1+33)&lt;&gt;7,"",DATE($D$4,7,1)-WEEKDAY(DATE($D$4,7,1),2)+1+33)</f>
        <v/>
      </c>
      <c r="H47" s="382">
        <f>IF(MONTH(DATE($D$4,7,1)-WEEKDAY(DATE($D$4,7,1),2)+1+34)&lt;&gt;7,"",DATE($D$4,7,1)-WEEKDAY(DATE($D$4,7,1),2)+1+34)</f>
        <v/>
      </c>
      <c r="J47" s="381">
        <f>IF(MONTH(DATE($D$4,8,1)-WEEKDAY(DATE($D$4,8,1),2)+1+28)&lt;&gt;8,"",DATE($D$4,8,1)-WEEKDAY(DATE($D$4,8,1),2)+1+28)</f>
        <v/>
      </c>
      <c r="K47" s="381">
        <f>IF(MONTH(DATE($D$4,8,1)-WEEKDAY(DATE($D$4,8,1),2)+1+29)&lt;&gt;8,"",DATE($D$4,8,1)-WEEKDAY(DATE($D$4,8,1),2)+1+29)</f>
        <v/>
      </c>
      <c r="L47" s="381">
        <f>IF(MONTH(DATE($D$4,8,1)-WEEKDAY(DATE($D$4,8,1),2)+1+30)&lt;&gt;8,"",DATE($D$4,8,1)-WEEKDAY(DATE($D$4,8,1),2)+1+30)</f>
        <v/>
      </c>
      <c r="M47" s="381">
        <f>IF(MONTH(DATE($D$4,8,1)-WEEKDAY(DATE($D$4,8,1),2)+1+31)&lt;&gt;8,"",DATE($D$4,8,1)-WEEKDAY(DATE($D$4,8,1),2)+1+31)</f>
        <v/>
      </c>
      <c r="N47" s="381">
        <f>IF(MONTH(DATE($D$4,8,1)-WEEKDAY(DATE($D$4,8,1),2)+1+32)&lt;&gt;8,"",DATE($D$4,8,1)-WEEKDAY(DATE($D$4,8,1),2)+1+32)</f>
        <v/>
      </c>
      <c r="O47" s="382">
        <f>IF(MONTH(DATE($D$4,8,1)-WEEKDAY(DATE($D$4,8,1),2)+1+33)&lt;&gt;8,"",DATE($D$4,8,1)-WEEKDAY(DATE($D$4,8,1),2)+1+33)</f>
        <v/>
      </c>
      <c r="P47" s="382">
        <f>IF(MONTH(DATE($D$4,8,1)-WEEKDAY(DATE($D$4,8,1),2)+1+34)&lt;&gt;8,"",DATE($D$4,8,1)-WEEKDAY(DATE($D$4,8,1),2)+1+34)</f>
        <v/>
      </c>
      <c r="R47" s="381">
        <f>IF(MONTH(DATE($D$4,9,1)-WEEKDAY(DATE($D$4,9,1),2)+1+28)&lt;&gt;9,"",DATE($D$4,9,1)-WEEKDAY(DATE($D$4,9,1),2)+1+28)</f>
        <v/>
      </c>
      <c r="S47" s="381">
        <f>IF(MONTH(DATE($D$4,9,1)-WEEKDAY(DATE($D$4,9,1),2)+1+29)&lt;&gt;9,"",DATE($D$4,9,1)-WEEKDAY(DATE($D$4,9,1),2)+1+29)</f>
        <v/>
      </c>
      <c r="T47" s="381">
        <f>IF(MONTH(DATE($D$4,9,1)-WEEKDAY(DATE($D$4,9,1),2)+1+30)&lt;&gt;9,"",DATE($D$4,9,1)-WEEKDAY(DATE($D$4,9,1),2)+1+30)</f>
        <v/>
      </c>
      <c r="U47" s="381">
        <f>IF(MONTH(DATE($D$4,9,1)-WEEKDAY(DATE($D$4,9,1),2)+1+31)&lt;&gt;9,"",DATE($D$4,9,1)-WEEKDAY(DATE($D$4,9,1),2)+1+31)</f>
        <v/>
      </c>
      <c r="V47" s="381">
        <f>IF(MONTH(DATE($D$4,9,1)-WEEKDAY(DATE($D$4,9,1),2)+1+32)&lt;&gt;9,"",DATE($D$4,9,1)-WEEKDAY(DATE($D$4,9,1),2)+1+32)</f>
        <v/>
      </c>
      <c r="W47" s="382">
        <f>IF(MONTH(DATE($D$4,9,1)-WEEKDAY(DATE($D$4,9,1),2)+1+33)&lt;&gt;9,"",DATE($D$4,9,1)-WEEKDAY(DATE($D$4,9,1),2)+1+33)</f>
        <v/>
      </c>
      <c r="X47" s="382">
        <f>IF(MONTH(DATE($D$4,9,1)-WEEKDAY(DATE($D$4,9,1),2)+1+34)&lt;&gt;9,"",DATE($D$4,9,1)-WEEKDAY(DATE($D$4,9,1),2)+1+34)</f>
        <v/>
      </c>
    </row>
    <row r="48" ht="18" customHeight="1" s="311">
      <c r="B48" s="381">
        <f>IF(MONTH(DATE($D$4,7,1)-WEEKDAY(DATE($D$4,7,1),2)+1+35)&lt;&gt;7,"",DATE($D$4,7,1)-WEEKDAY(DATE($D$4,7,1),2)+1+35)</f>
        <v/>
      </c>
      <c r="C48" s="381">
        <f>IF(MONTH(DATE($D$4,7,1)-WEEKDAY(DATE($D$4,7,1),2)+1+36)&lt;&gt;7,"",DATE($D$4,7,1)-WEEKDAY(DATE($D$4,7,1),2)+1+36)</f>
        <v/>
      </c>
      <c r="D48" s="381">
        <f>IF(MONTH(DATE($D$4,7,1)-WEEKDAY(DATE($D$4,7,1),2)+1+37)&lt;&gt;7,"",DATE($D$4,7,1)-WEEKDAY(DATE($D$4,7,1),2)+1+37)</f>
        <v/>
      </c>
      <c r="E48" s="381">
        <f>IF(MONTH(DATE($D$4,7,1)-WEEKDAY(DATE($D$4,7,1),2)+1+38)&lt;&gt;7,"",DATE($D$4,7,1)-WEEKDAY(DATE($D$4,7,1),2)+1+38)</f>
        <v/>
      </c>
      <c r="F48" s="381">
        <f>IF(MONTH(DATE($D$4,7,1)-WEEKDAY(DATE($D$4,7,1),2)+1+39)&lt;&gt;7,"",DATE($D$4,7,1)-WEEKDAY(DATE($D$4,7,1),2)+1+39)</f>
        <v/>
      </c>
      <c r="G48" s="382">
        <f>IF(MONTH(DATE($D$4,7,1)-WEEKDAY(DATE($D$4,7,1),2)+1+40)&lt;&gt;7,"",DATE($D$4,7,1)-WEEKDAY(DATE($D$4,7,1),2)+1+40)</f>
        <v/>
      </c>
      <c r="H48" s="382">
        <f>IF(MONTH(DATE($D$4,7,1)-WEEKDAY(DATE($D$4,7,1),2)+1+41)&lt;&gt;7,"",DATE($D$4,7,1)-WEEKDAY(DATE($D$4,7,1),2)+1+41)</f>
        <v/>
      </c>
      <c r="J48" s="381">
        <f>IF(MONTH(DATE($D$4,8,1)-WEEKDAY(DATE($D$4,8,1),2)+1+35)&lt;&gt;8,"",DATE($D$4,8,1)-WEEKDAY(DATE($D$4,8,1),2)+1+35)</f>
        <v/>
      </c>
      <c r="K48" s="381">
        <f>IF(MONTH(DATE($D$4,8,1)-WEEKDAY(DATE($D$4,8,1),2)+1+36)&lt;&gt;8,"",DATE($D$4,8,1)-WEEKDAY(DATE($D$4,8,1),2)+1+36)</f>
        <v/>
      </c>
      <c r="L48" s="381">
        <f>IF(MONTH(DATE($D$4,8,1)-WEEKDAY(DATE($D$4,8,1),2)+1+37)&lt;&gt;8,"",DATE($D$4,8,1)-WEEKDAY(DATE($D$4,8,1),2)+1+37)</f>
        <v/>
      </c>
      <c r="M48" s="381">
        <f>IF(MONTH(DATE($D$4,8,1)-WEEKDAY(DATE($D$4,8,1),2)+1+38)&lt;&gt;8,"",DATE($D$4,8,1)-WEEKDAY(DATE($D$4,8,1),2)+1+38)</f>
        <v/>
      </c>
      <c r="N48" s="381">
        <f>IF(MONTH(DATE($D$4,8,1)-WEEKDAY(DATE($D$4,8,1),2)+1+39)&lt;&gt;8,"",DATE($D$4,8,1)-WEEKDAY(DATE($D$4,8,1),2)+1+39)</f>
        <v/>
      </c>
      <c r="O48" s="382">
        <f>IF(MONTH(DATE($D$4,8,1)-WEEKDAY(DATE($D$4,8,1),2)+1+40)&lt;&gt;8,"",DATE($D$4,8,1)-WEEKDAY(DATE($D$4,8,1),2)+1+40)</f>
        <v/>
      </c>
      <c r="P48" s="382">
        <f>IF(MONTH(DATE($D$4,8,1)-WEEKDAY(DATE($D$4,8,1),2)+1+41)&lt;&gt;8,"",DATE($D$4,8,1)-WEEKDAY(DATE($D$4,8,1),2)+1+41)</f>
        <v/>
      </c>
      <c r="R48" s="381">
        <f>IF(MONTH(DATE($D$4,9,1)-WEEKDAY(DATE($D$4,9,1),2)+1+35)&lt;&gt;9,"",DATE($D$4,9,1)-WEEKDAY(DATE($D$4,9,1),2)+1+35)</f>
        <v/>
      </c>
      <c r="S48" s="381">
        <f>IF(MONTH(DATE($D$4,9,1)-WEEKDAY(DATE($D$4,9,1),2)+1+36)&lt;&gt;9,"",DATE($D$4,9,1)-WEEKDAY(DATE($D$4,9,1),2)+1+36)</f>
        <v/>
      </c>
      <c r="T48" s="381">
        <f>IF(MONTH(DATE($D$4,9,1)-WEEKDAY(DATE($D$4,9,1),2)+1+37)&lt;&gt;9,"",DATE($D$4,9,1)-WEEKDAY(DATE($D$4,9,1),2)+1+37)</f>
        <v/>
      </c>
      <c r="U48" s="381">
        <f>IF(MONTH(DATE($D$4,9,1)-WEEKDAY(DATE($D$4,9,1),2)+1+38)&lt;&gt;9,"",DATE($D$4,9,1)-WEEKDAY(DATE($D$4,9,1),2)+1+38)</f>
        <v/>
      </c>
      <c r="V48" s="381">
        <f>IF(MONTH(DATE($D$4,9,1)-WEEKDAY(DATE($D$4,9,1),2)+1+39)&lt;&gt;9,"",DATE($D$4,9,1)-WEEKDAY(DATE($D$4,9,1),2)+1+39)</f>
        <v/>
      </c>
      <c r="W48" s="382">
        <f>IF(MONTH(DATE($D$4,9,1)-WEEKDAY(DATE($D$4,9,1),2)+1+40)&lt;&gt;9,"",DATE($D$4,9,1)-WEEKDAY(DATE($D$4,9,1),2)+1+40)</f>
        <v/>
      </c>
      <c r="X48" s="382">
        <f>IF(MONTH(DATE($D$4,9,1)-WEEKDAY(DATE($D$4,9,1),2)+1+41)&lt;&gt;9,"",DATE($D$4,9,1)-WEEKDAY(DATE($D$4,9,1),2)+1+41)</f>
        <v/>
      </c>
    </row>
    <row r="50" ht="19" customHeight="1" s="311">
      <c r="B50" s="379">
        <f>"OCTUBRE  "&amp;$D$4</f>
        <v/>
      </c>
      <c r="C50" s="372" t="n"/>
      <c r="D50" s="372" t="n"/>
      <c r="E50" s="372" t="n"/>
      <c r="F50" s="372" t="n"/>
      <c r="G50" s="380">
        <f>IF(COUNTIFS($B$62:$B$211,"&gt;="&amp;DATE($D$4,10,1),$B$62:$B$211,"&lt;="&amp;EOMONTH(DATE($D$4,10,1),0),$V$62:$V$211,"&lt;&gt;4 · Cancelada")=1,"1 cita",COUNTIFS($B$62:$B$211,"&gt;="&amp;DATE($D$4,10,1),$B$62:$B$211,"&lt;="&amp;EOMONTH(DATE($D$4,10,1),0),$V$62:$V$211,"&lt;&gt;4 · Cancelada")&amp;" citas")</f>
        <v/>
      </c>
      <c r="H50" s="372" t="n"/>
      <c r="J50" s="379">
        <f>"NOVIEMBRE  "&amp;$D$4</f>
        <v/>
      </c>
      <c r="K50" s="372" t="n"/>
      <c r="L50" s="372" t="n"/>
      <c r="M50" s="372" t="n"/>
      <c r="N50" s="372" t="n"/>
      <c r="O50" s="380">
        <f>IF(COUNTIFS($B$62:$B$211,"&gt;="&amp;DATE($D$4,11,1),$B$62:$B$211,"&lt;="&amp;EOMONTH(DATE($D$4,11,1),0),$V$62:$V$211,"&lt;&gt;4 · Cancelada")=1,"1 cita",COUNTIFS($B$62:$B$211,"&gt;="&amp;DATE($D$4,11,1),$B$62:$B$211,"&lt;="&amp;EOMONTH(DATE($D$4,11,1),0),$V$62:$V$211,"&lt;&gt;4 · Cancelada")&amp;" citas")</f>
        <v/>
      </c>
      <c r="P50" s="372" t="n"/>
      <c r="R50" s="379">
        <f>"DICIEMBRE  "&amp;$D$4</f>
        <v/>
      </c>
      <c r="S50" s="372" t="n"/>
      <c r="T50" s="372" t="n"/>
      <c r="U50" s="372" t="n"/>
      <c r="V50" s="372" t="n"/>
      <c r="W50" s="380">
        <f>IF(COUNTIFS($B$62:$B$211,"&gt;="&amp;DATE($D$4,12,1),$B$62:$B$211,"&lt;="&amp;EOMONTH(DATE($D$4,12,1),0),$V$62:$V$211,"&lt;&gt;4 · Cancelada")=1,"1 cita",COUNTIFS($B$62:$B$211,"&gt;="&amp;DATE($D$4,12,1),$B$62:$B$211,"&lt;="&amp;EOMONTH(DATE($D$4,12,1),0),$V$62:$V$211,"&lt;&gt;4 · Cancelada")&amp;" citas")</f>
        <v/>
      </c>
      <c r="X50" s="372" t="n"/>
    </row>
    <row r="51" ht="15" customHeight="1" s="311">
      <c r="B51" s="358" t="inlineStr">
        <is>
          <t>L</t>
        </is>
      </c>
      <c r="C51" s="358" t="inlineStr">
        <is>
          <t>M</t>
        </is>
      </c>
      <c r="D51" s="358" t="inlineStr">
        <is>
          <t>X</t>
        </is>
      </c>
      <c r="E51" s="358" t="inlineStr">
        <is>
          <t>J</t>
        </is>
      </c>
      <c r="F51" s="358" t="inlineStr">
        <is>
          <t>V</t>
        </is>
      </c>
      <c r="G51" s="358" t="inlineStr">
        <is>
          <t>S</t>
        </is>
      </c>
      <c r="H51" s="358" t="inlineStr">
        <is>
          <t>D</t>
        </is>
      </c>
      <c r="J51" s="358" t="inlineStr">
        <is>
          <t>L</t>
        </is>
      </c>
      <c r="K51" s="358" t="inlineStr">
        <is>
          <t>M</t>
        </is>
      </c>
      <c r="L51" s="358" t="inlineStr">
        <is>
          <t>X</t>
        </is>
      </c>
      <c r="M51" s="358" t="inlineStr">
        <is>
          <t>J</t>
        </is>
      </c>
      <c r="N51" s="358" t="inlineStr">
        <is>
          <t>V</t>
        </is>
      </c>
      <c r="O51" s="358" t="inlineStr">
        <is>
          <t>S</t>
        </is>
      </c>
      <c r="P51" s="358" t="inlineStr">
        <is>
          <t>D</t>
        </is>
      </c>
      <c r="R51" s="358" t="inlineStr">
        <is>
          <t>L</t>
        </is>
      </c>
      <c r="S51" s="358" t="inlineStr">
        <is>
          <t>M</t>
        </is>
      </c>
      <c r="T51" s="358" t="inlineStr">
        <is>
          <t>X</t>
        </is>
      </c>
      <c r="U51" s="358" t="inlineStr">
        <is>
          <t>J</t>
        </is>
      </c>
      <c r="V51" s="358" t="inlineStr">
        <is>
          <t>V</t>
        </is>
      </c>
      <c r="W51" s="358" t="inlineStr">
        <is>
          <t>S</t>
        </is>
      </c>
      <c r="X51" s="358" t="inlineStr">
        <is>
          <t>D</t>
        </is>
      </c>
    </row>
    <row r="52" ht="18" customHeight="1" s="311">
      <c r="B52" s="381">
        <f>IF(MONTH(DATE($D$4,10,1)-WEEKDAY(DATE($D$4,10,1),2)+1+0)&lt;&gt;10,"",DATE($D$4,10,1)-WEEKDAY(DATE($D$4,10,1),2)+1+0)</f>
        <v/>
      </c>
      <c r="C52" s="381">
        <f>IF(MONTH(DATE($D$4,10,1)-WEEKDAY(DATE($D$4,10,1),2)+1+1)&lt;&gt;10,"",DATE($D$4,10,1)-WEEKDAY(DATE($D$4,10,1),2)+1+1)</f>
        <v/>
      </c>
      <c r="D52" s="381">
        <f>IF(MONTH(DATE($D$4,10,1)-WEEKDAY(DATE($D$4,10,1),2)+1+2)&lt;&gt;10,"",DATE($D$4,10,1)-WEEKDAY(DATE($D$4,10,1),2)+1+2)</f>
        <v/>
      </c>
      <c r="E52" s="381">
        <f>IF(MONTH(DATE($D$4,10,1)-WEEKDAY(DATE($D$4,10,1),2)+1+3)&lt;&gt;10,"",DATE($D$4,10,1)-WEEKDAY(DATE($D$4,10,1),2)+1+3)</f>
        <v/>
      </c>
      <c r="F52" s="381">
        <f>IF(MONTH(DATE($D$4,10,1)-WEEKDAY(DATE($D$4,10,1),2)+1+4)&lt;&gt;10,"",DATE($D$4,10,1)-WEEKDAY(DATE($D$4,10,1),2)+1+4)</f>
        <v/>
      </c>
      <c r="G52" s="382">
        <f>IF(MONTH(DATE($D$4,10,1)-WEEKDAY(DATE($D$4,10,1),2)+1+5)&lt;&gt;10,"",DATE($D$4,10,1)-WEEKDAY(DATE($D$4,10,1),2)+1+5)</f>
        <v/>
      </c>
      <c r="H52" s="382">
        <f>IF(MONTH(DATE($D$4,10,1)-WEEKDAY(DATE($D$4,10,1),2)+1+6)&lt;&gt;10,"",DATE($D$4,10,1)-WEEKDAY(DATE($D$4,10,1),2)+1+6)</f>
        <v/>
      </c>
      <c r="J52" s="381">
        <f>IF(MONTH(DATE($D$4,11,1)-WEEKDAY(DATE($D$4,11,1),2)+1+0)&lt;&gt;11,"",DATE($D$4,11,1)-WEEKDAY(DATE($D$4,11,1),2)+1+0)</f>
        <v/>
      </c>
      <c r="K52" s="381">
        <f>IF(MONTH(DATE($D$4,11,1)-WEEKDAY(DATE($D$4,11,1),2)+1+1)&lt;&gt;11,"",DATE($D$4,11,1)-WEEKDAY(DATE($D$4,11,1),2)+1+1)</f>
        <v/>
      </c>
      <c r="L52" s="381">
        <f>IF(MONTH(DATE($D$4,11,1)-WEEKDAY(DATE($D$4,11,1),2)+1+2)&lt;&gt;11,"",DATE($D$4,11,1)-WEEKDAY(DATE($D$4,11,1),2)+1+2)</f>
        <v/>
      </c>
      <c r="M52" s="381">
        <f>IF(MONTH(DATE($D$4,11,1)-WEEKDAY(DATE($D$4,11,1),2)+1+3)&lt;&gt;11,"",DATE($D$4,11,1)-WEEKDAY(DATE($D$4,11,1),2)+1+3)</f>
        <v/>
      </c>
      <c r="N52" s="381">
        <f>IF(MONTH(DATE($D$4,11,1)-WEEKDAY(DATE($D$4,11,1),2)+1+4)&lt;&gt;11,"",DATE($D$4,11,1)-WEEKDAY(DATE($D$4,11,1),2)+1+4)</f>
        <v/>
      </c>
      <c r="O52" s="382">
        <f>IF(MONTH(DATE($D$4,11,1)-WEEKDAY(DATE($D$4,11,1),2)+1+5)&lt;&gt;11,"",DATE($D$4,11,1)-WEEKDAY(DATE($D$4,11,1),2)+1+5)</f>
        <v/>
      </c>
      <c r="P52" s="382">
        <f>IF(MONTH(DATE($D$4,11,1)-WEEKDAY(DATE($D$4,11,1),2)+1+6)&lt;&gt;11,"",DATE($D$4,11,1)-WEEKDAY(DATE($D$4,11,1),2)+1+6)</f>
        <v/>
      </c>
      <c r="R52" s="381">
        <f>IF(MONTH(DATE($D$4,12,1)-WEEKDAY(DATE($D$4,12,1),2)+1+0)&lt;&gt;12,"",DATE($D$4,12,1)-WEEKDAY(DATE($D$4,12,1),2)+1+0)</f>
        <v/>
      </c>
      <c r="S52" s="381">
        <f>IF(MONTH(DATE($D$4,12,1)-WEEKDAY(DATE($D$4,12,1),2)+1+1)&lt;&gt;12,"",DATE($D$4,12,1)-WEEKDAY(DATE($D$4,12,1),2)+1+1)</f>
        <v/>
      </c>
      <c r="T52" s="381">
        <f>IF(MONTH(DATE($D$4,12,1)-WEEKDAY(DATE($D$4,12,1),2)+1+2)&lt;&gt;12,"",DATE($D$4,12,1)-WEEKDAY(DATE($D$4,12,1),2)+1+2)</f>
        <v/>
      </c>
      <c r="U52" s="381">
        <f>IF(MONTH(DATE($D$4,12,1)-WEEKDAY(DATE($D$4,12,1),2)+1+3)&lt;&gt;12,"",DATE($D$4,12,1)-WEEKDAY(DATE($D$4,12,1),2)+1+3)</f>
        <v/>
      </c>
      <c r="V52" s="381">
        <f>IF(MONTH(DATE($D$4,12,1)-WEEKDAY(DATE($D$4,12,1),2)+1+4)&lt;&gt;12,"",DATE($D$4,12,1)-WEEKDAY(DATE($D$4,12,1),2)+1+4)</f>
        <v/>
      </c>
      <c r="W52" s="382">
        <f>IF(MONTH(DATE($D$4,12,1)-WEEKDAY(DATE($D$4,12,1),2)+1+5)&lt;&gt;12,"",DATE($D$4,12,1)-WEEKDAY(DATE($D$4,12,1),2)+1+5)</f>
        <v/>
      </c>
      <c r="X52" s="382">
        <f>IF(MONTH(DATE($D$4,12,1)-WEEKDAY(DATE($D$4,12,1),2)+1+6)&lt;&gt;12,"",DATE($D$4,12,1)-WEEKDAY(DATE($D$4,12,1),2)+1+6)</f>
        <v/>
      </c>
    </row>
    <row r="53" ht="18" customHeight="1" s="311">
      <c r="B53" s="381">
        <f>IF(MONTH(DATE($D$4,10,1)-WEEKDAY(DATE($D$4,10,1),2)+1+7)&lt;&gt;10,"",DATE($D$4,10,1)-WEEKDAY(DATE($D$4,10,1),2)+1+7)</f>
        <v/>
      </c>
      <c r="C53" s="381">
        <f>IF(MONTH(DATE($D$4,10,1)-WEEKDAY(DATE($D$4,10,1),2)+1+8)&lt;&gt;10,"",DATE($D$4,10,1)-WEEKDAY(DATE($D$4,10,1),2)+1+8)</f>
        <v/>
      </c>
      <c r="D53" s="381">
        <f>IF(MONTH(DATE($D$4,10,1)-WEEKDAY(DATE($D$4,10,1),2)+1+9)&lt;&gt;10,"",DATE($D$4,10,1)-WEEKDAY(DATE($D$4,10,1),2)+1+9)</f>
        <v/>
      </c>
      <c r="E53" s="381">
        <f>IF(MONTH(DATE($D$4,10,1)-WEEKDAY(DATE($D$4,10,1),2)+1+10)&lt;&gt;10,"",DATE($D$4,10,1)-WEEKDAY(DATE($D$4,10,1),2)+1+10)</f>
        <v/>
      </c>
      <c r="F53" s="381">
        <f>IF(MONTH(DATE($D$4,10,1)-WEEKDAY(DATE($D$4,10,1),2)+1+11)&lt;&gt;10,"",DATE($D$4,10,1)-WEEKDAY(DATE($D$4,10,1),2)+1+11)</f>
        <v/>
      </c>
      <c r="G53" s="382">
        <f>IF(MONTH(DATE($D$4,10,1)-WEEKDAY(DATE($D$4,10,1),2)+1+12)&lt;&gt;10,"",DATE($D$4,10,1)-WEEKDAY(DATE($D$4,10,1),2)+1+12)</f>
        <v/>
      </c>
      <c r="H53" s="382">
        <f>IF(MONTH(DATE($D$4,10,1)-WEEKDAY(DATE($D$4,10,1),2)+1+13)&lt;&gt;10,"",DATE($D$4,10,1)-WEEKDAY(DATE($D$4,10,1),2)+1+13)</f>
        <v/>
      </c>
      <c r="J53" s="381">
        <f>IF(MONTH(DATE($D$4,11,1)-WEEKDAY(DATE($D$4,11,1),2)+1+7)&lt;&gt;11,"",DATE($D$4,11,1)-WEEKDAY(DATE($D$4,11,1),2)+1+7)</f>
        <v/>
      </c>
      <c r="K53" s="381">
        <f>IF(MONTH(DATE($D$4,11,1)-WEEKDAY(DATE($D$4,11,1),2)+1+8)&lt;&gt;11,"",DATE($D$4,11,1)-WEEKDAY(DATE($D$4,11,1),2)+1+8)</f>
        <v/>
      </c>
      <c r="L53" s="381">
        <f>IF(MONTH(DATE($D$4,11,1)-WEEKDAY(DATE($D$4,11,1),2)+1+9)&lt;&gt;11,"",DATE($D$4,11,1)-WEEKDAY(DATE($D$4,11,1),2)+1+9)</f>
        <v/>
      </c>
      <c r="M53" s="381">
        <f>IF(MONTH(DATE($D$4,11,1)-WEEKDAY(DATE($D$4,11,1),2)+1+10)&lt;&gt;11,"",DATE($D$4,11,1)-WEEKDAY(DATE($D$4,11,1),2)+1+10)</f>
        <v/>
      </c>
      <c r="N53" s="381">
        <f>IF(MONTH(DATE($D$4,11,1)-WEEKDAY(DATE($D$4,11,1),2)+1+11)&lt;&gt;11,"",DATE($D$4,11,1)-WEEKDAY(DATE($D$4,11,1),2)+1+11)</f>
        <v/>
      </c>
      <c r="O53" s="382">
        <f>IF(MONTH(DATE($D$4,11,1)-WEEKDAY(DATE($D$4,11,1),2)+1+12)&lt;&gt;11,"",DATE($D$4,11,1)-WEEKDAY(DATE($D$4,11,1),2)+1+12)</f>
        <v/>
      </c>
      <c r="P53" s="382">
        <f>IF(MONTH(DATE($D$4,11,1)-WEEKDAY(DATE($D$4,11,1),2)+1+13)&lt;&gt;11,"",DATE($D$4,11,1)-WEEKDAY(DATE($D$4,11,1),2)+1+13)</f>
        <v/>
      </c>
      <c r="R53" s="381">
        <f>IF(MONTH(DATE($D$4,12,1)-WEEKDAY(DATE($D$4,12,1),2)+1+7)&lt;&gt;12,"",DATE($D$4,12,1)-WEEKDAY(DATE($D$4,12,1),2)+1+7)</f>
        <v/>
      </c>
      <c r="S53" s="381">
        <f>IF(MONTH(DATE($D$4,12,1)-WEEKDAY(DATE($D$4,12,1),2)+1+8)&lt;&gt;12,"",DATE($D$4,12,1)-WEEKDAY(DATE($D$4,12,1),2)+1+8)</f>
        <v/>
      </c>
      <c r="T53" s="381">
        <f>IF(MONTH(DATE($D$4,12,1)-WEEKDAY(DATE($D$4,12,1),2)+1+9)&lt;&gt;12,"",DATE($D$4,12,1)-WEEKDAY(DATE($D$4,12,1),2)+1+9)</f>
        <v/>
      </c>
      <c r="U53" s="381">
        <f>IF(MONTH(DATE($D$4,12,1)-WEEKDAY(DATE($D$4,12,1),2)+1+10)&lt;&gt;12,"",DATE($D$4,12,1)-WEEKDAY(DATE($D$4,12,1),2)+1+10)</f>
        <v/>
      </c>
      <c r="V53" s="381">
        <f>IF(MONTH(DATE($D$4,12,1)-WEEKDAY(DATE($D$4,12,1),2)+1+11)&lt;&gt;12,"",DATE($D$4,12,1)-WEEKDAY(DATE($D$4,12,1),2)+1+11)</f>
        <v/>
      </c>
      <c r="W53" s="382">
        <f>IF(MONTH(DATE($D$4,12,1)-WEEKDAY(DATE($D$4,12,1),2)+1+12)&lt;&gt;12,"",DATE($D$4,12,1)-WEEKDAY(DATE($D$4,12,1),2)+1+12)</f>
        <v/>
      </c>
      <c r="X53" s="382">
        <f>IF(MONTH(DATE($D$4,12,1)-WEEKDAY(DATE($D$4,12,1),2)+1+13)&lt;&gt;12,"",DATE($D$4,12,1)-WEEKDAY(DATE($D$4,12,1),2)+1+13)</f>
        <v/>
      </c>
    </row>
    <row r="54" ht="18" customHeight="1" s="311">
      <c r="B54" s="381">
        <f>IF(MONTH(DATE($D$4,10,1)-WEEKDAY(DATE($D$4,10,1),2)+1+14)&lt;&gt;10,"",DATE($D$4,10,1)-WEEKDAY(DATE($D$4,10,1),2)+1+14)</f>
        <v/>
      </c>
      <c r="C54" s="381">
        <f>IF(MONTH(DATE($D$4,10,1)-WEEKDAY(DATE($D$4,10,1),2)+1+15)&lt;&gt;10,"",DATE($D$4,10,1)-WEEKDAY(DATE($D$4,10,1),2)+1+15)</f>
        <v/>
      </c>
      <c r="D54" s="381">
        <f>IF(MONTH(DATE($D$4,10,1)-WEEKDAY(DATE($D$4,10,1),2)+1+16)&lt;&gt;10,"",DATE($D$4,10,1)-WEEKDAY(DATE($D$4,10,1),2)+1+16)</f>
        <v/>
      </c>
      <c r="E54" s="381">
        <f>IF(MONTH(DATE($D$4,10,1)-WEEKDAY(DATE($D$4,10,1),2)+1+17)&lt;&gt;10,"",DATE($D$4,10,1)-WEEKDAY(DATE($D$4,10,1),2)+1+17)</f>
        <v/>
      </c>
      <c r="F54" s="381">
        <f>IF(MONTH(DATE($D$4,10,1)-WEEKDAY(DATE($D$4,10,1),2)+1+18)&lt;&gt;10,"",DATE($D$4,10,1)-WEEKDAY(DATE($D$4,10,1),2)+1+18)</f>
        <v/>
      </c>
      <c r="G54" s="382">
        <f>IF(MONTH(DATE($D$4,10,1)-WEEKDAY(DATE($D$4,10,1),2)+1+19)&lt;&gt;10,"",DATE($D$4,10,1)-WEEKDAY(DATE($D$4,10,1),2)+1+19)</f>
        <v/>
      </c>
      <c r="H54" s="382">
        <f>IF(MONTH(DATE($D$4,10,1)-WEEKDAY(DATE($D$4,10,1),2)+1+20)&lt;&gt;10,"",DATE($D$4,10,1)-WEEKDAY(DATE($D$4,10,1),2)+1+20)</f>
        <v/>
      </c>
      <c r="J54" s="381">
        <f>IF(MONTH(DATE($D$4,11,1)-WEEKDAY(DATE($D$4,11,1),2)+1+14)&lt;&gt;11,"",DATE($D$4,11,1)-WEEKDAY(DATE($D$4,11,1),2)+1+14)</f>
        <v/>
      </c>
      <c r="K54" s="381">
        <f>IF(MONTH(DATE($D$4,11,1)-WEEKDAY(DATE($D$4,11,1),2)+1+15)&lt;&gt;11,"",DATE($D$4,11,1)-WEEKDAY(DATE($D$4,11,1),2)+1+15)</f>
        <v/>
      </c>
      <c r="L54" s="381">
        <f>IF(MONTH(DATE($D$4,11,1)-WEEKDAY(DATE($D$4,11,1),2)+1+16)&lt;&gt;11,"",DATE($D$4,11,1)-WEEKDAY(DATE($D$4,11,1),2)+1+16)</f>
        <v/>
      </c>
      <c r="M54" s="381">
        <f>IF(MONTH(DATE($D$4,11,1)-WEEKDAY(DATE($D$4,11,1),2)+1+17)&lt;&gt;11,"",DATE($D$4,11,1)-WEEKDAY(DATE($D$4,11,1),2)+1+17)</f>
        <v/>
      </c>
      <c r="N54" s="381">
        <f>IF(MONTH(DATE($D$4,11,1)-WEEKDAY(DATE($D$4,11,1),2)+1+18)&lt;&gt;11,"",DATE($D$4,11,1)-WEEKDAY(DATE($D$4,11,1),2)+1+18)</f>
        <v/>
      </c>
      <c r="O54" s="382">
        <f>IF(MONTH(DATE($D$4,11,1)-WEEKDAY(DATE($D$4,11,1),2)+1+19)&lt;&gt;11,"",DATE($D$4,11,1)-WEEKDAY(DATE($D$4,11,1),2)+1+19)</f>
        <v/>
      </c>
      <c r="P54" s="382">
        <f>IF(MONTH(DATE($D$4,11,1)-WEEKDAY(DATE($D$4,11,1),2)+1+20)&lt;&gt;11,"",DATE($D$4,11,1)-WEEKDAY(DATE($D$4,11,1),2)+1+20)</f>
        <v/>
      </c>
      <c r="R54" s="381">
        <f>IF(MONTH(DATE($D$4,12,1)-WEEKDAY(DATE($D$4,12,1),2)+1+14)&lt;&gt;12,"",DATE($D$4,12,1)-WEEKDAY(DATE($D$4,12,1),2)+1+14)</f>
        <v/>
      </c>
      <c r="S54" s="381">
        <f>IF(MONTH(DATE($D$4,12,1)-WEEKDAY(DATE($D$4,12,1),2)+1+15)&lt;&gt;12,"",DATE($D$4,12,1)-WEEKDAY(DATE($D$4,12,1),2)+1+15)</f>
        <v/>
      </c>
      <c r="T54" s="381">
        <f>IF(MONTH(DATE($D$4,12,1)-WEEKDAY(DATE($D$4,12,1),2)+1+16)&lt;&gt;12,"",DATE($D$4,12,1)-WEEKDAY(DATE($D$4,12,1),2)+1+16)</f>
        <v/>
      </c>
      <c r="U54" s="381">
        <f>IF(MONTH(DATE($D$4,12,1)-WEEKDAY(DATE($D$4,12,1),2)+1+17)&lt;&gt;12,"",DATE($D$4,12,1)-WEEKDAY(DATE($D$4,12,1),2)+1+17)</f>
        <v/>
      </c>
      <c r="V54" s="381">
        <f>IF(MONTH(DATE($D$4,12,1)-WEEKDAY(DATE($D$4,12,1),2)+1+18)&lt;&gt;12,"",DATE($D$4,12,1)-WEEKDAY(DATE($D$4,12,1),2)+1+18)</f>
        <v/>
      </c>
      <c r="W54" s="382">
        <f>IF(MONTH(DATE($D$4,12,1)-WEEKDAY(DATE($D$4,12,1),2)+1+19)&lt;&gt;12,"",DATE($D$4,12,1)-WEEKDAY(DATE($D$4,12,1),2)+1+19)</f>
        <v/>
      </c>
      <c r="X54" s="382">
        <f>IF(MONTH(DATE($D$4,12,1)-WEEKDAY(DATE($D$4,12,1),2)+1+20)&lt;&gt;12,"",DATE($D$4,12,1)-WEEKDAY(DATE($D$4,12,1),2)+1+20)</f>
        <v/>
      </c>
    </row>
    <row r="55" ht="18" customHeight="1" s="311">
      <c r="B55" s="381">
        <f>IF(MONTH(DATE($D$4,10,1)-WEEKDAY(DATE($D$4,10,1),2)+1+21)&lt;&gt;10,"",DATE($D$4,10,1)-WEEKDAY(DATE($D$4,10,1),2)+1+21)</f>
        <v/>
      </c>
      <c r="C55" s="381">
        <f>IF(MONTH(DATE($D$4,10,1)-WEEKDAY(DATE($D$4,10,1),2)+1+22)&lt;&gt;10,"",DATE($D$4,10,1)-WEEKDAY(DATE($D$4,10,1),2)+1+22)</f>
        <v/>
      </c>
      <c r="D55" s="381">
        <f>IF(MONTH(DATE($D$4,10,1)-WEEKDAY(DATE($D$4,10,1),2)+1+23)&lt;&gt;10,"",DATE($D$4,10,1)-WEEKDAY(DATE($D$4,10,1),2)+1+23)</f>
        <v/>
      </c>
      <c r="E55" s="381">
        <f>IF(MONTH(DATE($D$4,10,1)-WEEKDAY(DATE($D$4,10,1),2)+1+24)&lt;&gt;10,"",DATE($D$4,10,1)-WEEKDAY(DATE($D$4,10,1),2)+1+24)</f>
        <v/>
      </c>
      <c r="F55" s="381">
        <f>IF(MONTH(DATE($D$4,10,1)-WEEKDAY(DATE($D$4,10,1),2)+1+25)&lt;&gt;10,"",DATE($D$4,10,1)-WEEKDAY(DATE($D$4,10,1),2)+1+25)</f>
        <v/>
      </c>
      <c r="G55" s="382">
        <f>IF(MONTH(DATE($D$4,10,1)-WEEKDAY(DATE($D$4,10,1),2)+1+26)&lt;&gt;10,"",DATE($D$4,10,1)-WEEKDAY(DATE($D$4,10,1),2)+1+26)</f>
        <v/>
      </c>
      <c r="H55" s="382">
        <f>IF(MONTH(DATE($D$4,10,1)-WEEKDAY(DATE($D$4,10,1),2)+1+27)&lt;&gt;10,"",DATE($D$4,10,1)-WEEKDAY(DATE($D$4,10,1),2)+1+27)</f>
        <v/>
      </c>
      <c r="J55" s="381">
        <f>IF(MONTH(DATE($D$4,11,1)-WEEKDAY(DATE($D$4,11,1),2)+1+21)&lt;&gt;11,"",DATE($D$4,11,1)-WEEKDAY(DATE($D$4,11,1),2)+1+21)</f>
        <v/>
      </c>
      <c r="K55" s="381">
        <f>IF(MONTH(DATE($D$4,11,1)-WEEKDAY(DATE($D$4,11,1),2)+1+22)&lt;&gt;11,"",DATE($D$4,11,1)-WEEKDAY(DATE($D$4,11,1),2)+1+22)</f>
        <v/>
      </c>
      <c r="L55" s="381">
        <f>IF(MONTH(DATE($D$4,11,1)-WEEKDAY(DATE($D$4,11,1),2)+1+23)&lt;&gt;11,"",DATE($D$4,11,1)-WEEKDAY(DATE($D$4,11,1),2)+1+23)</f>
        <v/>
      </c>
      <c r="M55" s="381">
        <f>IF(MONTH(DATE($D$4,11,1)-WEEKDAY(DATE($D$4,11,1),2)+1+24)&lt;&gt;11,"",DATE($D$4,11,1)-WEEKDAY(DATE($D$4,11,1),2)+1+24)</f>
        <v/>
      </c>
      <c r="N55" s="381">
        <f>IF(MONTH(DATE($D$4,11,1)-WEEKDAY(DATE($D$4,11,1),2)+1+25)&lt;&gt;11,"",DATE($D$4,11,1)-WEEKDAY(DATE($D$4,11,1),2)+1+25)</f>
        <v/>
      </c>
      <c r="O55" s="382">
        <f>IF(MONTH(DATE($D$4,11,1)-WEEKDAY(DATE($D$4,11,1),2)+1+26)&lt;&gt;11,"",DATE($D$4,11,1)-WEEKDAY(DATE($D$4,11,1),2)+1+26)</f>
        <v/>
      </c>
      <c r="P55" s="382">
        <f>IF(MONTH(DATE($D$4,11,1)-WEEKDAY(DATE($D$4,11,1),2)+1+27)&lt;&gt;11,"",DATE($D$4,11,1)-WEEKDAY(DATE($D$4,11,1),2)+1+27)</f>
        <v/>
      </c>
      <c r="R55" s="381">
        <f>IF(MONTH(DATE($D$4,12,1)-WEEKDAY(DATE($D$4,12,1),2)+1+21)&lt;&gt;12,"",DATE($D$4,12,1)-WEEKDAY(DATE($D$4,12,1),2)+1+21)</f>
        <v/>
      </c>
      <c r="S55" s="381">
        <f>IF(MONTH(DATE($D$4,12,1)-WEEKDAY(DATE($D$4,12,1),2)+1+22)&lt;&gt;12,"",DATE($D$4,12,1)-WEEKDAY(DATE($D$4,12,1),2)+1+22)</f>
        <v/>
      </c>
      <c r="T55" s="381">
        <f>IF(MONTH(DATE($D$4,12,1)-WEEKDAY(DATE($D$4,12,1),2)+1+23)&lt;&gt;12,"",DATE($D$4,12,1)-WEEKDAY(DATE($D$4,12,1),2)+1+23)</f>
        <v/>
      </c>
      <c r="U55" s="381">
        <f>IF(MONTH(DATE($D$4,12,1)-WEEKDAY(DATE($D$4,12,1),2)+1+24)&lt;&gt;12,"",DATE($D$4,12,1)-WEEKDAY(DATE($D$4,12,1),2)+1+24)</f>
        <v/>
      </c>
      <c r="V55" s="381">
        <f>IF(MONTH(DATE($D$4,12,1)-WEEKDAY(DATE($D$4,12,1),2)+1+25)&lt;&gt;12,"",DATE($D$4,12,1)-WEEKDAY(DATE($D$4,12,1),2)+1+25)</f>
        <v/>
      </c>
      <c r="W55" s="382">
        <f>IF(MONTH(DATE($D$4,12,1)-WEEKDAY(DATE($D$4,12,1),2)+1+26)&lt;&gt;12,"",DATE($D$4,12,1)-WEEKDAY(DATE($D$4,12,1),2)+1+26)</f>
        <v/>
      </c>
      <c r="X55" s="382">
        <f>IF(MONTH(DATE($D$4,12,1)-WEEKDAY(DATE($D$4,12,1),2)+1+27)&lt;&gt;12,"",DATE($D$4,12,1)-WEEKDAY(DATE($D$4,12,1),2)+1+27)</f>
        <v/>
      </c>
    </row>
    <row r="56" ht="18" customHeight="1" s="311">
      <c r="B56" s="381">
        <f>IF(MONTH(DATE($D$4,10,1)-WEEKDAY(DATE($D$4,10,1),2)+1+28)&lt;&gt;10,"",DATE($D$4,10,1)-WEEKDAY(DATE($D$4,10,1),2)+1+28)</f>
        <v/>
      </c>
      <c r="C56" s="381">
        <f>IF(MONTH(DATE($D$4,10,1)-WEEKDAY(DATE($D$4,10,1),2)+1+29)&lt;&gt;10,"",DATE($D$4,10,1)-WEEKDAY(DATE($D$4,10,1),2)+1+29)</f>
        <v/>
      </c>
      <c r="D56" s="381">
        <f>IF(MONTH(DATE($D$4,10,1)-WEEKDAY(DATE($D$4,10,1),2)+1+30)&lt;&gt;10,"",DATE($D$4,10,1)-WEEKDAY(DATE($D$4,10,1),2)+1+30)</f>
        <v/>
      </c>
      <c r="E56" s="381">
        <f>IF(MONTH(DATE($D$4,10,1)-WEEKDAY(DATE($D$4,10,1),2)+1+31)&lt;&gt;10,"",DATE($D$4,10,1)-WEEKDAY(DATE($D$4,10,1),2)+1+31)</f>
        <v/>
      </c>
      <c r="F56" s="381">
        <f>IF(MONTH(DATE($D$4,10,1)-WEEKDAY(DATE($D$4,10,1),2)+1+32)&lt;&gt;10,"",DATE($D$4,10,1)-WEEKDAY(DATE($D$4,10,1),2)+1+32)</f>
        <v/>
      </c>
      <c r="G56" s="382">
        <f>IF(MONTH(DATE($D$4,10,1)-WEEKDAY(DATE($D$4,10,1),2)+1+33)&lt;&gt;10,"",DATE($D$4,10,1)-WEEKDAY(DATE($D$4,10,1),2)+1+33)</f>
        <v/>
      </c>
      <c r="H56" s="382">
        <f>IF(MONTH(DATE($D$4,10,1)-WEEKDAY(DATE($D$4,10,1),2)+1+34)&lt;&gt;10,"",DATE($D$4,10,1)-WEEKDAY(DATE($D$4,10,1),2)+1+34)</f>
        <v/>
      </c>
      <c r="J56" s="381">
        <f>IF(MONTH(DATE($D$4,11,1)-WEEKDAY(DATE($D$4,11,1),2)+1+28)&lt;&gt;11,"",DATE($D$4,11,1)-WEEKDAY(DATE($D$4,11,1),2)+1+28)</f>
        <v/>
      </c>
      <c r="K56" s="381">
        <f>IF(MONTH(DATE($D$4,11,1)-WEEKDAY(DATE($D$4,11,1),2)+1+29)&lt;&gt;11,"",DATE($D$4,11,1)-WEEKDAY(DATE($D$4,11,1),2)+1+29)</f>
        <v/>
      </c>
      <c r="L56" s="381">
        <f>IF(MONTH(DATE($D$4,11,1)-WEEKDAY(DATE($D$4,11,1),2)+1+30)&lt;&gt;11,"",DATE($D$4,11,1)-WEEKDAY(DATE($D$4,11,1),2)+1+30)</f>
        <v/>
      </c>
      <c r="M56" s="381">
        <f>IF(MONTH(DATE($D$4,11,1)-WEEKDAY(DATE($D$4,11,1),2)+1+31)&lt;&gt;11,"",DATE($D$4,11,1)-WEEKDAY(DATE($D$4,11,1),2)+1+31)</f>
        <v/>
      </c>
      <c r="N56" s="381">
        <f>IF(MONTH(DATE($D$4,11,1)-WEEKDAY(DATE($D$4,11,1),2)+1+32)&lt;&gt;11,"",DATE($D$4,11,1)-WEEKDAY(DATE($D$4,11,1),2)+1+32)</f>
        <v/>
      </c>
      <c r="O56" s="382">
        <f>IF(MONTH(DATE($D$4,11,1)-WEEKDAY(DATE($D$4,11,1),2)+1+33)&lt;&gt;11,"",DATE($D$4,11,1)-WEEKDAY(DATE($D$4,11,1),2)+1+33)</f>
        <v/>
      </c>
      <c r="P56" s="382">
        <f>IF(MONTH(DATE($D$4,11,1)-WEEKDAY(DATE($D$4,11,1),2)+1+34)&lt;&gt;11,"",DATE($D$4,11,1)-WEEKDAY(DATE($D$4,11,1),2)+1+34)</f>
        <v/>
      </c>
      <c r="R56" s="381">
        <f>IF(MONTH(DATE($D$4,12,1)-WEEKDAY(DATE($D$4,12,1),2)+1+28)&lt;&gt;12,"",DATE($D$4,12,1)-WEEKDAY(DATE($D$4,12,1),2)+1+28)</f>
        <v/>
      </c>
      <c r="S56" s="381">
        <f>IF(MONTH(DATE($D$4,12,1)-WEEKDAY(DATE($D$4,12,1),2)+1+29)&lt;&gt;12,"",DATE($D$4,12,1)-WEEKDAY(DATE($D$4,12,1),2)+1+29)</f>
        <v/>
      </c>
      <c r="T56" s="381">
        <f>IF(MONTH(DATE($D$4,12,1)-WEEKDAY(DATE($D$4,12,1),2)+1+30)&lt;&gt;12,"",DATE($D$4,12,1)-WEEKDAY(DATE($D$4,12,1),2)+1+30)</f>
        <v/>
      </c>
      <c r="U56" s="381">
        <f>IF(MONTH(DATE($D$4,12,1)-WEEKDAY(DATE($D$4,12,1),2)+1+31)&lt;&gt;12,"",DATE($D$4,12,1)-WEEKDAY(DATE($D$4,12,1),2)+1+31)</f>
        <v/>
      </c>
      <c r="V56" s="381">
        <f>IF(MONTH(DATE($D$4,12,1)-WEEKDAY(DATE($D$4,12,1),2)+1+32)&lt;&gt;12,"",DATE($D$4,12,1)-WEEKDAY(DATE($D$4,12,1),2)+1+32)</f>
        <v/>
      </c>
      <c r="W56" s="382">
        <f>IF(MONTH(DATE($D$4,12,1)-WEEKDAY(DATE($D$4,12,1),2)+1+33)&lt;&gt;12,"",DATE($D$4,12,1)-WEEKDAY(DATE($D$4,12,1),2)+1+33)</f>
        <v/>
      </c>
      <c r="X56" s="382">
        <f>IF(MONTH(DATE($D$4,12,1)-WEEKDAY(DATE($D$4,12,1),2)+1+34)&lt;&gt;12,"",DATE($D$4,12,1)-WEEKDAY(DATE($D$4,12,1),2)+1+34)</f>
        <v/>
      </c>
    </row>
    <row r="57" ht="18" customHeight="1" s="311">
      <c r="B57" s="381">
        <f>IF(MONTH(DATE($D$4,10,1)-WEEKDAY(DATE($D$4,10,1),2)+1+35)&lt;&gt;10,"",DATE($D$4,10,1)-WEEKDAY(DATE($D$4,10,1),2)+1+35)</f>
        <v/>
      </c>
      <c r="C57" s="381">
        <f>IF(MONTH(DATE($D$4,10,1)-WEEKDAY(DATE($D$4,10,1),2)+1+36)&lt;&gt;10,"",DATE($D$4,10,1)-WEEKDAY(DATE($D$4,10,1),2)+1+36)</f>
        <v/>
      </c>
      <c r="D57" s="381">
        <f>IF(MONTH(DATE($D$4,10,1)-WEEKDAY(DATE($D$4,10,1),2)+1+37)&lt;&gt;10,"",DATE($D$4,10,1)-WEEKDAY(DATE($D$4,10,1),2)+1+37)</f>
        <v/>
      </c>
      <c r="E57" s="381">
        <f>IF(MONTH(DATE($D$4,10,1)-WEEKDAY(DATE($D$4,10,1),2)+1+38)&lt;&gt;10,"",DATE($D$4,10,1)-WEEKDAY(DATE($D$4,10,1),2)+1+38)</f>
        <v/>
      </c>
      <c r="F57" s="381">
        <f>IF(MONTH(DATE($D$4,10,1)-WEEKDAY(DATE($D$4,10,1),2)+1+39)&lt;&gt;10,"",DATE($D$4,10,1)-WEEKDAY(DATE($D$4,10,1),2)+1+39)</f>
        <v/>
      </c>
      <c r="G57" s="382">
        <f>IF(MONTH(DATE($D$4,10,1)-WEEKDAY(DATE($D$4,10,1),2)+1+40)&lt;&gt;10,"",DATE($D$4,10,1)-WEEKDAY(DATE($D$4,10,1),2)+1+40)</f>
        <v/>
      </c>
      <c r="H57" s="382">
        <f>IF(MONTH(DATE($D$4,10,1)-WEEKDAY(DATE($D$4,10,1),2)+1+41)&lt;&gt;10,"",DATE($D$4,10,1)-WEEKDAY(DATE($D$4,10,1),2)+1+41)</f>
        <v/>
      </c>
      <c r="J57" s="381">
        <f>IF(MONTH(DATE($D$4,11,1)-WEEKDAY(DATE($D$4,11,1),2)+1+35)&lt;&gt;11,"",DATE($D$4,11,1)-WEEKDAY(DATE($D$4,11,1),2)+1+35)</f>
        <v/>
      </c>
      <c r="K57" s="381">
        <f>IF(MONTH(DATE($D$4,11,1)-WEEKDAY(DATE($D$4,11,1),2)+1+36)&lt;&gt;11,"",DATE($D$4,11,1)-WEEKDAY(DATE($D$4,11,1),2)+1+36)</f>
        <v/>
      </c>
      <c r="L57" s="381">
        <f>IF(MONTH(DATE($D$4,11,1)-WEEKDAY(DATE($D$4,11,1),2)+1+37)&lt;&gt;11,"",DATE($D$4,11,1)-WEEKDAY(DATE($D$4,11,1),2)+1+37)</f>
        <v/>
      </c>
      <c r="M57" s="381">
        <f>IF(MONTH(DATE($D$4,11,1)-WEEKDAY(DATE($D$4,11,1),2)+1+38)&lt;&gt;11,"",DATE($D$4,11,1)-WEEKDAY(DATE($D$4,11,1),2)+1+38)</f>
        <v/>
      </c>
      <c r="N57" s="381">
        <f>IF(MONTH(DATE($D$4,11,1)-WEEKDAY(DATE($D$4,11,1),2)+1+39)&lt;&gt;11,"",DATE($D$4,11,1)-WEEKDAY(DATE($D$4,11,1),2)+1+39)</f>
        <v/>
      </c>
      <c r="O57" s="382">
        <f>IF(MONTH(DATE($D$4,11,1)-WEEKDAY(DATE($D$4,11,1),2)+1+40)&lt;&gt;11,"",DATE($D$4,11,1)-WEEKDAY(DATE($D$4,11,1),2)+1+40)</f>
        <v/>
      </c>
      <c r="P57" s="382">
        <f>IF(MONTH(DATE($D$4,11,1)-WEEKDAY(DATE($D$4,11,1),2)+1+41)&lt;&gt;11,"",DATE($D$4,11,1)-WEEKDAY(DATE($D$4,11,1),2)+1+41)</f>
        <v/>
      </c>
      <c r="R57" s="381">
        <f>IF(MONTH(DATE($D$4,12,1)-WEEKDAY(DATE($D$4,12,1),2)+1+35)&lt;&gt;12,"",DATE($D$4,12,1)-WEEKDAY(DATE($D$4,12,1),2)+1+35)</f>
        <v/>
      </c>
      <c r="S57" s="381">
        <f>IF(MONTH(DATE($D$4,12,1)-WEEKDAY(DATE($D$4,12,1),2)+1+36)&lt;&gt;12,"",DATE($D$4,12,1)-WEEKDAY(DATE($D$4,12,1),2)+1+36)</f>
        <v/>
      </c>
      <c r="T57" s="381">
        <f>IF(MONTH(DATE($D$4,12,1)-WEEKDAY(DATE($D$4,12,1),2)+1+37)&lt;&gt;12,"",DATE($D$4,12,1)-WEEKDAY(DATE($D$4,12,1),2)+1+37)</f>
        <v/>
      </c>
      <c r="U57" s="381">
        <f>IF(MONTH(DATE($D$4,12,1)-WEEKDAY(DATE($D$4,12,1),2)+1+38)&lt;&gt;12,"",DATE($D$4,12,1)-WEEKDAY(DATE($D$4,12,1),2)+1+38)</f>
        <v/>
      </c>
      <c r="V57" s="381">
        <f>IF(MONTH(DATE($D$4,12,1)-WEEKDAY(DATE($D$4,12,1),2)+1+39)&lt;&gt;12,"",DATE($D$4,12,1)-WEEKDAY(DATE($D$4,12,1),2)+1+39)</f>
        <v/>
      </c>
      <c r="W57" s="382">
        <f>IF(MONTH(DATE($D$4,12,1)-WEEKDAY(DATE($D$4,12,1),2)+1+40)&lt;&gt;12,"",DATE($D$4,12,1)-WEEKDAY(DATE($D$4,12,1),2)+1+40)</f>
        <v/>
      </c>
      <c r="X57" s="382">
        <f>IF(MONTH(DATE($D$4,12,1)-WEEKDAY(DATE($D$4,12,1),2)+1+41)&lt;&gt;12,"",DATE($D$4,12,1)-WEEKDAY(DATE($D$4,12,1),2)+1+41)</f>
        <v/>
      </c>
    </row>
    <row r="58" ht="8" customHeight="1" s="311"/>
    <row r="59" ht="8" customHeight="1" s="311"/>
    <row r="60" ht="21.75" customHeight="1" s="311">
      <c r="B60" s="377" t="inlineStr">
        <is>
          <t>REGISTRO DE CITAS  —  escribe aquí; los calendarios de arriba se pintan solos</t>
        </is>
      </c>
      <c r="C60" s="378" t="n"/>
      <c r="D60" s="378" t="n"/>
      <c r="E60" s="378" t="n"/>
      <c r="F60" s="378" t="n"/>
      <c r="G60" s="378" t="n"/>
      <c r="H60" s="378" t="n"/>
      <c r="I60" s="378" t="n"/>
      <c r="J60" s="378" t="n"/>
      <c r="K60" s="378" t="n"/>
      <c r="L60" s="378" t="n"/>
      <c r="M60" s="378" t="n"/>
      <c r="N60" s="378" t="n"/>
      <c r="O60" s="378" t="n"/>
      <c r="P60" s="378" t="n"/>
      <c r="Q60" s="378" t="n"/>
      <c r="R60" s="378" t="n"/>
      <c r="S60" s="378" t="n"/>
      <c r="T60" s="378" t="n"/>
      <c r="U60" s="378" t="n"/>
      <c r="V60" s="378" t="n"/>
      <c r="W60" s="378" t="n"/>
      <c r="X60" s="378" t="n"/>
      <c r="Y60" s="378" t="n"/>
    </row>
    <row r="61" ht="30" customHeight="1" s="311">
      <c r="B61" s="383" t="inlineStr">
        <is>
          <t>Fecha</t>
        </is>
      </c>
      <c r="C61" s="359" t="n"/>
      <c r="D61" s="383" t="inlineStr">
        <is>
          <t>Hora</t>
        </is>
      </c>
      <c r="E61" s="359" t="n"/>
      <c r="F61" s="383" t="inlineStr">
        <is>
          <t>Min.</t>
        </is>
      </c>
      <c r="G61" s="383" t="inlineStr">
        <is>
          <t>Cita / asunto</t>
        </is>
      </c>
      <c r="H61" s="359" t="n"/>
      <c r="I61" s="359" t="n"/>
      <c r="J61" s="359" t="n"/>
      <c r="K61" s="359" t="n"/>
      <c r="L61" s="359" t="n"/>
      <c r="M61" s="383" t="inlineStr">
        <is>
          <t>Con quién</t>
        </is>
      </c>
      <c r="N61" s="359" t="n"/>
      <c r="O61" s="359" t="n"/>
      <c r="P61" s="383" t="inlineStr">
        <is>
          <t>Lugar o enlace</t>
        </is>
      </c>
      <c r="Q61" s="359" t="n"/>
      <c r="R61" s="359" t="n"/>
      <c r="S61" s="383" t="inlineStr">
        <is>
          <t>Prioridad</t>
        </is>
      </c>
      <c r="T61" s="359" t="n"/>
      <c r="U61" s="359" t="n"/>
      <c r="V61" s="383" t="inlineStr">
        <is>
          <t>Estado</t>
        </is>
      </c>
      <c r="W61" s="359" t="n"/>
      <c r="X61" s="359" t="n"/>
      <c r="Y61" s="383" t="inlineStr">
        <is>
          <t>Google
Calendar</t>
        </is>
      </c>
      <c r="Z61" s="384" t="inlineStr">
        <is>
          <t>(técnico: próxima cita — no borrar)</t>
        </is>
      </c>
      <c r="AA61" s="384" t="inlineStr">
        <is>
          <t>(técnico: ID del evento en Google Calendar — lo escribe el script)</t>
        </is>
      </c>
    </row>
    <row r="62" ht="15" customHeight="1" s="311">
      <c r="B62" s="385" t="n">
        <v>46247</v>
      </c>
      <c r="C62" s="343" t="n"/>
      <c r="D62" s="386" t="n">
        <v>0.4375</v>
      </c>
      <c r="E62" s="343" t="n"/>
      <c r="F62" s="387" t="n">
        <v>60</v>
      </c>
      <c r="G62" s="388" t="inlineStr">
        <is>
          <t>Reunión con el banco — línea de crédito (ejemplo)</t>
        </is>
      </c>
      <c r="H62" s="343" t="n"/>
      <c r="I62" s="343" t="n"/>
      <c r="J62" s="343" t="n"/>
      <c r="K62" s="343" t="n"/>
      <c r="L62" s="343" t="n"/>
      <c r="M62" s="388" t="inlineStr">
        <is>
          <t>Oficina BBVA</t>
        </is>
      </c>
      <c r="N62" s="343" t="n"/>
      <c r="O62" s="343" t="n"/>
      <c r="P62" s="388" t="inlineStr">
        <is>
          <t>Sucursal Centro</t>
        </is>
      </c>
      <c r="Q62" s="343" t="n"/>
      <c r="R62" s="343" t="n"/>
      <c r="S62" s="389" t="inlineStr">
        <is>
          <t>1 · Urgente</t>
        </is>
      </c>
      <c r="T62" s="343" t="n"/>
      <c r="U62" s="343" t="n"/>
      <c r="V62" s="389" t="inlineStr">
        <is>
          <t>2 · Confirmada</t>
        </is>
      </c>
      <c r="W62" s="343" t="n"/>
      <c r="X62" s="343" t="n"/>
      <c r="Y62" s="390">
        <f>IF(OR($B62="",$G62=""),"",HYPERLINK("https://calendar.google.com/calendar/render?action=TEMPLATE&amp;text="&amp;ENCODEURL($G62)&amp;"&amp;dates="&amp;TEXT($B62,"YYYYMMDD")&amp;"T"&amp;TEXT($D62,"HHMMSS")&amp;"/"&amp;TEXT($B62+($D62+N($F62)/1440),"YYYYMMDD")&amp;"T"&amp;TEXT(MOD($D62+N($F62)/1440,1),"HHMMSS")&amp;"&amp;ctz=Europe/Madrid&amp;location="&amp;ENCODEURL($P62)&amp;"&amp;details="&amp;ENCODEURL("Cita de "&amp;$M62),"➕ Añadir"))</f>
        <v/>
      </c>
      <c r="Z62" s="391">
        <f>IF(OR($B62="",$V62="4 · Cancelada",$V62="3 · Hecha",N($B62)&lt;TODAY()),"",$B62)</f>
        <v/>
      </c>
    </row>
    <row r="63" ht="15" customHeight="1" s="311">
      <c r="B63" s="385" t="n">
        <v>46247</v>
      </c>
      <c r="C63" s="343" t="n"/>
      <c r="D63" s="386" t="n">
        <v>0.7083333333333334</v>
      </c>
      <c r="E63" s="343" t="n"/>
      <c r="F63" s="387" t="n">
        <v>45</v>
      </c>
      <c r="G63" s="388" t="inlineStr">
        <is>
          <t>Llamada con Jose Antonio — acuerdo de devolución (ejemplo)</t>
        </is>
      </c>
      <c r="H63" s="343" t="n"/>
      <c r="I63" s="343" t="n"/>
      <c r="J63" s="343" t="n"/>
      <c r="K63" s="343" t="n"/>
      <c r="L63" s="343" t="n"/>
      <c r="M63" s="388" t="inlineStr">
        <is>
          <t>Jose Antonio Garcia</t>
        </is>
      </c>
      <c r="N63" s="343" t="n"/>
      <c r="O63" s="343" t="n"/>
      <c r="P63" s="388" t="inlineStr">
        <is>
          <t>Teléfono</t>
        </is>
      </c>
      <c r="Q63" s="343" t="n"/>
      <c r="R63" s="343" t="n"/>
      <c r="S63" s="389" t="inlineStr">
        <is>
          <t>2 · Alta</t>
        </is>
      </c>
      <c r="T63" s="343" t="n"/>
      <c r="U63" s="343" t="n"/>
      <c r="V63" s="389" t="inlineStr">
        <is>
          <t>1 · Pendiente</t>
        </is>
      </c>
      <c r="W63" s="343" t="n"/>
      <c r="X63" s="343" t="n"/>
      <c r="Y63" s="390">
        <f>IF(OR($B63="",$G63=""),"",HYPERLINK("https://calendar.google.com/calendar/render?action=TEMPLATE&amp;text="&amp;ENCODEURL($G63)&amp;"&amp;dates="&amp;TEXT($B63,"YYYYMMDD")&amp;"T"&amp;TEXT($D63,"HHMMSS")&amp;"/"&amp;TEXT($B63+($D63+N($F63)/1440),"YYYYMMDD")&amp;"T"&amp;TEXT(MOD($D63+N($F63)/1440,1),"HHMMSS")&amp;"&amp;ctz=Europe/Madrid&amp;location="&amp;ENCODEURL($P63)&amp;"&amp;details="&amp;ENCODEURL("Cita de "&amp;$M63),"➕ Añadir"))</f>
        <v/>
      </c>
      <c r="Z63" s="391">
        <f>IF(OR($B63="",$V63="4 · Cancelada",$V63="3 · Hecha",N($B63)&lt;TODAY()),"",$B63)</f>
        <v/>
      </c>
    </row>
    <row r="64" ht="15" customHeight="1" s="311">
      <c r="B64" s="385" t="n">
        <v>46254</v>
      </c>
      <c r="C64" s="343" t="n"/>
      <c r="D64" s="386" t="n">
        <v>0.375</v>
      </c>
      <c r="E64" s="343" t="n"/>
      <c r="F64" s="387" t="n">
        <v>90</v>
      </c>
      <c r="G64" s="388" t="inlineStr">
        <is>
          <t>Revisión de facturas vencidas (ejemplo)</t>
        </is>
      </c>
      <c r="H64" s="343" t="n"/>
      <c r="I64" s="343" t="n"/>
      <c r="J64" s="343" t="n"/>
      <c r="K64" s="343" t="n"/>
      <c r="L64" s="343" t="n"/>
      <c r="M64" s="388" t="inlineStr">
        <is>
          <t>Tú</t>
        </is>
      </c>
      <c r="N64" s="343" t="n"/>
      <c r="O64" s="343" t="n"/>
      <c r="P64" s="388" t="inlineStr">
        <is>
          <t>Casa</t>
        </is>
      </c>
      <c r="Q64" s="343" t="n"/>
      <c r="R64" s="343" t="n"/>
      <c r="S64" s="389" t="inlineStr">
        <is>
          <t>3 · Media</t>
        </is>
      </c>
      <c r="T64" s="343" t="n"/>
      <c r="U64" s="343" t="n"/>
      <c r="V64" s="389" t="inlineStr">
        <is>
          <t>1 · Pendiente</t>
        </is>
      </c>
      <c r="W64" s="343" t="n"/>
      <c r="X64" s="343" t="n"/>
      <c r="Y64" s="390">
        <f>IF(OR($B64="",$G64=""),"",HYPERLINK("https://calendar.google.com/calendar/render?action=TEMPLATE&amp;text="&amp;ENCODEURL($G64)&amp;"&amp;dates="&amp;TEXT($B64,"YYYYMMDD")&amp;"T"&amp;TEXT($D64,"HHMMSS")&amp;"/"&amp;TEXT($B64+($D64+N($F64)/1440),"YYYYMMDD")&amp;"T"&amp;TEXT(MOD($D64+N($F64)/1440,1),"HHMMSS")&amp;"&amp;ctz=Europe/Madrid&amp;location="&amp;ENCODEURL($P64)&amp;"&amp;details="&amp;ENCODEURL("Cita de "&amp;$M64),"➕ Añadir"))</f>
        <v/>
      </c>
      <c r="Z64" s="391">
        <f>IF(OR($B64="",$V64="4 · Cancelada",$V64="3 · Hecha",N($B64)&lt;TODAY()),"",$B64)</f>
        <v/>
      </c>
    </row>
    <row r="65" ht="15" customHeight="1" s="311">
      <c r="B65" s="385" t="n">
        <v>46262</v>
      </c>
      <c r="C65" s="343" t="n"/>
      <c r="D65" s="386" t="n">
        <v>0.5</v>
      </c>
      <c r="E65" s="343" t="n"/>
      <c r="F65" s="387" t="n">
        <v>60</v>
      </c>
      <c r="G65" s="388" t="inlineStr">
        <is>
          <t>Cierre de mes — actualizar Disponibilidad (ejemplo)</t>
        </is>
      </c>
      <c r="H65" s="343" t="n"/>
      <c r="I65" s="343" t="n"/>
      <c r="J65" s="343" t="n"/>
      <c r="K65" s="343" t="n"/>
      <c r="L65" s="343" t="n"/>
      <c r="M65" s="388" t="inlineStr">
        <is>
          <t>Tú</t>
        </is>
      </c>
      <c r="N65" s="343" t="n"/>
      <c r="O65" s="343" t="n"/>
      <c r="P65" s="388" t="inlineStr">
        <is>
          <t>Casa</t>
        </is>
      </c>
      <c r="Q65" s="343" t="n"/>
      <c r="R65" s="343" t="n"/>
      <c r="S65" s="389" t="inlineStr">
        <is>
          <t>2 · Alta</t>
        </is>
      </c>
      <c r="T65" s="343" t="n"/>
      <c r="U65" s="343" t="n"/>
      <c r="V65" s="389" t="inlineStr">
        <is>
          <t>1 · Pendiente</t>
        </is>
      </c>
      <c r="W65" s="343" t="n"/>
      <c r="X65" s="343" t="n"/>
      <c r="Y65" s="390">
        <f>IF(OR($B65="",$G65=""),"",HYPERLINK("https://calendar.google.com/calendar/render?action=TEMPLATE&amp;text="&amp;ENCODEURL($G65)&amp;"&amp;dates="&amp;TEXT($B65,"YYYYMMDD")&amp;"T"&amp;TEXT($D65,"HHMMSS")&amp;"/"&amp;TEXT($B65+($D65+N($F65)/1440),"YYYYMMDD")&amp;"T"&amp;TEXT(MOD($D65+N($F65)/1440,1),"HHMMSS")&amp;"&amp;ctz=Europe/Madrid&amp;location="&amp;ENCODEURL($P65)&amp;"&amp;details="&amp;ENCODEURL("Cita de "&amp;$M65),"➕ Añadir"))</f>
        <v/>
      </c>
      <c r="Z65" s="391">
        <f>IF(OR($B65="",$V65="4 · Cancelada",$V65="3 · Hecha",N($B65)&lt;TODAY()),"",$B65)</f>
        <v/>
      </c>
    </row>
    <row r="66" ht="15" customHeight="1" s="311">
      <c r="B66" s="385" t="n">
        <v>46268</v>
      </c>
      <c r="C66" s="343" t="n"/>
      <c r="D66" s="386" t="n">
        <v>0.6875</v>
      </c>
      <c r="E66" s="343" t="n"/>
      <c r="F66" s="387" t="n">
        <v>60</v>
      </c>
      <c r="G66" s="388" t="inlineStr">
        <is>
          <t>Gestoría — declaración trimestral (ejemplo)</t>
        </is>
      </c>
      <c r="H66" s="343" t="n"/>
      <c r="I66" s="343" t="n"/>
      <c r="J66" s="343" t="n"/>
      <c r="K66" s="343" t="n"/>
      <c r="L66" s="343" t="n"/>
      <c r="M66" s="388" t="inlineStr">
        <is>
          <t>Gestoría</t>
        </is>
      </c>
      <c r="N66" s="343" t="n"/>
      <c r="O66" s="343" t="n"/>
      <c r="P66" s="388" t="inlineStr">
        <is>
          <t>Videollamada</t>
        </is>
      </c>
      <c r="Q66" s="343" t="n"/>
      <c r="R66" s="343" t="n"/>
      <c r="S66" s="389" t="inlineStr">
        <is>
          <t>1 · Urgente</t>
        </is>
      </c>
      <c r="T66" s="343" t="n"/>
      <c r="U66" s="343" t="n"/>
      <c r="V66" s="389" t="inlineStr">
        <is>
          <t>2 · Confirmada</t>
        </is>
      </c>
      <c r="W66" s="343" t="n"/>
      <c r="X66" s="343" t="n"/>
      <c r="Y66" s="390">
        <f>IF(OR($B66="",$G66=""),"",HYPERLINK("https://calendar.google.com/calendar/render?action=TEMPLATE&amp;text="&amp;ENCODEURL($G66)&amp;"&amp;dates="&amp;TEXT($B66,"YYYYMMDD")&amp;"T"&amp;TEXT($D66,"HHMMSS")&amp;"/"&amp;TEXT($B66+($D66+N($F66)/1440),"YYYYMMDD")&amp;"T"&amp;TEXT(MOD($D66+N($F66)/1440,1),"HHMMSS")&amp;"&amp;ctz=Europe/Madrid&amp;location="&amp;ENCODEURL($P66)&amp;"&amp;details="&amp;ENCODEURL("Cita de "&amp;$M66),"➕ Añadir"))</f>
        <v/>
      </c>
      <c r="Z66" s="391">
        <f>IF(OR($B66="",$V66="4 · Cancelada",$V66="3 · Hecha",N($B66)&lt;TODAY()),"",$B66)</f>
        <v/>
      </c>
    </row>
    <row r="67" ht="15" customHeight="1" s="311">
      <c r="B67" s="385" t="n">
        <v>46280</v>
      </c>
      <c r="C67" s="343" t="n"/>
      <c r="D67" s="386" t="n">
        <v>0.4583333333333333</v>
      </c>
      <c r="E67" s="343" t="n"/>
      <c r="F67" s="387" t="n">
        <v>30</v>
      </c>
      <c r="G67" s="388" t="inlineStr">
        <is>
          <t>Revisión de la cartera de inversiones (ejemplo)</t>
        </is>
      </c>
      <c r="H67" s="343" t="n"/>
      <c r="I67" s="343" t="n"/>
      <c r="J67" s="343" t="n"/>
      <c r="K67" s="343" t="n"/>
      <c r="L67" s="343" t="n"/>
      <c r="M67" s="388" t="inlineStr">
        <is>
          <t>Tú</t>
        </is>
      </c>
      <c r="N67" s="343" t="n"/>
      <c r="O67" s="343" t="n"/>
      <c r="P67" s="388" t="inlineStr">
        <is>
          <t>Casa</t>
        </is>
      </c>
      <c r="Q67" s="343" t="n"/>
      <c r="R67" s="343" t="n"/>
      <c r="S67" s="389" t="inlineStr">
        <is>
          <t>4 · Baja</t>
        </is>
      </c>
      <c r="T67" s="343" t="n"/>
      <c r="U67" s="343" t="n"/>
      <c r="V67" s="389" t="inlineStr">
        <is>
          <t>1 · Pendiente</t>
        </is>
      </c>
      <c r="W67" s="343" t="n"/>
      <c r="X67" s="343" t="n"/>
      <c r="Y67" s="390">
        <f>IF(OR($B67="",$G67=""),"",HYPERLINK("https://calendar.google.com/calendar/render?action=TEMPLATE&amp;text="&amp;ENCODEURL($G67)&amp;"&amp;dates="&amp;TEXT($B67,"YYYYMMDD")&amp;"T"&amp;TEXT($D67,"HHMMSS")&amp;"/"&amp;TEXT($B67+($D67+N($F67)/1440),"YYYYMMDD")&amp;"T"&amp;TEXT(MOD($D67+N($F67)/1440,1),"HHMMSS")&amp;"&amp;ctz=Europe/Madrid&amp;location="&amp;ENCODEURL($P67)&amp;"&amp;details="&amp;ENCODEURL("Cita de "&amp;$M67),"➕ Añadir"))</f>
        <v/>
      </c>
      <c r="Z67" s="391">
        <f>IF(OR($B67="",$V67="4 · Cancelada",$V67="3 · Hecha",N($B67)&lt;TODAY()),"",$B67)</f>
        <v/>
      </c>
    </row>
    <row r="68" ht="15" customHeight="1" s="311">
      <c r="B68" s="385" t="n">
        <v>46296</v>
      </c>
      <c r="C68" s="343" t="n"/>
      <c r="D68" s="386" t="n">
        <v>0.75</v>
      </c>
      <c r="E68" s="343" t="n"/>
      <c r="F68" s="387" t="n">
        <v>60</v>
      </c>
      <c r="G68" s="388" t="inlineStr">
        <is>
          <t>Revisión del plan de salida de deuda (ejemplo)</t>
        </is>
      </c>
      <c r="H68" s="343" t="n"/>
      <c r="I68" s="343" t="n"/>
      <c r="J68" s="343" t="n"/>
      <c r="K68" s="343" t="n"/>
      <c r="L68" s="343" t="n"/>
      <c r="M68" s="388" t="inlineStr">
        <is>
          <t>Tú</t>
        </is>
      </c>
      <c r="N68" s="343" t="n"/>
      <c r="O68" s="343" t="n"/>
      <c r="P68" s="388" t="inlineStr">
        <is>
          <t>Casa</t>
        </is>
      </c>
      <c r="Q68" s="343" t="n"/>
      <c r="R68" s="343" t="n"/>
      <c r="S68" s="389" t="inlineStr">
        <is>
          <t>3 · Media</t>
        </is>
      </c>
      <c r="T68" s="343" t="n"/>
      <c r="U68" s="343" t="n"/>
      <c r="V68" s="389" t="inlineStr">
        <is>
          <t>1 · Pendiente</t>
        </is>
      </c>
      <c r="W68" s="343" t="n"/>
      <c r="X68" s="343" t="n"/>
      <c r="Y68" s="390">
        <f>IF(OR($B68="",$G68=""),"",HYPERLINK("https://calendar.google.com/calendar/render?action=TEMPLATE&amp;text="&amp;ENCODEURL($G68)&amp;"&amp;dates="&amp;TEXT($B68,"YYYYMMDD")&amp;"T"&amp;TEXT($D68,"HHMMSS")&amp;"/"&amp;TEXT($B68+($D68+N($F68)/1440),"YYYYMMDD")&amp;"T"&amp;TEXT(MOD($D68+N($F68)/1440,1),"HHMMSS")&amp;"&amp;ctz=Europe/Madrid&amp;location="&amp;ENCODEURL($P68)&amp;"&amp;details="&amp;ENCODEURL("Cita de "&amp;$M68),"➕ Añadir"))</f>
        <v/>
      </c>
      <c r="Z68" s="391">
        <f>IF(OR($B68="",$V68="4 · Cancelada",$V68="3 · Hecha",N($B68)&lt;TODAY()),"",$B68)</f>
        <v/>
      </c>
    </row>
    <row r="69" ht="15" customHeight="1" s="311">
      <c r="B69" s="385" t="n">
        <v>46338</v>
      </c>
      <c r="C69" s="343" t="n"/>
      <c r="D69" s="386" t="n">
        <v>0.4166666666666667</v>
      </c>
      <c r="E69" s="343" t="n"/>
      <c r="F69" s="387" t="n">
        <v>120</v>
      </c>
      <c r="G69" s="388" t="inlineStr">
        <is>
          <t>Notaría — firma hipoteca (ejemplo)</t>
        </is>
      </c>
      <c r="H69" s="343" t="n"/>
      <c r="I69" s="343" t="n"/>
      <c r="J69" s="343" t="n"/>
      <c r="K69" s="343" t="n"/>
      <c r="L69" s="343" t="n"/>
      <c r="M69" s="388" t="inlineStr">
        <is>
          <t>Notaría</t>
        </is>
      </c>
      <c r="N69" s="343" t="n"/>
      <c r="O69" s="343" t="n"/>
      <c r="P69" s="388" t="inlineStr">
        <is>
          <t>Notaría</t>
        </is>
      </c>
      <c r="Q69" s="343" t="n"/>
      <c r="R69" s="343" t="n"/>
      <c r="S69" s="389" t="inlineStr">
        <is>
          <t>1 · Urgente</t>
        </is>
      </c>
      <c r="T69" s="343" t="n"/>
      <c r="U69" s="343" t="n"/>
      <c r="V69" s="389" t="inlineStr">
        <is>
          <t>1 · Pendiente</t>
        </is>
      </c>
      <c r="W69" s="343" t="n"/>
      <c r="X69" s="343" t="n"/>
      <c r="Y69" s="390">
        <f>IF(OR($B69="",$G69=""),"",HYPERLINK("https://calendar.google.com/calendar/render?action=TEMPLATE&amp;text="&amp;ENCODEURL($G69)&amp;"&amp;dates="&amp;TEXT($B69,"YYYYMMDD")&amp;"T"&amp;TEXT($D69,"HHMMSS")&amp;"/"&amp;TEXT($B69+($D69+N($F69)/1440),"YYYYMMDD")&amp;"T"&amp;TEXT(MOD($D69+N($F69)/1440,1),"HHMMSS")&amp;"&amp;ctz=Europe/Madrid&amp;location="&amp;ENCODEURL($P69)&amp;"&amp;details="&amp;ENCODEURL("Cita de "&amp;$M69),"➕ Añadir"))</f>
        <v/>
      </c>
      <c r="Z69" s="391">
        <f>IF(OR($B69="",$V69="4 · Cancelada",$V69="3 · Hecha",N($B69)&lt;TODAY()),"",$B69)</f>
        <v/>
      </c>
    </row>
    <row r="70" ht="15" customHeight="1" s="311">
      <c r="B70" s="385" t="n"/>
      <c r="C70" s="343" t="n"/>
      <c r="D70" s="386" t="n"/>
      <c r="E70" s="343" t="n"/>
      <c r="F70" s="387" t="n"/>
      <c r="G70" s="388" t="n"/>
      <c r="H70" s="343" t="n"/>
      <c r="I70" s="343" t="n"/>
      <c r="J70" s="343" t="n"/>
      <c r="K70" s="343" t="n"/>
      <c r="L70" s="343" t="n"/>
      <c r="M70" s="388" t="n"/>
      <c r="N70" s="343" t="n"/>
      <c r="O70" s="343" t="n"/>
      <c r="P70" s="388" t="n"/>
      <c r="Q70" s="343" t="n"/>
      <c r="R70" s="343" t="n"/>
      <c r="S70" s="389" t="n"/>
      <c r="T70" s="343" t="n"/>
      <c r="U70" s="343" t="n"/>
      <c r="V70" s="389" t="n"/>
      <c r="W70" s="343" t="n"/>
      <c r="X70" s="343" t="n"/>
      <c r="Y70" s="390">
        <f>IF(OR($B70="",$G70=""),"",HYPERLINK("https://calendar.google.com/calendar/render?action=TEMPLATE&amp;text="&amp;ENCODEURL($G70)&amp;"&amp;dates="&amp;TEXT($B70,"YYYYMMDD")&amp;"T"&amp;TEXT($D70,"HHMMSS")&amp;"/"&amp;TEXT($B70+($D70+N($F70)/1440),"YYYYMMDD")&amp;"T"&amp;TEXT(MOD($D70+N($F70)/1440,1),"HHMMSS")&amp;"&amp;ctz=Europe/Madrid&amp;location="&amp;ENCODEURL($P70)&amp;"&amp;details="&amp;ENCODEURL("Cita de "&amp;$M70),"➕ Añadir"))</f>
        <v/>
      </c>
      <c r="Z70" s="391">
        <f>IF(OR($B70="",$V70="4 · Cancelada",$V70="3 · Hecha",N($B70)&lt;TODAY()),"",$B70)</f>
        <v/>
      </c>
    </row>
    <row r="71" ht="15" customHeight="1" s="311">
      <c r="B71" s="385" t="n"/>
      <c r="C71" s="343" t="n"/>
      <c r="D71" s="386" t="n"/>
      <c r="E71" s="343" t="n"/>
      <c r="F71" s="387" t="n"/>
      <c r="G71" s="388" t="n"/>
      <c r="H71" s="343" t="n"/>
      <c r="I71" s="343" t="n"/>
      <c r="J71" s="343" t="n"/>
      <c r="K71" s="343" t="n"/>
      <c r="L71" s="343" t="n"/>
      <c r="M71" s="388" t="n"/>
      <c r="N71" s="343" t="n"/>
      <c r="O71" s="343" t="n"/>
      <c r="P71" s="388" t="n"/>
      <c r="Q71" s="343" t="n"/>
      <c r="R71" s="343" t="n"/>
      <c r="S71" s="389" t="n"/>
      <c r="T71" s="343" t="n"/>
      <c r="U71" s="343" t="n"/>
      <c r="V71" s="389" t="n"/>
      <c r="W71" s="343" t="n"/>
      <c r="X71" s="343" t="n"/>
      <c r="Y71" s="390">
        <f>IF(OR($B71="",$G71=""),"",HYPERLINK("https://calendar.google.com/calendar/render?action=TEMPLATE&amp;text="&amp;ENCODEURL($G71)&amp;"&amp;dates="&amp;TEXT($B71,"YYYYMMDD")&amp;"T"&amp;TEXT($D71,"HHMMSS")&amp;"/"&amp;TEXT($B71+($D71+N($F71)/1440),"YYYYMMDD")&amp;"T"&amp;TEXT(MOD($D71+N($F71)/1440,1),"HHMMSS")&amp;"&amp;ctz=Europe/Madrid&amp;location="&amp;ENCODEURL($P71)&amp;"&amp;details="&amp;ENCODEURL("Cita de "&amp;$M71),"➕ Añadir"))</f>
        <v/>
      </c>
      <c r="Z71" s="391">
        <f>IF(OR($B71="",$V71="4 · Cancelada",$V71="3 · Hecha",N($B71)&lt;TODAY()),"",$B71)</f>
        <v/>
      </c>
    </row>
    <row r="72" ht="15" customHeight="1" s="311">
      <c r="B72" s="385" t="n"/>
      <c r="C72" s="343" t="n"/>
      <c r="D72" s="386" t="n"/>
      <c r="E72" s="343" t="n"/>
      <c r="F72" s="387" t="n"/>
      <c r="G72" s="388" t="n"/>
      <c r="H72" s="343" t="n"/>
      <c r="I72" s="343" t="n"/>
      <c r="J72" s="343" t="n"/>
      <c r="K72" s="343" t="n"/>
      <c r="L72" s="343" t="n"/>
      <c r="M72" s="388" t="n"/>
      <c r="N72" s="343" t="n"/>
      <c r="O72" s="343" t="n"/>
      <c r="P72" s="388" t="n"/>
      <c r="Q72" s="343" t="n"/>
      <c r="R72" s="343" t="n"/>
      <c r="S72" s="389" t="n"/>
      <c r="T72" s="343" t="n"/>
      <c r="U72" s="343" t="n"/>
      <c r="V72" s="389" t="n"/>
      <c r="W72" s="343" t="n"/>
      <c r="X72" s="343" t="n"/>
      <c r="Y72" s="390">
        <f>IF(OR($B72="",$G72=""),"",HYPERLINK("https://calendar.google.com/calendar/render?action=TEMPLATE&amp;text="&amp;ENCODEURL($G72)&amp;"&amp;dates="&amp;TEXT($B72,"YYYYMMDD")&amp;"T"&amp;TEXT($D72,"HHMMSS")&amp;"/"&amp;TEXT($B72+($D72+N($F72)/1440),"YYYYMMDD")&amp;"T"&amp;TEXT(MOD($D72+N($F72)/1440,1),"HHMMSS")&amp;"&amp;ctz=Europe/Madrid&amp;location="&amp;ENCODEURL($P72)&amp;"&amp;details="&amp;ENCODEURL("Cita de "&amp;$M72),"➕ Añadir"))</f>
        <v/>
      </c>
      <c r="Z72" s="391">
        <f>IF(OR($B72="",$V72="4 · Cancelada",$V72="3 · Hecha",N($B72)&lt;TODAY()),"",$B72)</f>
        <v/>
      </c>
    </row>
    <row r="73" ht="15" customHeight="1" s="311">
      <c r="B73" s="385" t="n"/>
      <c r="C73" s="343" t="n"/>
      <c r="D73" s="386" t="n"/>
      <c r="E73" s="343" t="n"/>
      <c r="F73" s="387" t="n"/>
      <c r="G73" s="388" t="n"/>
      <c r="H73" s="343" t="n"/>
      <c r="I73" s="343" t="n"/>
      <c r="J73" s="343" t="n"/>
      <c r="K73" s="343" t="n"/>
      <c r="L73" s="343" t="n"/>
      <c r="M73" s="388" t="n"/>
      <c r="N73" s="343" t="n"/>
      <c r="O73" s="343" t="n"/>
      <c r="P73" s="388" t="n"/>
      <c r="Q73" s="343" t="n"/>
      <c r="R73" s="343" t="n"/>
      <c r="S73" s="389" t="n"/>
      <c r="T73" s="343" t="n"/>
      <c r="U73" s="343" t="n"/>
      <c r="V73" s="389" t="n"/>
      <c r="W73" s="343" t="n"/>
      <c r="X73" s="343" t="n"/>
      <c r="Y73" s="390">
        <f>IF(OR($B73="",$G73=""),"",HYPERLINK("https://calendar.google.com/calendar/render?action=TEMPLATE&amp;text="&amp;ENCODEURL($G73)&amp;"&amp;dates="&amp;TEXT($B73,"YYYYMMDD")&amp;"T"&amp;TEXT($D73,"HHMMSS")&amp;"/"&amp;TEXT($B73+($D73+N($F73)/1440),"YYYYMMDD")&amp;"T"&amp;TEXT(MOD($D73+N($F73)/1440,1),"HHMMSS")&amp;"&amp;ctz=Europe/Madrid&amp;location="&amp;ENCODEURL($P73)&amp;"&amp;details="&amp;ENCODEURL("Cita de "&amp;$M73),"➕ Añadir"))</f>
        <v/>
      </c>
      <c r="Z73" s="391">
        <f>IF(OR($B73="",$V73="4 · Cancelada",$V73="3 · Hecha",N($B73)&lt;TODAY()),"",$B73)</f>
        <v/>
      </c>
    </row>
    <row r="74" ht="15" customHeight="1" s="311">
      <c r="B74" s="385" t="n"/>
      <c r="C74" s="343" t="n"/>
      <c r="D74" s="386" t="n"/>
      <c r="E74" s="343" t="n"/>
      <c r="F74" s="387" t="n"/>
      <c r="G74" s="388" t="n"/>
      <c r="H74" s="343" t="n"/>
      <c r="I74" s="343" t="n"/>
      <c r="J74" s="343" t="n"/>
      <c r="K74" s="343" t="n"/>
      <c r="L74" s="343" t="n"/>
      <c r="M74" s="388" t="n"/>
      <c r="N74" s="343" t="n"/>
      <c r="O74" s="343" t="n"/>
      <c r="P74" s="388" t="n"/>
      <c r="Q74" s="343" t="n"/>
      <c r="R74" s="343" t="n"/>
      <c r="S74" s="389" t="n"/>
      <c r="T74" s="343" t="n"/>
      <c r="U74" s="343" t="n"/>
      <c r="V74" s="389" t="n"/>
      <c r="W74" s="343" t="n"/>
      <c r="X74" s="343" t="n"/>
      <c r="Y74" s="390">
        <f>IF(OR($B74="",$G74=""),"",HYPERLINK("https://calendar.google.com/calendar/render?action=TEMPLATE&amp;text="&amp;ENCODEURL($G74)&amp;"&amp;dates="&amp;TEXT($B74,"YYYYMMDD")&amp;"T"&amp;TEXT($D74,"HHMMSS")&amp;"/"&amp;TEXT($B74+($D74+N($F74)/1440),"YYYYMMDD")&amp;"T"&amp;TEXT(MOD($D74+N($F74)/1440,1),"HHMMSS")&amp;"&amp;ctz=Europe/Madrid&amp;location="&amp;ENCODEURL($P74)&amp;"&amp;details="&amp;ENCODEURL("Cita de "&amp;$M74),"➕ Añadir"))</f>
        <v/>
      </c>
      <c r="Z74" s="391">
        <f>IF(OR($B74="",$V74="4 · Cancelada",$V74="3 · Hecha",N($B74)&lt;TODAY()),"",$B74)</f>
        <v/>
      </c>
    </row>
    <row r="75" ht="15" customHeight="1" s="311">
      <c r="B75" s="385" t="n"/>
      <c r="C75" s="343" t="n"/>
      <c r="D75" s="386" t="n"/>
      <c r="E75" s="343" t="n"/>
      <c r="F75" s="387" t="n"/>
      <c r="G75" s="388" t="n"/>
      <c r="H75" s="343" t="n"/>
      <c r="I75" s="343" t="n"/>
      <c r="J75" s="343" t="n"/>
      <c r="K75" s="343" t="n"/>
      <c r="L75" s="343" t="n"/>
      <c r="M75" s="388" t="n"/>
      <c r="N75" s="343" t="n"/>
      <c r="O75" s="343" t="n"/>
      <c r="P75" s="388" t="n"/>
      <c r="Q75" s="343" t="n"/>
      <c r="R75" s="343" t="n"/>
      <c r="S75" s="389" t="n"/>
      <c r="T75" s="343" t="n"/>
      <c r="U75" s="343" t="n"/>
      <c r="V75" s="389" t="n"/>
      <c r="W75" s="343" t="n"/>
      <c r="X75" s="343" t="n"/>
      <c r="Y75" s="390">
        <f>IF(OR($B75="",$G75=""),"",HYPERLINK("https://calendar.google.com/calendar/render?action=TEMPLATE&amp;text="&amp;ENCODEURL($G75)&amp;"&amp;dates="&amp;TEXT($B75,"YYYYMMDD")&amp;"T"&amp;TEXT($D75,"HHMMSS")&amp;"/"&amp;TEXT($B75+($D75+N($F75)/1440),"YYYYMMDD")&amp;"T"&amp;TEXT(MOD($D75+N($F75)/1440,1),"HHMMSS")&amp;"&amp;ctz=Europe/Madrid&amp;location="&amp;ENCODEURL($P75)&amp;"&amp;details="&amp;ENCODEURL("Cita de "&amp;$M75),"➕ Añadir"))</f>
        <v/>
      </c>
      <c r="Z75" s="391">
        <f>IF(OR($B75="",$V75="4 · Cancelada",$V75="3 · Hecha",N($B75)&lt;TODAY()),"",$B75)</f>
        <v/>
      </c>
    </row>
    <row r="76" ht="15" customHeight="1" s="311">
      <c r="B76" s="385" t="n"/>
      <c r="C76" s="343" t="n"/>
      <c r="D76" s="386" t="n"/>
      <c r="E76" s="343" t="n"/>
      <c r="F76" s="387" t="n"/>
      <c r="G76" s="388" t="n"/>
      <c r="H76" s="343" t="n"/>
      <c r="I76" s="343" t="n"/>
      <c r="J76" s="343" t="n"/>
      <c r="K76" s="343" t="n"/>
      <c r="L76" s="343" t="n"/>
      <c r="M76" s="388" t="n"/>
      <c r="N76" s="343" t="n"/>
      <c r="O76" s="343" t="n"/>
      <c r="P76" s="388" t="n"/>
      <c r="Q76" s="343" t="n"/>
      <c r="R76" s="343" t="n"/>
      <c r="S76" s="389" t="n"/>
      <c r="T76" s="343" t="n"/>
      <c r="U76" s="343" t="n"/>
      <c r="V76" s="389" t="n"/>
      <c r="W76" s="343" t="n"/>
      <c r="X76" s="343" t="n"/>
      <c r="Y76" s="390">
        <f>IF(OR($B76="",$G76=""),"",HYPERLINK("https://calendar.google.com/calendar/render?action=TEMPLATE&amp;text="&amp;ENCODEURL($G76)&amp;"&amp;dates="&amp;TEXT($B76,"YYYYMMDD")&amp;"T"&amp;TEXT($D76,"HHMMSS")&amp;"/"&amp;TEXT($B76+($D76+N($F76)/1440),"YYYYMMDD")&amp;"T"&amp;TEXT(MOD($D76+N($F76)/1440,1),"HHMMSS")&amp;"&amp;ctz=Europe/Madrid&amp;location="&amp;ENCODEURL($P76)&amp;"&amp;details="&amp;ENCODEURL("Cita de "&amp;$M76),"➕ Añadir"))</f>
        <v/>
      </c>
      <c r="Z76" s="391">
        <f>IF(OR($B76="",$V76="4 · Cancelada",$V76="3 · Hecha",N($B76)&lt;TODAY()),"",$B76)</f>
        <v/>
      </c>
    </row>
    <row r="77" ht="15" customHeight="1" s="311">
      <c r="B77" s="385" t="n"/>
      <c r="C77" s="343" t="n"/>
      <c r="D77" s="386" t="n"/>
      <c r="E77" s="343" t="n"/>
      <c r="F77" s="387" t="n"/>
      <c r="G77" s="388" t="n"/>
      <c r="H77" s="343" t="n"/>
      <c r="I77" s="343" t="n"/>
      <c r="J77" s="343" t="n"/>
      <c r="K77" s="343" t="n"/>
      <c r="L77" s="343" t="n"/>
      <c r="M77" s="388" t="n"/>
      <c r="N77" s="343" t="n"/>
      <c r="O77" s="343" t="n"/>
      <c r="P77" s="388" t="n"/>
      <c r="Q77" s="343" t="n"/>
      <c r="R77" s="343" t="n"/>
      <c r="S77" s="389" t="n"/>
      <c r="T77" s="343" t="n"/>
      <c r="U77" s="343" t="n"/>
      <c r="V77" s="389" t="n"/>
      <c r="W77" s="343" t="n"/>
      <c r="X77" s="343" t="n"/>
      <c r="Y77" s="390">
        <f>IF(OR($B77="",$G77=""),"",HYPERLINK("https://calendar.google.com/calendar/render?action=TEMPLATE&amp;text="&amp;ENCODEURL($G77)&amp;"&amp;dates="&amp;TEXT($B77,"YYYYMMDD")&amp;"T"&amp;TEXT($D77,"HHMMSS")&amp;"/"&amp;TEXT($B77+($D77+N($F77)/1440),"YYYYMMDD")&amp;"T"&amp;TEXT(MOD($D77+N($F77)/1440,1),"HHMMSS")&amp;"&amp;ctz=Europe/Madrid&amp;location="&amp;ENCODEURL($P77)&amp;"&amp;details="&amp;ENCODEURL("Cita de "&amp;$M77),"➕ Añadir"))</f>
        <v/>
      </c>
      <c r="Z77" s="391">
        <f>IF(OR($B77="",$V77="4 · Cancelada",$V77="3 · Hecha",N($B77)&lt;TODAY()),"",$B77)</f>
        <v/>
      </c>
    </row>
    <row r="78" ht="15" customHeight="1" s="311">
      <c r="B78" s="385" t="n"/>
      <c r="C78" s="343" t="n"/>
      <c r="D78" s="386" t="n"/>
      <c r="E78" s="343" t="n"/>
      <c r="F78" s="387" t="n"/>
      <c r="G78" s="388" t="n"/>
      <c r="H78" s="343" t="n"/>
      <c r="I78" s="343" t="n"/>
      <c r="J78" s="343" t="n"/>
      <c r="K78" s="343" t="n"/>
      <c r="L78" s="343" t="n"/>
      <c r="M78" s="388" t="n"/>
      <c r="N78" s="343" t="n"/>
      <c r="O78" s="343" t="n"/>
      <c r="P78" s="388" t="n"/>
      <c r="Q78" s="343" t="n"/>
      <c r="R78" s="343" t="n"/>
      <c r="S78" s="389" t="n"/>
      <c r="T78" s="343" t="n"/>
      <c r="U78" s="343" t="n"/>
      <c r="V78" s="389" t="n"/>
      <c r="W78" s="343" t="n"/>
      <c r="X78" s="343" t="n"/>
      <c r="Y78" s="390">
        <f>IF(OR($B78="",$G78=""),"",HYPERLINK("https://calendar.google.com/calendar/render?action=TEMPLATE&amp;text="&amp;ENCODEURL($G78)&amp;"&amp;dates="&amp;TEXT($B78,"YYYYMMDD")&amp;"T"&amp;TEXT($D78,"HHMMSS")&amp;"/"&amp;TEXT($B78+($D78+N($F78)/1440),"YYYYMMDD")&amp;"T"&amp;TEXT(MOD($D78+N($F78)/1440,1),"HHMMSS")&amp;"&amp;ctz=Europe/Madrid&amp;location="&amp;ENCODEURL($P78)&amp;"&amp;details="&amp;ENCODEURL("Cita de "&amp;$M78),"➕ Añadir"))</f>
        <v/>
      </c>
      <c r="Z78" s="391">
        <f>IF(OR($B78="",$V78="4 · Cancelada",$V78="3 · Hecha",N($B78)&lt;TODAY()),"",$B78)</f>
        <v/>
      </c>
    </row>
    <row r="79" ht="15" customHeight="1" s="311">
      <c r="B79" s="385" t="n"/>
      <c r="C79" s="343" t="n"/>
      <c r="D79" s="386" t="n"/>
      <c r="E79" s="343" t="n"/>
      <c r="F79" s="387" t="n"/>
      <c r="G79" s="388" t="n"/>
      <c r="H79" s="343" t="n"/>
      <c r="I79" s="343" t="n"/>
      <c r="J79" s="343" t="n"/>
      <c r="K79" s="343" t="n"/>
      <c r="L79" s="343" t="n"/>
      <c r="M79" s="388" t="n"/>
      <c r="N79" s="343" t="n"/>
      <c r="O79" s="343" t="n"/>
      <c r="P79" s="388" t="n"/>
      <c r="Q79" s="343" t="n"/>
      <c r="R79" s="343" t="n"/>
      <c r="S79" s="389" t="n"/>
      <c r="T79" s="343" t="n"/>
      <c r="U79" s="343" t="n"/>
      <c r="V79" s="389" t="n"/>
      <c r="W79" s="343" t="n"/>
      <c r="X79" s="343" t="n"/>
      <c r="Y79" s="390">
        <f>IF(OR($B79="",$G79=""),"",HYPERLINK("https://calendar.google.com/calendar/render?action=TEMPLATE&amp;text="&amp;ENCODEURL($G79)&amp;"&amp;dates="&amp;TEXT($B79,"YYYYMMDD")&amp;"T"&amp;TEXT($D79,"HHMMSS")&amp;"/"&amp;TEXT($B79+($D79+N($F79)/1440),"YYYYMMDD")&amp;"T"&amp;TEXT(MOD($D79+N($F79)/1440,1),"HHMMSS")&amp;"&amp;ctz=Europe/Madrid&amp;location="&amp;ENCODEURL($P79)&amp;"&amp;details="&amp;ENCODEURL("Cita de "&amp;$M79),"➕ Añadir"))</f>
        <v/>
      </c>
      <c r="Z79" s="391">
        <f>IF(OR($B79="",$V79="4 · Cancelada",$V79="3 · Hecha",N($B79)&lt;TODAY()),"",$B79)</f>
        <v/>
      </c>
    </row>
    <row r="80" ht="15" customHeight="1" s="311">
      <c r="B80" s="385" t="n"/>
      <c r="C80" s="343" t="n"/>
      <c r="D80" s="386" t="n"/>
      <c r="E80" s="343" t="n"/>
      <c r="F80" s="387" t="n"/>
      <c r="G80" s="388" t="n"/>
      <c r="H80" s="343" t="n"/>
      <c r="I80" s="343" t="n"/>
      <c r="J80" s="343" t="n"/>
      <c r="K80" s="343" t="n"/>
      <c r="L80" s="343" t="n"/>
      <c r="M80" s="388" t="n"/>
      <c r="N80" s="343" t="n"/>
      <c r="O80" s="343" t="n"/>
      <c r="P80" s="388" t="n"/>
      <c r="Q80" s="343" t="n"/>
      <c r="R80" s="343" t="n"/>
      <c r="S80" s="389" t="n"/>
      <c r="T80" s="343" t="n"/>
      <c r="U80" s="343" t="n"/>
      <c r="V80" s="389" t="n"/>
      <c r="W80" s="343" t="n"/>
      <c r="X80" s="343" t="n"/>
      <c r="Y80" s="390">
        <f>IF(OR($B80="",$G80=""),"",HYPERLINK("https://calendar.google.com/calendar/render?action=TEMPLATE&amp;text="&amp;ENCODEURL($G80)&amp;"&amp;dates="&amp;TEXT($B80,"YYYYMMDD")&amp;"T"&amp;TEXT($D80,"HHMMSS")&amp;"/"&amp;TEXT($B80+($D80+N($F80)/1440),"YYYYMMDD")&amp;"T"&amp;TEXT(MOD($D80+N($F80)/1440,1),"HHMMSS")&amp;"&amp;ctz=Europe/Madrid&amp;location="&amp;ENCODEURL($P80)&amp;"&amp;details="&amp;ENCODEURL("Cita de "&amp;$M80),"➕ Añadir"))</f>
        <v/>
      </c>
      <c r="Z80" s="391">
        <f>IF(OR($B80="",$V80="4 · Cancelada",$V80="3 · Hecha",N($B80)&lt;TODAY()),"",$B80)</f>
        <v/>
      </c>
    </row>
    <row r="81" ht="15" customHeight="1" s="311">
      <c r="B81" s="385" t="n"/>
      <c r="C81" s="343" t="n"/>
      <c r="D81" s="386" t="n"/>
      <c r="E81" s="343" t="n"/>
      <c r="F81" s="387" t="n"/>
      <c r="G81" s="388" t="n"/>
      <c r="H81" s="343" t="n"/>
      <c r="I81" s="343" t="n"/>
      <c r="J81" s="343" t="n"/>
      <c r="K81" s="343" t="n"/>
      <c r="L81" s="343" t="n"/>
      <c r="M81" s="388" t="n"/>
      <c r="N81" s="343" t="n"/>
      <c r="O81" s="343" t="n"/>
      <c r="P81" s="388" t="n"/>
      <c r="Q81" s="343" t="n"/>
      <c r="R81" s="343" t="n"/>
      <c r="S81" s="389" t="n"/>
      <c r="T81" s="343" t="n"/>
      <c r="U81" s="343" t="n"/>
      <c r="V81" s="389" t="n"/>
      <c r="W81" s="343" t="n"/>
      <c r="X81" s="343" t="n"/>
      <c r="Y81" s="390">
        <f>IF(OR($B81="",$G81=""),"",HYPERLINK("https://calendar.google.com/calendar/render?action=TEMPLATE&amp;text="&amp;ENCODEURL($G81)&amp;"&amp;dates="&amp;TEXT($B81,"YYYYMMDD")&amp;"T"&amp;TEXT($D81,"HHMMSS")&amp;"/"&amp;TEXT($B81+($D81+N($F81)/1440),"YYYYMMDD")&amp;"T"&amp;TEXT(MOD($D81+N($F81)/1440,1),"HHMMSS")&amp;"&amp;ctz=Europe/Madrid&amp;location="&amp;ENCODEURL($P81)&amp;"&amp;details="&amp;ENCODEURL("Cita de "&amp;$M81),"➕ Añadir"))</f>
        <v/>
      </c>
      <c r="Z81" s="391">
        <f>IF(OR($B81="",$V81="4 · Cancelada",$V81="3 · Hecha",N($B81)&lt;TODAY()),"",$B81)</f>
        <v/>
      </c>
    </row>
    <row r="82" ht="15" customHeight="1" s="311">
      <c r="B82" s="385" t="n"/>
      <c r="C82" s="343" t="n"/>
      <c r="D82" s="386" t="n"/>
      <c r="E82" s="343" t="n"/>
      <c r="F82" s="387" t="n"/>
      <c r="G82" s="388" t="n"/>
      <c r="H82" s="343" t="n"/>
      <c r="I82" s="343" t="n"/>
      <c r="J82" s="343" t="n"/>
      <c r="K82" s="343" t="n"/>
      <c r="L82" s="343" t="n"/>
      <c r="M82" s="388" t="n"/>
      <c r="N82" s="343" t="n"/>
      <c r="O82" s="343" t="n"/>
      <c r="P82" s="388" t="n"/>
      <c r="Q82" s="343" t="n"/>
      <c r="R82" s="343" t="n"/>
      <c r="S82" s="389" t="n"/>
      <c r="T82" s="343" t="n"/>
      <c r="U82" s="343" t="n"/>
      <c r="V82" s="389" t="n"/>
      <c r="W82" s="343" t="n"/>
      <c r="X82" s="343" t="n"/>
      <c r="Y82" s="390">
        <f>IF(OR($B82="",$G82=""),"",HYPERLINK("https://calendar.google.com/calendar/render?action=TEMPLATE&amp;text="&amp;ENCODEURL($G82)&amp;"&amp;dates="&amp;TEXT($B82,"YYYYMMDD")&amp;"T"&amp;TEXT($D82,"HHMMSS")&amp;"/"&amp;TEXT($B82+($D82+N($F82)/1440),"YYYYMMDD")&amp;"T"&amp;TEXT(MOD($D82+N($F82)/1440,1),"HHMMSS")&amp;"&amp;ctz=Europe/Madrid&amp;location="&amp;ENCODEURL($P82)&amp;"&amp;details="&amp;ENCODEURL("Cita de "&amp;$M82),"➕ Añadir"))</f>
        <v/>
      </c>
      <c r="Z82" s="391">
        <f>IF(OR($B82="",$V82="4 · Cancelada",$V82="3 · Hecha",N($B82)&lt;TODAY()),"",$B82)</f>
        <v/>
      </c>
    </row>
    <row r="83" ht="15" customHeight="1" s="311">
      <c r="B83" s="385" t="n"/>
      <c r="C83" s="343" t="n"/>
      <c r="D83" s="386" t="n"/>
      <c r="E83" s="343" t="n"/>
      <c r="F83" s="387" t="n"/>
      <c r="G83" s="388" t="n"/>
      <c r="H83" s="343" t="n"/>
      <c r="I83" s="343" t="n"/>
      <c r="J83" s="343" t="n"/>
      <c r="K83" s="343" t="n"/>
      <c r="L83" s="343" t="n"/>
      <c r="M83" s="388" t="n"/>
      <c r="N83" s="343" t="n"/>
      <c r="O83" s="343" t="n"/>
      <c r="P83" s="388" t="n"/>
      <c r="Q83" s="343" t="n"/>
      <c r="R83" s="343" t="n"/>
      <c r="S83" s="389" t="n"/>
      <c r="T83" s="343" t="n"/>
      <c r="U83" s="343" t="n"/>
      <c r="V83" s="389" t="n"/>
      <c r="W83" s="343" t="n"/>
      <c r="X83" s="343" t="n"/>
      <c r="Y83" s="390">
        <f>IF(OR($B83="",$G83=""),"",HYPERLINK("https://calendar.google.com/calendar/render?action=TEMPLATE&amp;text="&amp;ENCODEURL($G83)&amp;"&amp;dates="&amp;TEXT($B83,"YYYYMMDD")&amp;"T"&amp;TEXT($D83,"HHMMSS")&amp;"/"&amp;TEXT($B83+($D83+N($F83)/1440),"YYYYMMDD")&amp;"T"&amp;TEXT(MOD($D83+N($F83)/1440,1),"HHMMSS")&amp;"&amp;ctz=Europe/Madrid&amp;location="&amp;ENCODEURL($P83)&amp;"&amp;details="&amp;ENCODEURL("Cita de "&amp;$M83),"➕ Añadir"))</f>
        <v/>
      </c>
      <c r="Z83" s="391">
        <f>IF(OR($B83="",$V83="4 · Cancelada",$V83="3 · Hecha",N($B83)&lt;TODAY()),"",$B83)</f>
        <v/>
      </c>
    </row>
    <row r="84" ht="15" customHeight="1" s="311">
      <c r="B84" s="385" t="n"/>
      <c r="C84" s="343" t="n"/>
      <c r="D84" s="386" t="n"/>
      <c r="E84" s="343" t="n"/>
      <c r="F84" s="387" t="n"/>
      <c r="G84" s="388" t="n"/>
      <c r="H84" s="343" t="n"/>
      <c r="I84" s="343" t="n"/>
      <c r="J84" s="343" t="n"/>
      <c r="K84" s="343" t="n"/>
      <c r="L84" s="343" t="n"/>
      <c r="M84" s="388" t="n"/>
      <c r="N84" s="343" t="n"/>
      <c r="O84" s="343" t="n"/>
      <c r="P84" s="388" t="n"/>
      <c r="Q84" s="343" t="n"/>
      <c r="R84" s="343" t="n"/>
      <c r="S84" s="389" t="n"/>
      <c r="T84" s="343" t="n"/>
      <c r="U84" s="343" t="n"/>
      <c r="V84" s="389" t="n"/>
      <c r="W84" s="343" t="n"/>
      <c r="X84" s="343" t="n"/>
      <c r="Y84" s="390">
        <f>IF(OR($B84="",$G84=""),"",HYPERLINK("https://calendar.google.com/calendar/render?action=TEMPLATE&amp;text="&amp;ENCODEURL($G84)&amp;"&amp;dates="&amp;TEXT($B84,"YYYYMMDD")&amp;"T"&amp;TEXT($D84,"HHMMSS")&amp;"/"&amp;TEXT($B84+($D84+N($F84)/1440),"YYYYMMDD")&amp;"T"&amp;TEXT(MOD($D84+N($F84)/1440,1),"HHMMSS")&amp;"&amp;ctz=Europe/Madrid&amp;location="&amp;ENCODEURL($P84)&amp;"&amp;details="&amp;ENCODEURL("Cita de "&amp;$M84),"➕ Añadir"))</f>
        <v/>
      </c>
      <c r="Z84" s="391">
        <f>IF(OR($B84="",$V84="4 · Cancelada",$V84="3 · Hecha",N($B84)&lt;TODAY()),"",$B84)</f>
        <v/>
      </c>
    </row>
    <row r="85" ht="15" customHeight="1" s="311">
      <c r="B85" s="385" t="n"/>
      <c r="C85" s="343" t="n"/>
      <c r="D85" s="386" t="n"/>
      <c r="E85" s="343" t="n"/>
      <c r="F85" s="387" t="n"/>
      <c r="G85" s="388" t="n"/>
      <c r="H85" s="343" t="n"/>
      <c r="I85" s="343" t="n"/>
      <c r="J85" s="343" t="n"/>
      <c r="K85" s="343" t="n"/>
      <c r="L85" s="343" t="n"/>
      <c r="M85" s="388" t="n"/>
      <c r="N85" s="343" t="n"/>
      <c r="O85" s="343" t="n"/>
      <c r="P85" s="388" t="n"/>
      <c r="Q85" s="343" t="n"/>
      <c r="R85" s="343" t="n"/>
      <c r="S85" s="389" t="n"/>
      <c r="T85" s="343" t="n"/>
      <c r="U85" s="343" t="n"/>
      <c r="V85" s="389" t="n"/>
      <c r="W85" s="343" t="n"/>
      <c r="X85" s="343" t="n"/>
      <c r="Y85" s="390">
        <f>IF(OR($B85="",$G85=""),"",HYPERLINK("https://calendar.google.com/calendar/render?action=TEMPLATE&amp;text="&amp;ENCODEURL($G85)&amp;"&amp;dates="&amp;TEXT($B85,"YYYYMMDD")&amp;"T"&amp;TEXT($D85,"HHMMSS")&amp;"/"&amp;TEXT($B85+($D85+N($F85)/1440),"YYYYMMDD")&amp;"T"&amp;TEXT(MOD($D85+N($F85)/1440,1),"HHMMSS")&amp;"&amp;ctz=Europe/Madrid&amp;location="&amp;ENCODEURL($P85)&amp;"&amp;details="&amp;ENCODEURL("Cita de "&amp;$M85),"➕ Añadir"))</f>
        <v/>
      </c>
      <c r="Z85" s="391">
        <f>IF(OR($B85="",$V85="4 · Cancelada",$V85="3 · Hecha",N($B85)&lt;TODAY()),"",$B85)</f>
        <v/>
      </c>
    </row>
    <row r="86" ht="15" customHeight="1" s="311">
      <c r="B86" s="385" t="n"/>
      <c r="C86" s="343" t="n"/>
      <c r="D86" s="386" t="n"/>
      <c r="E86" s="343" t="n"/>
      <c r="F86" s="387" t="n"/>
      <c r="G86" s="388" t="n"/>
      <c r="H86" s="343" t="n"/>
      <c r="I86" s="343" t="n"/>
      <c r="J86" s="343" t="n"/>
      <c r="K86" s="343" t="n"/>
      <c r="L86" s="343" t="n"/>
      <c r="M86" s="388" t="n"/>
      <c r="N86" s="343" t="n"/>
      <c r="O86" s="343" t="n"/>
      <c r="P86" s="388" t="n"/>
      <c r="Q86" s="343" t="n"/>
      <c r="R86" s="343" t="n"/>
      <c r="S86" s="389" t="n"/>
      <c r="T86" s="343" t="n"/>
      <c r="U86" s="343" t="n"/>
      <c r="V86" s="389" t="n"/>
      <c r="W86" s="343" t="n"/>
      <c r="X86" s="343" t="n"/>
      <c r="Y86" s="390">
        <f>IF(OR($B86="",$G86=""),"",HYPERLINK("https://calendar.google.com/calendar/render?action=TEMPLATE&amp;text="&amp;ENCODEURL($G86)&amp;"&amp;dates="&amp;TEXT($B86,"YYYYMMDD")&amp;"T"&amp;TEXT($D86,"HHMMSS")&amp;"/"&amp;TEXT($B86+($D86+N($F86)/1440),"YYYYMMDD")&amp;"T"&amp;TEXT(MOD($D86+N($F86)/1440,1),"HHMMSS")&amp;"&amp;ctz=Europe/Madrid&amp;location="&amp;ENCODEURL($P86)&amp;"&amp;details="&amp;ENCODEURL("Cita de "&amp;$M86),"➕ Añadir"))</f>
        <v/>
      </c>
      <c r="Z86" s="391">
        <f>IF(OR($B86="",$V86="4 · Cancelada",$V86="3 · Hecha",N($B86)&lt;TODAY()),"",$B86)</f>
        <v/>
      </c>
    </row>
    <row r="87" ht="15" customHeight="1" s="311">
      <c r="B87" s="385" t="n"/>
      <c r="C87" s="343" t="n"/>
      <c r="D87" s="386" t="n"/>
      <c r="E87" s="343" t="n"/>
      <c r="F87" s="387" t="n"/>
      <c r="G87" s="388" t="n"/>
      <c r="H87" s="343" t="n"/>
      <c r="I87" s="343" t="n"/>
      <c r="J87" s="343" t="n"/>
      <c r="K87" s="343" t="n"/>
      <c r="L87" s="343" t="n"/>
      <c r="M87" s="388" t="n"/>
      <c r="N87" s="343" t="n"/>
      <c r="O87" s="343" t="n"/>
      <c r="P87" s="388" t="n"/>
      <c r="Q87" s="343" t="n"/>
      <c r="R87" s="343" t="n"/>
      <c r="S87" s="389" t="n"/>
      <c r="T87" s="343" t="n"/>
      <c r="U87" s="343" t="n"/>
      <c r="V87" s="389" t="n"/>
      <c r="W87" s="343" t="n"/>
      <c r="X87" s="343" t="n"/>
      <c r="Y87" s="390">
        <f>IF(OR($B87="",$G87=""),"",HYPERLINK("https://calendar.google.com/calendar/render?action=TEMPLATE&amp;text="&amp;ENCODEURL($G87)&amp;"&amp;dates="&amp;TEXT($B87,"YYYYMMDD")&amp;"T"&amp;TEXT($D87,"HHMMSS")&amp;"/"&amp;TEXT($B87+($D87+N($F87)/1440),"YYYYMMDD")&amp;"T"&amp;TEXT(MOD($D87+N($F87)/1440,1),"HHMMSS")&amp;"&amp;ctz=Europe/Madrid&amp;location="&amp;ENCODEURL($P87)&amp;"&amp;details="&amp;ENCODEURL("Cita de "&amp;$M87),"➕ Añadir"))</f>
        <v/>
      </c>
      <c r="Z87" s="391">
        <f>IF(OR($B87="",$V87="4 · Cancelada",$V87="3 · Hecha",N($B87)&lt;TODAY()),"",$B87)</f>
        <v/>
      </c>
    </row>
    <row r="88" ht="15" customHeight="1" s="311">
      <c r="B88" s="385" t="n"/>
      <c r="C88" s="343" t="n"/>
      <c r="D88" s="386" t="n"/>
      <c r="E88" s="343" t="n"/>
      <c r="F88" s="387" t="n"/>
      <c r="G88" s="388" t="n"/>
      <c r="H88" s="343" t="n"/>
      <c r="I88" s="343" t="n"/>
      <c r="J88" s="343" t="n"/>
      <c r="K88" s="343" t="n"/>
      <c r="L88" s="343" t="n"/>
      <c r="M88" s="388" t="n"/>
      <c r="N88" s="343" t="n"/>
      <c r="O88" s="343" t="n"/>
      <c r="P88" s="388" t="n"/>
      <c r="Q88" s="343" t="n"/>
      <c r="R88" s="343" t="n"/>
      <c r="S88" s="389" t="n"/>
      <c r="T88" s="343" t="n"/>
      <c r="U88" s="343" t="n"/>
      <c r="V88" s="389" t="n"/>
      <c r="W88" s="343" t="n"/>
      <c r="X88" s="343" t="n"/>
      <c r="Y88" s="390">
        <f>IF(OR($B88="",$G88=""),"",HYPERLINK("https://calendar.google.com/calendar/render?action=TEMPLATE&amp;text="&amp;ENCODEURL($G88)&amp;"&amp;dates="&amp;TEXT($B88,"YYYYMMDD")&amp;"T"&amp;TEXT($D88,"HHMMSS")&amp;"/"&amp;TEXT($B88+($D88+N($F88)/1440),"YYYYMMDD")&amp;"T"&amp;TEXT(MOD($D88+N($F88)/1440,1),"HHMMSS")&amp;"&amp;ctz=Europe/Madrid&amp;location="&amp;ENCODEURL($P88)&amp;"&amp;details="&amp;ENCODEURL("Cita de "&amp;$M88),"➕ Añadir"))</f>
        <v/>
      </c>
      <c r="Z88" s="391">
        <f>IF(OR($B88="",$V88="4 · Cancelada",$V88="3 · Hecha",N($B88)&lt;TODAY()),"",$B88)</f>
        <v/>
      </c>
    </row>
    <row r="89" ht="15" customHeight="1" s="311">
      <c r="B89" s="385" t="n"/>
      <c r="C89" s="343" t="n"/>
      <c r="D89" s="386" t="n"/>
      <c r="E89" s="343" t="n"/>
      <c r="F89" s="387" t="n"/>
      <c r="G89" s="388" t="n"/>
      <c r="H89" s="343" t="n"/>
      <c r="I89" s="343" t="n"/>
      <c r="J89" s="343" t="n"/>
      <c r="K89" s="343" t="n"/>
      <c r="L89" s="343" t="n"/>
      <c r="M89" s="388" t="n"/>
      <c r="N89" s="343" t="n"/>
      <c r="O89" s="343" t="n"/>
      <c r="P89" s="388" t="n"/>
      <c r="Q89" s="343" t="n"/>
      <c r="R89" s="343" t="n"/>
      <c r="S89" s="389" t="n"/>
      <c r="T89" s="343" t="n"/>
      <c r="U89" s="343" t="n"/>
      <c r="V89" s="389" t="n"/>
      <c r="W89" s="343" t="n"/>
      <c r="X89" s="343" t="n"/>
      <c r="Y89" s="390">
        <f>IF(OR($B89="",$G89=""),"",HYPERLINK("https://calendar.google.com/calendar/render?action=TEMPLATE&amp;text="&amp;ENCODEURL($G89)&amp;"&amp;dates="&amp;TEXT($B89,"YYYYMMDD")&amp;"T"&amp;TEXT($D89,"HHMMSS")&amp;"/"&amp;TEXT($B89+($D89+N($F89)/1440),"YYYYMMDD")&amp;"T"&amp;TEXT(MOD($D89+N($F89)/1440,1),"HHMMSS")&amp;"&amp;ctz=Europe/Madrid&amp;location="&amp;ENCODEURL($P89)&amp;"&amp;details="&amp;ENCODEURL("Cita de "&amp;$M89),"➕ Añadir"))</f>
        <v/>
      </c>
      <c r="Z89" s="391">
        <f>IF(OR($B89="",$V89="4 · Cancelada",$V89="3 · Hecha",N($B89)&lt;TODAY()),"",$B89)</f>
        <v/>
      </c>
    </row>
    <row r="90" ht="15" customHeight="1" s="311">
      <c r="B90" s="385" t="n"/>
      <c r="C90" s="343" t="n"/>
      <c r="D90" s="386" t="n"/>
      <c r="E90" s="343" t="n"/>
      <c r="F90" s="387" t="n"/>
      <c r="G90" s="388" t="n"/>
      <c r="H90" s="343" t="n"/>
      <c r="I90" s="343" t="n"/>
      <c r="J90" s="343" t="n"/>
      <c r="K90" s="343" t="n"/>
      <c r="L90" s="343" t="n"/>
      <c r="M90" s="388" t="n"/>
      <c r="N90" s="343" t="n"/>
      <c r="O90" s="343" t="n"/>
      <c r="P90" s="388" t="n"/>
      <c r="Q90" s="343" t="n"/>
      <c r="R90" s="343" t="n"/>
      <c r="S90" s="389" t="n"/>
      <c r="T90" s="343" t="n"/>
      <c r="U90" s="343" t="n"/>
      <c r="V90" s="389" t="n"/>
      <c r="W90" s="343" t="n"/>
      <c r="X90" s="343" t="n"/>
      <c r="Y90" s="390">
        <f>IF(OR($B90="",$G90=""),"",HYPERLINK("https://calendar.google.com/calendar/render?action=TEMPLATE&amp;text="&amp;ENCODEURL($G90)&amp;"&amp;dates="&amp;TEXT($B90,"YYYYMMDD")&amp;"T"&amp;TEXT($D90,"HHMMSS")&amp;"/"&amp;TEXT($B90+($D90+N($F90)/1440),"YYYYMMDD")&amp;"T"&amp;TEXT(MOD($D90+N($F90)/1440,1),"HHMMSS")&amp;"&amp;ctz=Europe/Madrid&amp;location="&amp;ENCODEURL($P90)&amp;"&amp;details="&amp;ENCODEURL("Cita de "&amp;$M90),"➕ Añadir"))</f>
        <v/>
      </c>
      <c r="Z90" s="391">
        <f>IF(OR($B90="",$V90="4 · Cancelada",$V90="3 · Hecha",N($B90)&lt;TODAY()),"",$B90)</f>
        <v/>
      </c>
    </row>
    <row r="91" ht="15" customHeight="1" s="311">
      <c r="B91" s="385" t="n"/>
      <c r="C91" s="343" t="n"/>
      <c r="D91" s="386" t="n"/>
      <c r="E91" s="343" t="n"/>
      <c r="F91" s="387" t="n"/>
      <c r="G91" s="388" t="n"/>
      <c r="H91" s="343" t="n"/>
      <c r="I91" s="343" t="n"/>
      <c r="J91" s="343" t="n"/>
      <c r="K91" s="343" t="n"/>
      <c r="L91" s="343" t="n"/>
      <c r="M91" s="388" t="n"/>
      <c r="N91" s="343" t="n"/>
      <c r="O91" s="343" t="n"/>
      <c r="P91" s="388" t="n"/>
      <c r="Q91" s="343" t="n"/>
      <c r="R91" s="343" t="n"/>
      <c r="S91" s="389" t="n"/>
      <c r="T91" s="343" t="n"/>
      <c r="U91" s="343" t="n"/>
      <c r="V91" s="389" t="n"/>
      <c r="W91" s="343" t="n"/>
      <c r="X91" s="343" t="n"/>
      <c r="Y91" s="390">
        <f>IF(OR($B91="",$G91=""),"",HYPERLINK("https://calendar.google.com/calendar/render?action=TEMPLATE&amp;text="&amp;ENCODEURL($G91)&amp;"&amp;dates="&amp;TEXT($B91,"YYYYMMDD")&amp;"T"&amp;TEXT($D91,"HHMMSS")&amp;"/"&amp;TEXT($B91+($D91+N($F91)/1440),"YYYYMMDD")&amp;"T"&amp;TEXT(MOD($D91+N($F91)/1440,1),"HHMMSS")&amp;"&amp;ctz=Europe/Madrid&amp;location="&amp;ENCODEURL($P91)&amp;"&amp;details="&amp;ENCODEURL("Cita de "&amp;$M91),"➕ Añadir"))</f>
        <v/>
      </c>
      <c r="Z91" s="391">
        <f>IF(OR($B91="",$V91="4 · Cancelada",$V91="3 · Hecha",N($B91)&lt;TODAY()),"",$B91)</f>
        <v/>
      </c>
    </row>
    <row r="92" ht="15" customHeight="1" s="311">
      <c r="B92" s="385" t="n"/>
      <c r="C92" s="343" t="n"/>
      <c r="D92" s="386" t="n"/>
      <c r="E92" s="343" t="n"/>
      <c r="F92" s="387" t="n"/>
      <c r="G92" s="388" t="n"/>
      <c r="H92" s="343" t="n"/>
      <c r="I92" s="343" t="n"/>
      <c r="J92" s="343" t="n"/>
      <c r="K92" s="343" t="n"/>
      <c r="L92" s="343" t="n"/>
      <c r="M92" s="388" t="n"/>
      <c r="N92" s="343" t="n"/>
      <c r="O92" s="343" t="n"/>
      <c r="P92" s="388" t="n"/>
      <c r="Q92" s="343" t="n"/>
      <c r="R92" s="343" t="n"/>
      <c r="S92" s="389" t="n"/>
      <c r="T92" s="343" t="n"/>
      <c r="U92" s="343" t="n"/>
      <c r="V92" s="389" t="n"/>
      <c r="W92" s="343" t="n"/>
      <c r="X92" s="343" t="n"/>
      <c r="Y92" s="390">
        <f>IF(OR($B92="",$G92=""),"",HYPERLINK("https://calendar.google.com/calendar/render?action=TEMPLATE&amp;text="&amp;ENCODEURL($G92)&amp;"&amp;dates="&amp;TEXT($B92,"YYYYMMDD")&amp;"T"&amp;TEXT($D92,"HHMMSS")&amp;"/"&amp;TEXT($B92+($D92+N($F92)/1440),"YYYYMMDD")&amp;"T"&amp;TEXT(MOD($D92+N($F92)/1440,1),"HHMMSS")&amp;"&amp;ctz=Europe/Madrid&amp;location="&amp;ENCODEURL($P92)&amp;"&amp;details="&amp;ENCODEURL("Cita de "&amp;$M92),"➕ Añadir"))</f>
        <v/>
      </c>
      <c r="Z92" s="391">
        <f>IF(OR($B92="",$V92="4 · Cancelada",$V92="3 · Hecha",N($B92)&lt;TODAY()),"",$B92)</f>
        <v/>
      </c>
    </row>
    <row r="93" ht="15" customHeight="1" s="311">
      <c r="B93" s="385" t="n"/>
      <c r="C93" s="343" t="n"/>
      <c r="D93" s="386" t="n"/>
      <c r="E93" s="343" t="n"/>
      <c r="F93" s="387" t="n"/>
      <c r="G93" s="388" t="n"/>
      <c r="H93" s="343" t="n"/>
      <c r="I93" s="343" t="n"/>
      <c r="J93" s="343" t="n"/>
      <c r="K93" s="343" t="n"/>
      <c r="L93" s="343" t="n"/>
      <c r="M93" s="388" t="n"/>
      <c r="N93" s="343" t="n"/>
      <c r="O93" s="343" t="n"/>
      <c r="P93" s="388" t="n"/>
      <c r="Q93" s="343" t="n"/>
      <c r="R93" s="343" t="n"/>
      <c r="S93" s="389" t="n"/>
      <c r="T93" s="343" t="n"/>
      <c r="U93" s="343" t="n"/>
      <c r="V93" s="389" t="n"/>
      <c r="W93" s="343" t="n"/>
      <c r="X93" s="343" t="n"/>
      <c r="Y93" s="390">
        <f>IF(OR($B93="",$G93=""),"",HYPERLINK("https://calendar.google.com/calendar/render?action=TEMPLATE&amp;text="&amp;ENCODEURL($G93)&amp;"&amp;dates="&amp;TEXT($B93,"YYYYMMDD")&amp;"T"&amp;TEXT($D93,"HHMMSS")&amp;"/"&amp;TEXT($B93+($D93+N($F93)/1440),"YYYYMMDD")&amp;"T"&amp;TEXT(MOD($D93+N($F93)/1440,1),"HHMMSS")&amp;"&amp;ctz=Europe/Madrid&amp;location="&amp;ENCODEURL($P93)&amp;"&amp;details="&amp;ENCODEURL("Cita de "&amp;$M93),"➕ Añadir"))</f>
        <v/>
      </c>
      <c r="Z93" s="391">
        <f>IF(OR($B93="",$V93="4 · Cancelada",$V93="3 · Hecha",N($B93)&lt;TODAY()),"",$B93)</f>
        <v/>
      </c>
    </row>
    <row r="94" ht="15" customHeight="1" s="311">
      <c r="B94" s="385" t="n"/>
      <c r="C94" s="343" t="n"/>
      <c r="D94" s="386" t="n"/>
      <c r="E94" s="343" t="n"/>
      <c r="F94" s="387" t="n"/>
      <c r="G94" s="388" t="n"/>
      <c r="H94" s="343" t="n"/>
      <c r="I94" s="343" t="n"/>
      <c r="J94" s="343" t="n"/>
      <c r="K94" s="343" t="n"/>
      <c r="L94" s="343" t="n"/>
      <c r="M94" s="388" t="n"/>
      <c r="N94" s="343" t="n"/>
      <c r="O94" s="343" t="n"/>
      <c r="P94" s="388" t="n"/>
      <c r="Q94" s="343" t="n"/>
      <c r="R94" s="343" t="n"/>
      <c r="S94" s="389" t="n"/>
      <c r="T94" s="343" t="n"/>
      <c r="U94" s="343" t="n"/>
      <c r="V94" s="389" t="n"/>
      <c r="W94" s="343" t="n"/>
      <c r="X94" s="343" t="n"/>
      <c r="Y94" s="390">
        <f>IF(OR($B94="",$G94=""),"",HYPERLINK("https://calendar.google.com/calendar/render?action=TEMPLATE&amp;text="&amp;ENCODEURL($G94)&amp;"&amp;dates="&amp;TEXT($B94,"YYYYMMDD")&amp;"T"&amp;TEXT($D94,"HHMMSS")&amp;"/"&amp;TEXT($B94+($D94+N($F94)/1440),"YYYYMMDD")&amp;"T"&amp;TEXT(MOD($D94+N($F94)/1440,1),"HHMMSS")&amp;"&amp;ctz=Europe/Madrid&amp;location="&amp;ENCODEURL($P94)&amp;"&amp;details="&amp;ENCODEURL("Cita de "&amp;$M94),"➕ Añadir"))</f>
        <v/>
      </c>
      <c r="Z94" s="391">
        <f>IF(OR($B94="",$V94="4 · Cancelada",$V94="3 · Hecha",N($B94)&lt;TODAY()),"",$B94)</f>
        <v/>
      </c>
    </row>
    <row r="95" ht="15" customHeight="1" s="311">
      <c r="B95" s="385" t="n"/>
      <c r="C95" s="343" t="n"/>
      <c r="D95" s="386" t="n"/>
      <c r="E95" s="343" t="n"/>
      <c r="F95" s="387" t="n"/>
      <c r="G95" s="388" t="n"/>
      <c r="H95" s="343" t="n"/>
      <c r="I95" s="343" t="n"/>
      <c r="J95" s="343" t="n"/>
      <c r="K95" s="343" t="n"/>
      <c r="L95" s="343" t="n"/>
      <c r="M95" s="388" t="n"/>
      <c r="N95" s="343" t="n"/>
      <c r="O95" s="343" t="n"/>
      <c r="P95" s="388" t="n"/>
      <c r="Q95" s="343" t="n"/>
      <c r="R95" s="343" t="n"/>
      <c r="S95" s="389" t="n"/>
      <c r="T95" s="343" t="n"/>
      <c r="U95" s="343" t="n"/>
      <c r="V95" s="389" t="n"/>
      <c r="W95" s="343" t="n"/>
      <c r="X95" s="343" t="n"/>
      <c r="Y95" s="390">
        <f>IF(OR($B95="",$G95=""),"",HYPERLINK("https://calendar.google.com/calendar/render?action=TEMPLATE&amp;text="&amp;ENCODEURL($G95)&amp;"&amp;dates="&amp;TEXT($B95,"YYYYMMDD")&amp;"T"&amp;TEXT($D95,"HHMMSS")&amp;"/"&amp;TEXT($B95+($D95+N($F95)/1440),"YYYYMMDD")&amp;"T"&amp;TEXT(MOD($D95+N($F95)/1440,1),"HHMMSS")&amp;"&amp;ctz=Europe/Madrid&amp;location="&amp;ENCODEURL($P95)&amp;"&amp;details="&amp;ENCODEURL("Cita de "&amp;$M95),"➕ Añadir"))</f>
        <v/>
      </c>
      <c r="Z95" s="391">
        <f>IF(OR($B95="",$V95="4 · Cancelada",$V95="3 · Hecha",N($B95)&lt;TODAY()),"",$B95)</f>
        <v/>
      </c>
    </row>
    <row r="96" ht="15" customHeight="1" s="311">
      <c r="B96" s="385" t="n"/>
      <c r="C96" s="343" t="n"/>
      <c r="D96" s="386" t="n"/>
      <c r="E96" s="343" t="n"/>
      <c r="F96" s="387" t="n"/>
      <c r="G96" s="388" t="n"/>
      <c r="H96" s="343" t="n"/>
      <c r="I96" s="343" t="n"/>
      <c r="J96" s="343" t="n"/>
      <c r="K96" s="343" t="n"/>
      <c r="L96" s="343" t="n"/>
      <c r="M96" s="388" t="n"/>
      <c r="N96" s="343" t="n"/>
      <c r="O96" s="343" t="n"/>
      <c r="P96" s="388" t="n"/>
      <c r="Q96" s="343" t="n"/>
      <c r="R96" s="343" t="n"/>
      <c r="S96" s="389" t="n"/>
      <c r="T96" s="343" t="n"/>
      <c r="U96" s="343" t="n"/>
      <c r="V96" s="389" t="n"/>
      <c r="W96" s="343" t="n"/>
      <c r="X96" s="343" t="n"/>
      <c r="Y96" s="390">
        <f>IF(OR($B96="",$G96=""),"",HYPERLINK("https://calendar.google.com/calendar/render?action=TEMPLATE&amp;text="&amp;ENCODEURL($G96)&amp;"&amp;dates="&amp;TEXT($B96,"YYYYMMDD")&amp;"T"&amp;TEXT($D96,"HHMMSS")&amp;"/"&amp;TEXT($B96+($D96+N($F96)/1440),"YYYYMMDD")&amp;"T"&amp;TEXT(MOD($D96+N($F96)/1440,1),"HHMMSS")&amp;"&amp;ctz=Europe/Madrid&amp;location="&amp;ENCODEURL($P96)&amp;"&amp;details="&amp;ENCODEURL("Cita de "&amp;$M96),"➕ Añadir"))</f>
        <v/>
      </c>
      <c r="Z96" s="391">
        <f>IF(OR($B96="",$V96="4 · Cancelada",$V96="3 · Hecha",N($B96)&lt;TODAY()),"",$B96)</f>
        <v/>
      </c>
    </row>
    <row r="97" ht="15" customHeight="1" s="311">
      <c r="B97" s="385" t="n"/>
      <c r="C97" s="343" t="n"/>
      <c r="D97" s="386" t="n"/>
      <c r="E97" s="343" t="n"/>
      <c r="F97" s="387" t="n"/>
      <c r="G97" s="388" t="n"/>
      <c r="H97" s="343" t="n"/>
      <c r="I97" s="343" t="n"/>
      <c r="J97" s="343" t="n"/>
      <c r="K97" s="343" t="n"/>
      <c r="L97" s="343" t="n"/>
      <c r="M97" s="388" t="n"/>
      <c r="N97" s="343" t="n"/>
      <c r="O97" s="343" t="n"/>
      <c r="P97" s="388" t="n"/>
      <c r="Q97" s="343" t="n"/>
      <c r="R97" s="343" t="n"/>
      <c r="S97" s="389" t="n"/>
      <c r="T97" s="343" t="n"/>
      <c r="U97" s="343" t="n"/>
      <c r="V97" s="389" t="n"/>
      <c r="W97" s="343" t="n"/>
      <c r="X97" s="343" t="n"/>
      <c r="Y97" s="390">
        <f>IF(OR($B97="",$G97=""),"",HYPERLINK("https://calendar.google.com/calendar/render?action=TEMPLATE&amp;text="&amp;ENCODEURL($G97)&amp;"&amp;dates="&amp;TEXT($B97,"YYYYMMDD")&amp;"T"&amp;TEXT($D97,"HHMMSS")&amp;"/"&amp;TEXT($B97+($D97+N($F97)/1440),"YYYYMMDD")&amp;"T"&amp;TEXT(MOD($D97+N($F97)/1440,1),"HHMMSS")&amp;"&amp;ctz=Europe/Madrid&amp;location="&amp;ENCODEURL($P97)&amp;"&amp;details="&amp;ENCODEURL("Cita de "&amp;$M97),"➕ Añadir"))</f>
        <v/>
      </c>
      <c r="Z97" s="391">
        <f>IF(OR($B97="",$V97="4 · Cancelada",$V97="3 · Hecha",N($B97)&lt;TODAY()),"",$B97)</f>
        <v/>
      </c>
    </row>
    <row r="98" ht="15" customHeight="1" s="311">
      <c r="B98" s="385" t="n"/>
      <c r="C98" s="343" t="n"/>
      <c r="D98" s="386" t="n"/>
      <c r="E98" s="343" t="n"/>
      <c r="F98" s="387" t="n"/>
      <c r="G98" s="388" t="n"/>
      <c r="H98" s="343" t="n"/>
      <c r="I98" s="343" t="n"/>
      <c r="J98" s="343" t="n"/>
      <c r="K98" s="343" t="n"/>
      <c r="L98" s="343" t="n"/>
      <c r="M98" s="388" t="n"/>
      <c r="N98" s="343" t="n"/>
      <c r="O98" s="343" t="n"/>
      <c r="P98" s="388" t="n"/>
      <c r="Q98" s="343" t="n"/>
      <c r="R98" s="343" t="n"/>
      <c r="S98" s="389" t="n"/>
      <c r="T98" s="343" t="n"/>
      <c r="U98" s="343" t="n"/>
      <c r="V98" s="389" t="n"/>
      <c r="W98" s="343" t="n"/>
      <c r="X98" s="343" t="n"/>
      <c r="Y98" s="390">
        <f>IF(OR($B98="",$G98=""),"",HYPERLINK("https://calendar.google.com/calendar/render?action=TEMPLATE&amp;text="&amp;ENCODEURL($G98)&amp;"&amp;dates="&amp;TEXT($B98,"YYYYMMDD")&amp;"T"&amp;TEXT($D98,"HHMMSS")&amp;"/"&amp;TEXT($B98+($D98+N($F98)/1440),"YYYYMMDD")&amp;"T"&amp;TEXT(MOD($D98+N($F98)/1440,1),"HHMMSS")&amp;"&amp;ctz=Europe/Madrid&amp;location="&amp;ENCODEURL($P98)&amp;"&amp;details="&amp;ENCODEURL("Cita de "&amp;$M98),"➕ Añadir"))</f>
        <v/>
      </c>
      <c r="Z98" s="391">
        <f>IF(OR($B98="",$V98="4 · Cancelada",$V98="3 · Hecha",N($B98)&lt;TODAY()),"",$B98)</f>
        <v/>
      </c>
    </row>
    <row r="99" ht="15" customHeight="1" s="311">
      <c r="B99" s="385" t="n"/>
      <c r="C99" s="343" t="n"/>
      <c r="D99" s="386" t="n"/>
      <c r="E99" s="343" t="n"/>
      <c r="F99" s="387" t="n"/>
      <c r="G99" s="388" t="n"/>
      <c r="H99" s="343" t="n"/>
      <c r="I99" s="343" t="n"/>
      <c r="J99" s="343" t="n"/>
      <c r="K99" s="343" t="n"/>
      <c r="L99" s="343" t="n"/>
      <c r="M99" s="388" t="n"/>
      <c r="N99" s="343" t="n"/>
      <c r="O99" s="343" t="n"/>
      <c r="P99" s="388" t="n"/>
      <c r="Q99" s="343" t="n"/>
      <c r="R99" s="343" t="n"/>
      <c r="S99" s="389" t="n"/>
      <c r="T99" s="343" t="n"/>
      <c r="U99" s="343" t="n"/>
      <c r="V99" s="389" t="n"/>
      <c r="W99" s="343" t="n"/>
      <c r="X99" s="343" t="n"/>
      <c r="Y99" s="390">
        <f>IF(OR($B99="",$G99=""),"",HYPERLINK("https://calendar.google.com/calendar/render?action=TEMPLATE&amp;text="&amp;ENCODEURL($G99)&amp;"&amp;dates="&amp;TEXT($B99,"YYYYMMDD")&amp;"T"&amp;TEXT($D99,"HHMMSS")&amp;"/"&amp;TEXT($B99+($D99+N($F99)/1440),"YYYYMMDD")&amp;"T"&amp;TEXT(MOD($D99+N($F99)/1440,1),"HHMMSS")&amp;"&amp;ctz=Europe/Madrid&amp;location="&amp;ENCODEURL($P99)&amp;"&amp;details="&amp;ENCODEURL("Cita de "&amp;$M99),"➕ Añadir"))</f>
        <v/>
      </c>
      <c r="Z99" s="391">
        <f>IF(OR($B99="",$V99="4 · Cancelada",$V99="3 · Hecha",N($B99)&lt;TODAY()),"",$B99)</f>
        <v/>
      </c>
    </row>
    <row r="100" ht="15" customHeight="1" s="311">
      <c r="B100" s="385" t="n"/>
      <c r="C100" s="343" t="n"/>
      <c r="D100" s="386" t="n"/>
      <c r="E100" s="343" t="n"/>
      <c r="F100" s="387" t="n"/>
      <c r="G100" s="388" t="n"/>
      <c r="H100" s="343" t="n"/>
      <c r="I100" s="343" t="n"/>
      <c r="J100" s="343" t="n"/>
      <c r="K100" s="343" t="n"/>
      <c r="L100" s="343" t="n"/>
      <c r="M100" s="388" t="n"/>
      <c r="N100" s="343" t="n"/>
      <c r="O100" s="343" t="n"/>
      <c r="P100" s="388" t="n"/>
      <c r="Q100" s="343" t="n"/>
      <c r="R100" s="343" t="n"/>
      <c r="S100" s="389" t="n"/>
      <c r="T100" s="343" t="n"/>
      <c r="U100" s="343" t="n"/>
      <c r="V100" s="389" t="n"/>
      <c r="W100" s="343" t="n"/>
      <c r="X100" s="343" t="n"/>
      <c r="Y100" s="390">
        <f>IF(OR($B100="",$G100=""),"",HYPERLINK("https://calendar.google.com/calendar/render?action=TEMPLATE&amp;text="&amp;ENCODEURL($G100)&amp;"&amp;dates="&amp;TEXT($B100,"YYYYMMDD")&amp;"T"&amp;TEXT($D100,"HHMMSS")&amp;"/"&amp;TEXT($B100+($D100+N($F100)/1440),"YYYYMMDD")&amp;"T"&amp;TEXT(MOD($D100+N($F100)/1440,1),"HHMMSS")&amp;"&amp;ctz=Europe/Madrid&amp;location="&amp;ENCODEURL($P100)&amp;"&amp;details="&amp;ENCODEURL("Cita de "&amp;$M100),"➕ Añadir"))</f>
        <v/>
      </c>
      <c r="Z100" s="391">
        <f>IF(OR($B100="",$V100="4 · Cancelada",$V100="3 · Hecha",N($B100)&lt;TODAY()),"",$B100)</f>
        <v/>
      </c>
    </row>
    <row r="101" ht="15" customHeight="1" s="311">
      <c r="B101" s="385" t="n"/>
      <c r="C101" s="343" t="n"/>
      <c r="D101" s="386" t="n"/>
      <c r="E101" s="343" t="n"/>
      <c r="F101" s="387" t="n"/>
      <c r="G101" s="388" t="n"/>
      <c r="H101" s="343" t="n"/>
      <c r="I101" s="343" t="n"/>
      <c r="J101" s="343" t="n"/>
      <c r="K101" s="343" t="n"/>
      <c r="L101" s="343" t="n"/>
      <c r="M101" s="388" t="n"/>
      <c r="N101" s="343" t="n"/>
      <c r="O101" s="343" t="n"/>
      <c r="P101" s="388" t="n"/>
      <c r="Q101" s="343" t="n"/>
      <c r="R101" s="343" t="n"/>
      <c r="S101" s="389" t="n"/>
      <c r="T101" s="343" t="n"/>
      <c r="U101" s="343" t="n"/>
      <c r="V101" s="389" t="n"/>
      <c r="W101" s="343" t="n"/>
      <c r="X101" s="343" t="n"/>
      <c r="Y101" s="390">
        <f>IF(OR($B101="",$G101=""),"",HYPERLINK("https://calendar.google.com/calendar/render?action=TEMPLATE&amp;text="&amp;ENCODEURL($G101)&amp;"&amp;dates="&amp;TEXT($B101,"YYYYMMDD")&amp;"T"&amp;TEXT($D101,"HHMMSS")&amp;"/"&amp;TEXT($B101+($D101+N($F101)/1440),"YYYYMMDD")&amp;"T"&amp;TEXT(MOD($D101+N($F101)/1440,1),"HHMMSS")&amp;"&amp;ctz=Europe/Madrid&amp;location="&amp;ENCODEURL($P101)&amp;"&amp;details="&amp;ENCODEURL("Cita de "&amp;$M101),"➕ Añadir"))</f>
        <v/>
      </c>
      <c r="Z101" s="391">
        <f>IF(OR($B101="",$V101="4 · Cancelada",$V101="3 · Hecha",N($B101)&lt;TODAY()),"",$B101)</f>
        <v/>
      </c>
    </row>
    <row r="102" ht="15" customHeight="1" s="311">
      <c r="B102" s="385" t="n"/>
      <c r="C102" s="343" t="n"/>
      <c r="D102" s="386" t="n"/>
      <c r="E102" s="343" t="n"/>
      <c r="F102" s="387" t="n"/>
      <c r="G102" s="388" t="n"/>
      <c r="H102" s="343" t="n"/>
      <c r="I102" s="343" t="n"/>
      <c r="J102" s="343" t="n"/>
      <c r="K102" s="343" t="n"/>
      <c r="L102" s="343" t="n"/>
      <c r="M102" s="388" t="n"/>
      <c r="N102" s="343" t="n"/>
      <c r="O102" s="343" t="n"/>
      <c r="P102" s="388" t="n"/>
      <c r="Q102" s="343" t="n"/>
      <c r="R102" s="343" t="n"/>
      <c r="S102" s="389" t="n"/>
      <c r="T102" s="343" t="n"/>
      <c r="U102" s="343" t="n"/>
      <c r="V102" s="389" t="n"/>
      <c r="W102" s="343" t="n"/>
      <c r="X102" s="343" t="n"/>
      <c r="Y102" s="390">
        <f>IF(OR($B102="",$G102=""),"",HYPERLINK("https://calendar.google.com/calendar/render?action=TEMPLATE&amp;text="&amp;ENCODEURL($G102)&amp;"&amp;dates="&amp;TEXT($B102,"YYYYMMDD")&amp;"T"&amp;TEXT($D102,"HHMMSS")&amp;"/"&amp;TEXT($B102+($D102+N($F102)/1440),"YYYYMMDD")&amp;"T"&amp;TEXT(MOD($D102+N($F102)/1440,1),"HHMMSS")&amp;"&amp;ctz=Europe/Madrid&amp;location="&amp;ENCODEURL($P102)&amp;"&amp;details="&amp;ENCODEURL("Cita de "&amp;$M102),"➕ Añadir"))</f>
        <v/>
      </c>
      <c r="Z102" s="391">
        <f>IF(OR($B102="",$V102="4 · Cancelada",$V102="3 · Hecha",N($B102)&lt;TODAY()),"",$B102)</f>
        <v/>
      </c>
    </row>
    <row r="103" ht="15" customHeight="1" s="311">
      <c r="B103" s="385" t="n"/>
      <c r="C103" s="343" t="n"/>
      <c r="D103" s="386" t="n"/>
      <c r="E103" s="343" t="n"/>
      <c r="F103" s="387" t="n"/>
      <c r="G103" s="388" t="n"/>
      <c r="H103" s="343" t="n"/>
      <c r="I103" s="343" t="n"/>
      <c r="J103" s="343" t="n"/>
      <c r="K103" s="343" t="n"/>
      <c r="L103" s="343" t="n"/>
      <c r="M103" s="388" t="n"/>
      <c r="N103" s="343" t="n"/>
      <c r="O103" s="343" t="n"/>
      <c r="P103" s="388" t="n"/>
      <c r="Q103" s="343" t="n"/>
      <c r="R103" s="343" t="n"/>
      <c r="S103" s="389" t="n"/>
      <c r="T103" s="343" t="n"/>
      <c r="U103" s="343" t="n"/>
      <c r="V103" s="389" t="n"/>
      <c r="W103" s="343" t="n"/>
      <c r="X103" s="343" t="n"/>
      <c r="Y103" s="390">
        <f>IF(OR($B103="",$G103=""),"",HYPERLINK("https://calendar.google.com/calendar/render?action=TEMPLATE&amp;text="&amp;ENCODEURL($G103)&amp;"&amp;dates="&amp;TEXT($B103,"YYYYMMDD")&amp;"T"&amp;TEXT($D103,"HHMMSS")&amp;"/"&amp;TEXT($B103+($D103+N($F103)/1440),"YYYYMMDD")&amp;"T"&amp;TEXT(MOD($D103+N($F103)/1440,1),"HHMMSS")&amp;"&amp;ctz=Europe/Madrid&amp;location="&amp;ENCODEURL($P103)&amp;"&amp;details="&amp;ENCODEURL("Cita de "&amp;$M103),"➕ Añadir"))</f>
        <v/>
      </c>
      <c r="Z103" s="391">
        <f>IF(OR($B103="",$V103="4 · Cancelada",$V103="3 · Hecha",N($B103)&lt;TODAY()),"",$B103)</f>
        <v/>
      </c>
    </row>
    <row r="104" ht="15" customHeight="1" s="311">
      <c r="B104" s="385" t="n"/>
      <c r="C104" s="343" t="n"/>
      <c r="D104" s="386" t="n"/>
      <c r="E104" s="343" t="n"/>
      <c r="F104" s="387" t="n"/>
      <c r="G104" s="388" t="n"/>
      <c r="H104" s="343" t="n"/>
      <c r="I104" s="343" t="n"/>
      <c r="J104" s="343" t="n"/>
      <c r="K104" s="343" t="n"/>
      <c r="L104" s="343" t="n"/>
      <c r="M104" s="388" t="n"/>
      <c r="N104" s="343" t="n"/>
      <c r="O104" s="343" t="n"/>
      <c r="P104" s="388" t="n"/>
      <c r="Q104" s="343" t="n"/>
      <c r="R104" s="343" t="n"/>
      <c r="S104" s="389" t="n"/>
      <c r="T104" s="343" t="n"/>
      <c r="U104" s="343" t="n"/>
      <c r="V104" s="389" t="n"/>
      <c r="W104" s="343" t="n"/>
      <c r="X104" s="343" t="n"/>
      <c r="Y104" s="390">
        <f>IF(OR($B104="",$G104=""),"",HYPERLINK("https://calendar.google.com/calendar/render?action=TEMPLATE&amp;text="&amp;ENCODEURL($G104)&amp;"&amp;dates="&amp;TEXT($B104,"YYYYMMDD")&amp;"T"&amp;TEXT($D104,"HHMMSS")&amp;"/"&amp;TEXT($B104+($D104+N($F104)/1440),"YYYYMMDD")&amp;"T"&amp;TEXT(MOD($D104+N($F104)/1440,1),"HHMMSS")&amp;"&amp;ctz=Europe/Madrid&amp;location="&amp;ENCODEURL($P104)&amp;"&amp;details="&amp;ENCODEURL("Cita de "&amp;$M104),"➕ Añadir"))</f>
        <v/>
      </c>
      <c r="Z104" s="391">
        <f>IF(OR($B104="",$V104="4 · Cancelada",$V104="3 · Hecha",N($B104)&lt;TODAY()),"",$B104)</f>
        <v/>
      </c>
    </row>
    <row r="105" ht="15" customHeight="1" s="311">
      <c r="B105" s="385" t="n"/>
      <c r="C105" s="343" t="n"/>
      <c r="D105" s="386" t="n"/>
      <c r="E105" s="343" t="n"/>
      <c r="F105" s="387" t="n"/>
      <c r="G105" s="388" t="n"/>
      <c r="H105" s="343" t="n"/>
      <c r="I105" s="343" t="n"/>
      <c r="J105" s="343" t="n"/>
      <c r="K105" s="343" t="n"/>
      <c r="L105" s="343" t="n"/>
      <c r="M105" s="388" t="n"/>
      <c r="N105" s="343" t="n"/>
      <c r="O105" s="343" t="n"/>
      <c r="P105" s="388" t="n"/>
      <c r="Q105" s="343" t="n"/>
      <c r="R105" s="343" t="n"/>
      <c r="S105" s="389" t="n"/>
      <c r="T105" s="343" t="n"/>
      <c r="U105" s="343" t="n"/>
      <c r="V105" s="389" t="n"/>
      <c r="W105" s="343" t="n"/>
      <c r="X105" s="343" t="n"/>
      <c r="Y105" s="390">
        <f>IF(OR($B105="",$G105=""),"",HYPERLINK("https://calendar.google.com/calendar/render?action=TEMPLATE&amp;text="&amp;ENCODEURL($G105)&amp;"&amp;dates="&amp;TEXT($B105,"YYYYMMDD")&amp;"T"&amp;TEXT($D105,"HHMMSS")&amp;"/"&amp;TEXT($B105+($D105+N($F105)/1440),"YYYYMMDD")&amp;"T"&amp;TEXT(MOD($D105+N($F105)/1440,1),"HHMMSS")&amp;"&amp;ctz=Europe/Madrid&amp;location="&amp;ENCODEURL($P105)&amp;"&amp;details="&amp;ENCODEURL("Cita de "&amp;$M105),"➕ Añadir"))</f>
        <v/>
      </c>
      <c r="Z105" s="391">
        <f>IF(OR($B105="",$V105="4 · Cancelada",$V105="3 · Hecha",N($B105)&lt;TODAY()),"",$B105)</f>
        <v/>
      </c>
    </row>
    <row r="106" ht="15" customHeight="1" s="311">
      <c r="B106" s="385" t="n"/>
      <c r="C106" s="343" t="n"/>
      <c r="D106" s="386" t="n"/>
      <c r="E106" s="343" t="n"/>
      <c r="F106" s="387" t="n"/>
      <c r="G106" s="388" t="n"/>
      <c r="H106" s="343" t="n"/>
      <c r="I106" s="343" t="n"/>
      <c r="J106" s="343" t="n"/>
      <c r="K106" s="343" t="n"/>
      <c r="L106" s="343" t="n"/>
      <c r="M106" s="388" t="n"/>
      <c r="N106" s="343" t="n"/>
      <c r="O106" s="343" t="n"/>
      <c r="P106" s="388" t="n"/>
      <c r="Q106" s="343" t="n"/>
      <c r="R106" s="343" t="n"/>
      <c r="S106" s="389" t="n"/>
      <c r="T106" s="343" t="n"/>
      <c r="U106" s="343" t="n"/>
      <c r="V106" s="389" t="n"/>
      <c r="W106" s="343" t="n"/>
      <c r="X106" s="343" t="n"/>
      <c r="Y106" s="390">
        <f>IF(OR($B106="",$G106=""),"",HYPERLINK("https://calendar.google.com/calendar/render?action=TEMPLATE&amp;text="&amp;ENCODEURL($G106)&amp;"&amp;dates="&amp;TEXT($B106,"YYYYMMDD")&amp;"T"&amp;TEXT($D106,"HHMMSS")&amp;"/"&amp;TEXT($B106+($D106+N($F106)/1440),"YYYYMMDD")&amp;"T"&amp;TEXT(MOD($D106+N($F106)/1440,1),"HHMMSS")&amp;"&amp;ctz=Europe/Madrid&amp;location="&amp;ENCODEURL($P106)&amp;"&amp;details="&amp;ENCODEURL("Cita de "&amp;$M106),"➕ Añadir"))</f>
        <v/>
      </c>
      <c r="Z106" s="391">
        <f>IF(OR($B106="",$V106="4 · Cancelada",$V106="3 · Hecha",N($B106)&lt;TODAY()),"",$B106)</f>
        <v/>
      </c>
    </row>
    <row r="107" ht="15" customHeight="1" s="311">
      <c r="B107" s="385" t="n"/>
      <c r="C107" s="343" t="n"/>
      <c r="D107" s="386" t="n"/>
      <c r="E107" s="343" t="n"/>
      <c r="F107" s="387" t="n"/>
      <c r="G107" s="388" t="n"/>
      <c r="H107" s="343" t="n"/>
      <c r="I107" s="343" t="n"/>
      <c r="J107" s="343" t="n"/>
      <c r="K107" s="343" t="n"/>
      <c r="L107" s="343" t="n"/>
      <c r="M107" s="388" t="n"/>
      <c r="N107" s="343" t="n"/>
      <c r="O107" s="343" t="n"/>
      <c r="P107" s="388" t="n"/>
      <c r="Q107" s="343" t="n"/>
      <c r="R107" s="343" t="n"/>
      <c r="S107" s="389" t="n"/>
      <c r="T107" s="343" t="n"/>
      <c r="U107" s="343" t="n"/>
      <c r="V107" s="389" t="n"/>
      <c r="W107" s="343" t="n"/>
      <c r="X107" s="343" t="n"/>
      <c r="Y107" s="390">
        <f>IF(OR($B107="",$G107=""),"",HYPERLINK("https://calendar.google.com/calendar/render?action=TEMPLATE&amp;text="&amp;ENCODEURL($G107)&amp;"&amp;dates="&amp;TEXT($B107,"YYYYMMDD")&amp;"T"&amp;TEXT($D107,"HHMMSS")&amp;"/"&amp;TEXT($B107+($D107+N($F107)/1440),"YYYYMMDD")&amp;"T"&amp;TEXT(MOD($D107+N($F107)/1440,1),"HHMMSS")&amp;"&amp;ctz=Europe/Madrid&amp;location="&amp;ENCODEURL($P107)&amp;"&amp;details="&amp;ENCODEURL("Cita de "&amp;$M107),"➕ Añadir"))</f>
        <v/>
      </c>
      <c r="Z107" s="391">
        <f>IF(OR($B107="",$V107="4 · Cancelada",$V107="3 · Hecha",N($B107)&lt;TODAY()),"",$B107)</f>
        <v/>
      </c>
    </row>
    <row r="108" ht="15" customHeight="1" s="311">
      <c r="B108" s="385" t="n"/>
      <c r="C108" s="343" t="n"/>
      <c r="D108" s="386" t="n"/>
      <c r="E108" s="343" t="n"/>
      <c r="F108" s="387" t="n"/>
      <c r="G108" s="388" t="n"/>
      <c r="H108" s="343" t="n"/>
      <c r="I108" s="343" t="n"/>
      <c r="J108" s="343" t="n"/>
      <c r="K108" s="343" t="n"/>
      <c r="L108" s="343" t="n"/>
      <c r="M108" s="388" t="n"/>
      <c r="N108" s="343" t="n"/>
      <c r="O108" s="343" t="n"/>
      <c r="P108" s="388" t="n"/>
      <c r="Q108" s="343" t="n"/>
      <c r="R108" s="343" t="n"/>
      <c r="S108" s="389" t="n"/>
      <c r="T108" s="343" t="n"/>
      <c r="U108" s="343" t="n"/>
      <c r="V108" s="389" t="n"/>
      <c r="W108" s="343" t="n"/>
      <c r="X108" s="343" t="n"/>
      <c r="Y108" s="390">
        <f>IF(OR($B108="",$G108=""),"",HYPERLINK("https://calendar.google.com/calendar/render?action=TEMPLATE&amp;text="&amp;ENCODEURL($G108)&amp;"&amp;dates="&amp;TEXT($B108,"YYYYMMDD")&amp;"T"&amp;TEXT($D108,"HHMMSS")&amp;"/"&amp;TEXT($B108+($D108+N($F108)/1440),"YYYYMMDD")&amp;"T"&amp;TEXT(MOD($D108+N($F108)/1440,1),"HHMMSS")&amp;"&amp;ctz=Europe/Madrid&amp;location="&amp;ENCODEURL($P108)&amp;"&amp;details="&amp;ENCODEURL("Cita de "&amp;$M108),"➕ Añadir"))</f>
        <v/>
      </c>
      <c r="Z108" s="391">
        <f>IF(OR($B108="",$V108="4 · Cancelada",$V108="3 · Hecha",N($B108)&lt;TODAY()),"",$B108)</f>
        <v/>
      </c>
    </row>
    <row r="109" ht="15" customHeight="1" s="311">
      <c r="B109" s="385" t="n"/>
      <c r="C109" s="343" t="n"/>
      <c r="D109" s="386" t="n"/>
      <c r="E109" s="343" t="n"/>
      <c r="F109" s="387" t="n"/>
      <c r="G109" s="388" t="n"/>
      <c r="H109" s="343" t="n"/>
      <c r="I109" s="343" t="n"/>
      <c r="J109" s="343" t="n"/>
      <c r="K109" s="343" t="n"/>
      <c r="L109" s="343" t="n"/>
      <c r="M109" s="388" t="n"/>
      <c r="N109" s="343" t="n"/>
      <c r="O109" s="343" t="n"/>
      <c r="P109" s="388" t="n"/>
      <c r="Q109" s="343" t="n"/>
      <c r="R109" s="343" t="n"/>
      <c r="S109" s="389" t="n"/>
      <c r="T109" s="343" t="n"/>
      <c r="U109" s="343" t="n"/>
      <c r="V109" s="389" t="n"/>
      <c r="W109" s="343" t="n"/>
      <c r="X109" s="343" t="n"/>
      <c r="Y109" s="390">
        <f>IF(OR($B109="",$G109=""),"",HYPERLINK("https://calendar.google.com/calendar/render?action=TEMPLATE&amp;text="&amp;ENCODEURL($G109)&amp;"&amp;dates="&amp;TEXT($B109,"YYYYMMDD")&amp;"T"&amp;TEXT($D109,"HHMMSS")&amp;"/"&amp;TEXT($B109+($D109+N($F109)/1440),"YYYYMMDD")&amp;"T"&amp;TEXT(MOD($D109+N($F109)/1440,1),"HHMMSS")&amp;"&amp;ctz=Europe/Madrid&amp;location="&amp;ENCODEURL($P109)&amp;"&amp;details="&amp;ENCODEURL("Cita de "&amp;$M109),"➕ Añadir"))</f>
        <v/>
      </c>
      <c r="Z109" s="391">
        <f>IF(OR($B109="",$V109="4 · Cancelada",$V109="3 · Hecha",N($B109)&lt;TODAY()),"",$B109)</f>
        <v/>
      </c>
    </row>
    <row r="110" ht="15" customHeight="1" s="311">
      <c r="B110" s="385" t="n"/>
      <c r="C110" s="343" t="n"/>
      <c r="D110" s="386" t="n"/>
      <c r="E110" s="343" t="n"/>
      <c r="F110" s="387" t="n"/>
      <c r="G110" s="388" t="n"/>
      <c r="H110" s="343" t="n"/>
      <c r="I110" s="343" t="n"/>
      <c r="J110" s="343" t="n"/>
      <c r="K110" s="343" t="n"/>
      <c r="L110" s="343" t="n"/>
      <c r="M110" s="388" t="n"/>
      <c r="N110" s="343" t="n"/>
      <c r="O110" s="343" t="n"/>
      <c r="P110" s="388" t="n"/>
      <c r="Q110" s="343" t="n"/>
      <c r="R110" s="343" t="n"/>
      <c r="S110" s="389" t="n"/>
      <c r="T110" s="343" t="n"/>
      <c r="U110" s="343" t="n"/>
      <c r="V110" s="389" t="n"/>
      <c r="W110" s="343" t="n"/>
      <c r="X110" s="343" t="n"/>
      <c r="Y110" s="390">
        <f>IF(OR($B110="",$G110=""),"",HYPERLINK("https://calendar.google.com/calendar/render?action=TEMPLATE&amp;text="&amp;ENCODEURL($G110)&amp;"&amp;dates="&amp;TEXT($B110,"YYYYMMDD")&amp;"T"&amp;TEXT($D110,"HHMMSS")&amp;"/"&amp;TEXT($B110+($D110+N($F110)/1440),"YYYYMMDD")&amp;"T"&amp;TEXT(MOD($D110+N($F110)/1440,1),"HHMMSS")&amp;"&amp;ctz=Europe/Madrid&amp;location="&amp;ENCODEURL($P110)&amp;"&amp;details="&amp;ENCODEURL("Cita de "&amp;$M110),"➕ Añadir"))</f>
        <v/>
      </c>
      <c r="Z110" s="391">
        <f>IF(OR($B110="",$V110="4 · Cancelada",$V110="3 · Hecha",N($B110)&lt;TODAY()),"",$B110)</f>
        <v/>
      </c>
    </row>
    <row r="111" ht="15" customHeight="1" s="311">
      <c r="B111" s="385" t="n"/>
      <c r="C111" s="343" t="n"/>
      <c r="D111" s="386" t="n"/>
      <c r="E111" s="343" t="n"/>
      <c r="F111" s="387" t="n"/>
      <c r="G111" s="388" t="n"/>
      <c r="H111" s="343" t="n"/>
      <c r="I111" s="343" t="n"/>
      <c r="J111" s="343" t="n"/>
      <c r="K111" s="343" t="n"/>
      <c r="L111" s="343" t="n"/>
      <c r="M111" s="388" t="n"/>
      <c r="N111" s="343" t="n"/>
      <c r="O111" s="343" t="n"/>
      <c r="P111" s="388" t="n"/>
      <c r="Q111" s="343" t="n"/>
      <c r="R111" s="343" t="n"/>
      <c r="S111" s="389" t="n"/>
      <c r="T111" s="343" t="n"/>
      <c r="U111" s="343" t="n"/>
      <c r="V111" s="389" t="n"/>
      <c r="W111" s="343" t="n"/>
      <c r="X111" s="343" t="n"/>
      <c r="Y111" s="390">
        <f>IF(OR($B111="",$G111=""),"",HYPERLINK("https://calendar.google.com/calendar/render?action=TEMPLATE&amp;text="&amp;ENCODEURL($G111)&amp;"&amp;dates="&amp;TEXT($B111,"YYYYMMDD")&amp;"T"&amp;TEXT($D111,"HHMMSS")&amp;"/"&amp;TEXT($B111+($D111+N($F111)/1440),"YYYYMMDD")&amp;"T"&amp;TEXT(MOD($D111+N($F111)/1440,1),"HHMMSS")&amp;"&amp;ctz=Europe/Madrid&amp;location="&amp;ENCODEURL($P111)&amp;"&amp;details="&amp;ENCODEURL("Cita de "&amp;$M111),"➕ Añadir"))</f>
        <v/>
      </c>
      <c r="Z111" s="391">
        <f>IF(OR($B111="",$V111="4 · Cancelada",$V111="3 · Hecha",N($B111)&lt;TODAY()),"",$B111)</f>
        <v/>
      </c>
    </row>
    <row r="112" ht="15" customHeight="1" s="311">
      <c r="B112" s="385" t="n"/>
      <c r="C112" s="343" t="n"/>
      <c r="D112" s="386" t="n"/>
      <c r="E112" s="343" t="n"/>
      <c r="F112" s="387" t="n"/>
      <c r="G112" s="388" t="n"/>
      <c r="H112" s="343" t="n"/>
      <c r="I112" s="343" t="n"/>
      <c r="J112" s="343" t="n"/>
      <c r="K112" s="343" t="n"/>
      <c r="L112" s="343" t="n"/>
      <c r="M112" s="388" t="n"/>
      <c r="N112" s="343" t="n"/>
      <c r="O112" s="343" t="n"/>
      <c r="P112" s="388" t="n"/>
      <c r="Q112" s="343" t="n"/>
      <c r="R112" s="343" t="n"/>
      <c r="S112" s="389" t="n"/>
      <c r="T112" s="343" t="n"/>
      <c r="U112" s="343" t="n"/>
      <c r="V112" s="389" t="n"/>
      <c r="W112" s="343" t="n"/>
      <c r="X112" s="343" t="n"/>
      <c r="Y112" s="390">
        <f>IF(OR($B112="",$G112=""),"",HYPERLINK("https://calendar.google.com/calendar/render?action=TEMPLATE&amp;text="&amp;ENCODEURL($G112)&amp;"&amp;dates="&amp;TEXT($B112,"YYYYMMDD")&amp;"T"&amp;TEXT($D112,"HHMMSS")&amp;"/"&amp;TEXT($B112+($D112+N($F112)/1440),"YYYYMMDD")&amp;"T"&amp;TEXT(MOD($D112+N($F112)/1440,1),"HHMMSS")&amp;"&amp;ctz=Europe/Madrid&amp;location="&amp;ENCODEURL($P112)&amp;"&amp;details="&amp;ENCODEURL("Cita de "&amp;$M112),"➕ Añadir"))</f>
        <v/>
      </c>
      <c r="Z112" s="391">
        <f>IF(OR($B112="",$V112="4 · Cancelada",$V112="3 · Hecha",N($B112)&lt;TODAY()),"",$B112)</f>
        <v/>
      </c>
    </row>
    <row r="113" ht="15" customHeight="1" s="311">
      <c r="B113" s="385" t="n"/>
      <c r="C113" s="343" t="n"/>
      <c r="D113" s="386" t="n"/>
      <c r="E113" s="343" t="n"/>
      <c r="F113" s="387" t="n"/>
      <c r="G113" s="388" t="n"/>
      <c r="H113" s="343" t="n"/>
      <c r="I113" s="343" t="n"/>
      <c r="J113" s="343" t="n"/>
      <c r="K113" s="343" t="n"/>
      <c r="L113" s="343" t="n"/>
      <c r="M113" s="388" t="n"/>
      <c r="N113" s="343" t="n"/>
      <c r="O113" s="343" t="n"/>
      <c r="P113" s="388" t="n"/>
      <c r="Q113" s="343" t="n"/>
      <c r="R113" s="343" t="n"/>
      <c r="S113" s="389" t="n"/>
      <c r="T113" s="343" t="n"/>
      <c r="U113" s="343" t="n"/>
      <c r="V113" s="389" t="n"/>
      <c r="W113" s="343" t="n"/>
      <c r="X113" s="343" t="n"/>
      <c r="Y113" s="390">
        <f>IF(OR($B113="",$G113=""),"",HYPERLINK("https://calendar.google.com/calendar/render?action=TEMPLATE&amp;text="&amp;ENCODEURL($G113)&amp;"&amp;dates="&amp;TEXT($B113,"YYYYMMDD")&amp;"T"&amp;TEXT($D113,"HHMMSS")&amp;"/"&amp;TEXT($B113+($D113+N($F113)/1440),"YYYYMMDD")&amp;"T"&amp;TEXT(MOD($D113+N($F113)/1440,1),"HHMMSS")&amp;"&amp;ctz=Europe/Madrid&amp;location="&amp;ENCODEURL($P113)&amp;"&amp;details="&amp;ENCODEURL("Cita de "&amp;$M113),"➕ Añadir"))</f>
        <v/>
      </c>
      <c r="Z113" s="391">
        <f>IF(OR($B113="",$V113="4 · Cancelada",$V113="3 · Hecha",N($B113)&lt;TODAY()),"",$B113)</f>
        <v/>
      </c>
    </row>
    <row r="114" ht="15" customHeight="1" s="311">
      <c r="B114" s="385" t="n"/>
      <c r="C114" s="343" t="n"/>
      <c r="D114" s="386" t="n"/>
      <c r="E114" s="343" t="n"/>
      <c r="F114" s="387" t="n"/>
      <c r="G114" s="388" t="n"/>
      <c r="H114" s="343" t="n"/>
      <c r="I114" s="343" t="n"/>
      <c r="J114" s="343" t="n"/>
      <c r="K114" s="343" t="n"/>
      <c r="L114" s="343" t="n"/>
      <c r="M114" s="388" t="n"/>
      <c r="N114" s="343" t="n"/>
      <c r="O114" s="343" t="n"/>
      <c r="P114" s="388" t="n"/>
      <c r="Q114" s="343" t="n"/>
      <c r="R114" s="343" t="n"/>
      <c r="S114" s="389" t="n"/>
      <c r="T114" s="343" t="n"/>
      <c r="U114" s="343" t="n"/>
      <c r="V114" s="389" t="n"/>
      <c r="W114" s="343" t="n"/>
      <c r="X114" s="343" t="n"/>
      <c r="Y114" s="390">
        <f>IF(OR($B114="",$G114=""),"",HYPERLINK("https://calendar.google.com/calendar/render?action=TEMPLATE&amp;text="&amp;ENCODEURL($G114)&amp;"&amp;dates="&amp;TEXT($B114,"YYYYMMDD")&amp;"T"&amp;TEXT($D114,"HHMMSS")&amp;"/"&amp;TEXT($B114+($D114+N($F114)/1440),"YYYYMMDD")&amp;"T"&amp;TEXT(MOD($D114+N($F114)/1440,1),"HHMMSS")&amp;"&amp;ctz=Europe/Madrid&amp;location="&amp;ENCODEURL($P114)&amp;"&amp;details="&amp;ENCODEURL("Cita de "&amp;$M114),"➕ Añadir"))</f>
        <v/>
      </c>
      <c r="Z114" s="391">
        <f>IF(OR($B114="",$V114="4 · Cancelada",$V114="3 · Hecha",N($B114)&lt;TODAY()),"",$B114)</f>
        <v/>
      </c>
    </row>
    <row r="115" ht="15" customHeight="1" s="311">
      <c r="B115" s="385" t="n"/>
      <c r="C115" s="343" t="n"/>
      <c r="D115" s="386" t="n"/>
      <c r="E115" s="343" t="n"/>
      <c r="F115" s="387" t="n"/>
      <c r="G115" s="388" t="n"/>
      <c r="H115" s="343" t="n"/>
      <c r="I115" s="343" t="n"/>
      <c r="J115" s="343" t="n"/>
      <c r="K115" s="343" t="n"/>
      <c r="L115" s="343" t="n"/>
      <c r="M115" s="388" t="n"/>
      <c r="N115" s="343" t="n"/>
      <c r="O115" s="343" t="n"/>
      <c r="P115" s="388" t="n"/>
      <c r="Q115" s="343" t="n"/>
      <c r="R115" s="343" t="n"/>
      <c r="S115" s="389" t="n"/>
      <c r="T115" s="343" t="n"/>
      <c r="U115" s="343" t="n"/>
      <c r="V115" s="389" t="n"/>
      <c r="W115" s="343" t="n"/>
      <c r="X115" s="343" t="n"/>
      <c r="Y115" s="390">
        <f>IF(OR($B115="",$G115=""),"",HYPERLINK("https://calendar.google.com/calendar/render?action=TEMPLATE&amp;text="&amp;ENCODEURL($G115)&amp;"&amp;dates="&amp;TEXT($B115,"YYYYMMDD")&amp;"T"&amp;TEXT($D115,"HHMMSS")&amp;"/"&amp;TEXT($B115+($D115+N($F115)/1440),"YYYYMMDD")&amp;"T"&amp;TEXT(MOD($D115+N($F115)/1440,1),"HHMMSS")&amp;"&amp;ctz=Europe/Madrid&amp;location="&amp;ENCODEURL($P115)&amp;"&amp;details="&amp;ENCODEURL("Cita de "&amp;$M115),"➕ Añadir"))</f>
        <v/>
      </c>
      <c r="Z115" s="391">
        <f>IF(OR($B115="",$V115="4 · Cancelada",$V115="3 · Hecha",N($B115)&lt;TODAY()),"",$B115)</f>
        <v/>
      </c>
    </row>
    <row r="116" ht="15" customHeight="1" s="311">
      <c r="B116" s="385" t="n"/>
      <c r="C116" s="343" t="n"/>
      <c r="D116" s="386" t="n"/>
      <c r="E116" s="343" t="n"/>
      <c r="F116" s="387" t="n"/>
      <c r="G116" s="388" t="n"/>
      <c r="H116" s="343" t="n"/>
      <c r="I116" s="343" t="n"/>
      <c r="J116" s="343" t="n"/>
      <c r="K116" s="343" t="n"/>
      <c r="L116" s="343" t="n"/>
      <c r="M116" s="388" t="n"/>
      <c r="N116" s="343" t="n"/>
      <c r="O116" s="343" t="n"/>
      <c r="P116" s="388" t="n"/>
      <c r="Q116" s="343" t="n"/>
      <c r="R116" s="343" t="n"/>
      <c r="S116" s="389" t="n"/>
      <c r="T116" s="343" t="n"/>
      <c r="U116" s="343" t="n"/>
      <c r="V116" s="389" t="n"/>
      <c r="W116" s="343" t="n"/>
      <c r="X116" s="343" t="n"/>
      <c r="Y116" s="390">
        <f>IF(OR($B116="",$G116=""),"",HYPERLINK("https://calendar.google.com/calendar/render?action=TEMPLATE&amp;text="&amp;ENCODEURL($G116)&amp;"&amp;dates="&amp;TEXT($B116,"YYYYMMDD")&amp;"T"&amp;TEXT($D116,"HHMMSS")&amp;"/"&amp;TEXT($B116+($D116+N($F116)/1440),"YYYYMMDD")&amp;"T"&amp;TEXT(MOD($D116+N($F116)/1440,1),"HHMMSS")&amp;"&amp;ctz=Europe/Madrid&amp;location="&amp;ENCODEURL($P116)&amp;"&amp;details="&amp;ENCODEURL("Cita de "&amp;$M116),"➕ Añadir"))</f>
        <v/>
      </c>
      <c r="Z116" s="391">
        <f>IF(OR($B116="",$V116="4 · Cancelada",$V116="3 · Hecha",N($B116)&lt;TODAY()),"",$B116)</f>
        <v/>
      </c>
    </row>
    <row r="117" ht="15" customHeight="1" s="311">
      <c r="B117" s="385" t="n"/>
      <c r="C117" s="343" t="n"/>
      <c r="D117" s="386" t="n"/>
      <c r="E117" s="343" t="n"/>
      <c r="F117" s="387" t="n"/>
      <c r="G117" s="388" t="n"/>
      <c r="H117" s="343" t="n"/>
      <c r="I117" s="343" t="n"/>
      <c r="J117" s="343" t="n"/>
      <c r="K117" s="343" t="n"/>
      <c r="L117" s="343" t="n"/>
      <c r="M117" s="388" t="n"/>
      <c r="N117" s="343" t="n"/>
      <c r="O117" s="343" t="n"/>
      <c r="P117" s="388" t="n"/>
      <c r="Q117" s="343" t="n"/>
      <c r="R117" s="343" t="n"/>
      <c r="S117" s="389" t="n"/>
      <c r="T117" s="343" t="n"/>
      <c r="U117" s="343" t="n"/>
      <c r="V117" s="389" t="n"/>
      <c r="W117" s="343" t="n"/>
      <c r="X117" s="343" t="n"/>
      <c r="Y117" s="390">
        <f>IF(OR($B117="",$G117=""),"",HYPERLINK("https://calendar.google.com/calendar/render?action=TEMPLATE&amp;text="&amp;ENCODEURL($G117)&amp;"&amp;dates="&amp;TEXT($B117,"YYYYMMDD")&amp;"T"&amp;TEXT($D117,"HHMMSS")&amp;"/"&amp;TEXT($B117+($D117+N($F117)/1440),"YYYYMMDD")&amp;"T"&amp;TEXT(MOD($D117+N($F117)/1440,1),"HHMMSS")&amp;"&amp;ctz=Europe/Madrid&amp;location="&amp;ENCODEURL($P117)&amp;"&amp;details="&amp;ENCODEURL("Cita de "&amp;$M117),"➕ Añadir"))</f>
        <v/>
      </c>
      <c r="Z117" s="391">
        <f>IF(OR($B117="",$V117="4 · Cancelada",$V117="3 · Hecha",N($B117)&lt;TODAY()),"",$B117)</f>
        <v/>
      </c>
    </row>
    <row r="118" ht="15" customHeight="1" s="311">
      <c r="B118" s="385" t="n"/>
      <c r="C118" s="343" t="n"/>
      <c r="D118" s="386" t="n"/>
      <c r="E118" s="343" t="n"/>
      <c r="F118" s="387" t="n"/>
      <c r="G118" s="388" t="n"/>
      <c r="H118" s="343" t="n"/>
      <c r="I118" s="343" t="n"/>
      <c r="J118" s="343" t="n"/>
      <c r="K118" s="343" t="n"/>
      <c r="L118" s="343" t="n"/>
      <c r="M118" s="388" t="n"/>
      <c r="N118" s="343" t="n"/>
      <c r="O118" s="343" t="n"/>
      <c r="P118" s="388" t="n"/>
      <c r="Q118" s="343" t="n"/>
      <c r="R118" s="343" t="n"/>
      <c r="S118" s="389" t="n"/>
      <c r="T118" s="343" t="n"/>
      <c r="U118" s="343" t="n"/>
      <c r="V118" s="389" t="n"/>
      <c r="W118" s="343" t="n"/>
      <c r="X118" s="343" t="n"/>
      <c r="Y118" s="390">
        <f>IF(OR($B118="",$G118=""),"",HYPERLINK("https://calendar.google.com/calendar/render?action=TEMPLATE&amp;text="&amp;ENCODEURL($G118)&amp;"&amp;dates="&amp;TEXT($B118,"YYYYMMDD")&amp;"T"&amp;TEXT($D118,"HHMMSS")&amp;"/"&amp;TEXT($B118+($D118+N($F118)/1440),"YYYYMMDD")&amp;"T"&amp;TEXT(MOD($D118+N($F118)/1440,1),"HHMMSS")&amp;"&amp;ctz=Europe/Madrid&amp;location="&amp;ENCODEURL($P118)&amp;"&amp;details="&amp;ENCODEURL("Cita de "&amp;$M118),"➕ Añadir"))</f>
        <v/>
      </c>
      <c r="Z118" s="391">
        <f>IF(OR($B118="",$V118="4 · Cancelada",$V118="3 · Hecha",N($B118)&lt;TODAY()),"",$B118)</f>
        <v/>
      </c>
    </row>
    <row r="119" ht="15" customHeight="1" s="311">
      <c r="B119" s="385" t="n"/>
      <c r="C119" s="343" t="n"/>
      <c r="D119" s="386" t="n"/>
      <c r="E119" s="343" t="n"/>
      <c r="F119" s="387" t="n"/>
      <c r="G119" s="388" t="n"/>
      <c r="H119" s="343" t="n"/>
      <c r="I119" s="343" t="n"/>
      <c r="J119" s="343" t="n"/>
      <c r="K119" s="343" t="n"/>
      <c r="L119" s="343" t="n"/>
      <c r="M119" s="388" t="n"/>
      <c r="N119" s="343" t="n"/>
      <c r="O119" s="343" t="n"/>
      <c r="P119" s="388" t="n"/>
      <c r="Q119" s="343" t="n"/>
      <c r="R119" s="343" t="n"/>
      <c r="S119" s="389" t="n"/>
      <c r="T119" s="343" t="n"/>
      <c r="U119" s="343" t="n"/>
      <c r="V119" s="389" t="n"/>
      <c r="W119" s="343" t="n"/>
      <c r="X119" s="343" t="n"/>
      <c r="Y119" s="390">
        <f>IF(OR($B119="",$G119=""),"",HYPERLINK("https://calendar.google.com/calendar/render?action=TEMPLATE&amp;text="&amp;ENCODEURL($G119)&amp;"&amp;dates="&amp;TEXT($B119,"YYYYMMDD")&amp;"T"&amp;TEXT($D119,"HHMMSS")&amp;"/"&amp;TEXT($B119+($D119+N($F119)/1440),"YYYYMMDD")&amp;"T"&amp;TEXT(MOD($D119+N($F119)/1440,1),"HHMMSS")&amp;"&amp;ctz=Europe/Madrid&amp;location="&amp;ENCODEURL($P119)&amp;"&amp;details="&amp;ENCODEURL("Cita de "&amp;$M119),"➕ Añadir"))</f>
        <v/>
      </c>
      <c r="Z119" s="391">
        <f>IF(OR($B119="",$V119="4 · Cancelada",$V119="3 · Hecha",N($B119)&lt;TODAY()),"",$B119)</f>
        <v/>
      </c>
    </row>
    <row r="120" ht="15" customHeight="1" s="311">
      <c r="B120" s="385" t="n"/>
      <c r="C120" s="343" t="n"/>
      <c r="D120" s="386" t="n"/>
      <c r="E120" s="343" t="n"/>
      <c r="F120" s="387" t="n"/>
      <c r="G120" s="388" t="n"/>
      <c r="H120" s="343" t="n"/>
      <c r="I120" s="343" t="n"/>
      <c r="J120" s="343" t="n"/>
      <c r="K120" s="343" t="n"/>
      <c r="L120" s="343" t="n"/>
      <c r="M120" s="388" t="n"/>
      <c r="N120" s="343" t="n"/>
      <c r="O120" s="343" t="n"/>
      <c r="P120" s="388" t="n"/>
      <c r="Q120" s="343" t="n"/>
      <c r="R120" s="343" t="n"/>
      <c r="S120" s="389" t="n"/>
      <c r="T120" s="343" t="n"/>
      <c r="U120" s="343" t="n"/>
      <c r="V120" s="389" t="n"/>
      <c r="W120" s="343" t="n"/>
      <c r="X120" s="343" t="n"/>
      <c r="Y120" s="390">
        <f>IF(OR($B120="",$G120=""),"",HYPERLINK("https://calendar.google.com/calendar/render?action=TEMPLATE&amp;text="&amp;ENCODEURL($G120)&amp;"&amp;dates="&amp;TEXT($B120,"YYYYMMDD")&amp;"T"&amp;TEXT($D120,"HHMMSS")&amp;"/"&amp;TEXT($B120+($D120+N($F120)/1440),"YYYYMMDD")&amp;"T"&amp;TEXT(MOD($D120+N($F120)/1440,1),"HHMMSS")&amp;"&amp;ctz=Europe/Madrid&amp;location="&amp;ENCODEURL($P120)&amp;"&amp;details="&amp;ENCODEURL("Cita de "&amp;$M120),"➕ Añadir"))</f>
        <v/>
      </c>
      <c r="Z120" s="391">
        <f>IF(OR($B120="",$V120="4 · Cancelada",$V120="3 · Hecha",N($B120)&lt;TODAY()),"",$B120)</f>
        <v/>
      </c>
    </row>
    <row r="121" ht="15" customHeight="1" s="311">
      <c r="B121" s="385" t="n"/>
      <c r="C121" s="343" t="n"/>
      <c r="D121" s="386" t="n"/>
      <c r="E121" s="343" t="n"/>
      <c r="F121" s="387" t="n"/>
      <c r="G121" s="388" t="n"/>
      <c r="H121" s="343" t="n"/>
      <c r="I121" s="343" t="n"/>
      <c r="J121" s="343" t="n"/>
      <c r="K121" s="343" t="n"/>
      <c r="L121" s="343" t="n"/>
      <c r="M121" s="388" t="n"/>
      <c r="N121" s="343" t="n"/>
      <c r="O121" s="343" t="n"/>
      <c r="P121" s="388" t="n"/>
      <c r="Q121" s="343" t="n"/>
      <c r="R121" s="343" t="n"/>
      <c r="S121" s="389" t="n"/>
      <c r="T121" s="343" t="n"/>
      <c r="U121" s="343" t="n"/>
      <c r="V121" s="389" t="n"/>
      <c r="W121" s="343" t="n"/>
      <c r="X121" s="343" t="n"/>
      <c r="Y121" s="390">
        <f>IF(OR($B121="",$G121=""),"",HYPERLINK("https://calendar.google.com/calendar/render?action=TEMPLATE&amp;text="&amp;ENCODEURL($G121)&amp;"&amp;dates="&amp;TEXT($B121,"YYYYMMDD")&amp;"T"&amp;TEXT($D121,"HHMMSS")&amp;"/"&amp;TEXT($B121+($D121+N($F121)/1440),"YYYYMMDD")&amp;"T"&amp;TEXT(MOD($D121+N($F121)/1440,1),"HHMMSS")&amp;"&amp;ctz=Europe/Madrid&amp;location="&amp;ENCODEURL($P121)&amp;"&amp;details="&amp;ENCODEURL("Cita de "&amp;$M121),"➕ Añadir"))</f>
        <v/>
      </c>
      <c r="Z121" s="391">
        <f>IF(OR($B121="",$V121="4 · Cancelada",$V121="3 · Hecha",N($B121)&lt;TODAY()),"",$B121)</f>
        <v/>
      </c>
    </row>
    <row r="122" ht="15" customHeight="1" s="311">
      <c r="B122" s="385" t="n"/>
      <c r="C122" s="343" t="n"/>
      <c r="D122" s="386" t="n"/>
      <c r="E122" s="343" t="n"/>
      <c r="F122" s="387" t="n"/>
      <c r="G122" s="388" t="n"/>
      <c r="H122" s="343" t="n"/>
      <c r="I122" s="343" t="n"/>
      <c r="J122" s="343" t="n"/>
      <c r="K122" s="343" t="n"/>
      <c r="L122" s="343" t="n"/>
      <c r="M122" s="388" t="n"/>
      <c r="N122" s="343" t="n"/>
      <c r="O122" s="343" t="n"/>
      <c r="P122" s="388" t="n"/>
      <c r="Q122" s="343" t="n"/>
      <c r="R122" s="343" t="n"/>
      <c r="S122" s="389" t="n"/>
      <c r="T122" s="343" t="n"/>
      <c r="U122" s="343" t="n"/>
      <c r="V122" s="389" t="n"/>
      <c r="W122" s="343" t="n"/>
      <c r="X122" s="343" t="n"/>
      <c r="Y122" s="390">
        <f>IF(OR($B122="",$G122=""),"",HYPERLINK("https://calendar.google.com/calendar/render?action=TEMPLATE&amp;text="&amp;ENCODEURL($G122)&amp;"&amp;dates="&amp;TEXT($B122,"YYYYMMDD")&amp;"T"&amp;TEXT($D122,"HHMMSS")&amp;"/"&amp;TEXT($B122+($D122+N($F122)/1440),"YYYYMMDD")&amp;"T"&amp;TEXT(MOD($D122+N($F122)/1440,1),"HHMMSS")&amp;"&amp;ctz=Europe/Madrid&amp;location="&amp;ENCODEURL($P122)&amp;"&amp;details="&amp;ENCODEURL("Cita de "&amp;$M122),"➕ Añadir"))</f>
        <v/>
      </c>
      <c r="Z122" s="391">
        <f>IF(OR($B122="",$V122="4 · Cancelada",$V122="3 · Hecha",N($B122)&lt;TODAY()),"",$B122)</f>
        <v/>
      </c>
    </row>
    <row r="123" ht="15" customHeight="1" s="311">
      <c r="B123" s="385" t="n"/>
      <c r="C123" s="343" t="n"/>
      <c r="D123" s="386" t="n"/>
      <c r="E123" s="343" t="n"/>
      <c r="F123" s="387" t="n"/>
      <c r="G123" s="388" t="n"/>
      <c r="H123" s="343" t="n"/>
      <c r="I123" s="343" t="n"/>
      <c r="J123" s="343" t="n"/>
      <c r="K123" s="343" t="n"/>
      <c r="L123" s="343" t="n"/>
      <c r="M123" s="388" t="n"/>
      <c r="N123" s="343" t="n"/>
      <c r="O123" s="343" t="n"/>
      <c r="P123" s="388" t="n"/>
      <c r="Q123" s="343" t="n"/>
      <c r="R123" s="343" t="n"/>
      <c r="S123" s="389" t="n"/>
      <c r="T123" s="343" t="n"/>
      <c r="U123" s="343" t="n"/>
      <c r="V123" s="389" t="n"/>
      <c r="W123" s="343" t="n"/>
      <c r="X123" s="343" t="n"/>
      <c r="Y123" s="390">
        <f>IF(OR($B123="",$G123=""),"",HYPERLINK("https://calendar.google.com/calendar/render?action=TEMPLATE&amp;text="&amp;ENCODEURL($G123)&amp;"&amp;dates="&amp;TEXT($B123,"YYYYMMDD")&amp;"T"&amp;TEXT($D123,"HHMMSS")&amp;"/"&amp;TEXT($B123+($D123+N($F123)/1440),"YYYYMMDD")&amp;"T"&amp;TEXT(MOD($D123+N($F123)/1440,1),"HHMMSS")&amp;"&amp;ctz=Europe/Madrid&amp;location="&amp;ENCODEURL($P123)&amp;"&amp;details="&amp;ENCODEURL("Cita de "&amp;$M123),"➕ Añadir"))</f>
        <v/>
      </c>
      <c r="Z123" s="391">
        <f>IF(OR($B123="",$V123="4 · Cancelada",$V123="3 · Hecha",N($B123)&lt;TODAY()),"",$B123)</f>
        <v/>
      </c>
    </row>
    <row r="124" ht="15" customHeight="1" s="311">
      <c r="B124" s="385" t="n"/>
      <c r="C124" s="343" t="n"/>
      <c r="D124" s="386" t="n"/>
      <c r="E124" s="343" t="n"/>
      <c r="F124" s="387" t="n"/>
      <c r="G124" s="388" t="n"/>
      <c r="H124" s="343" t="n"/>
      <c r="I124" s="343" t="n"/>
      <c r="J124" s="343" t="n"/>
      <c r="K124" s="343" t="n"/>
      <c r="L124" s="343" t="n"/>
      <c r="M124" s="388" t="n"/>
      <c r="N124" s="343" t="n"/>
      <c r="O124" s="343" t="n"/>
      <c r="P124" s="388" t="n"/>
      <c r="Q124" s="343" t="n"/>
      <c r="R124" s="343" t="n"/>
      <c r="S124" s="389" t="n"/>
      <c r="T124" s="343" t="n"/>
      <c r="U124" s="343" t="n"/>
      <c r="V124" s="389" t="n"/>
      <c r="W124" s="343" t="n"/>
      <c r="X124" s="343" t="n"/>
      <c r="Y124" s="390">
        <f>IF(OR($B124="",$G124=""),"",HYPERLINK("https://calendar.google.com/calendar/render?action=TEMPLATE&amp;text="&amp;ENCODEURL($G124)&amp;"&amp;dates="&amp;TEXT($B124,"YYYYMMDD")&amp;"T"&amp;TEXT($D124,"HHMMSS")&amp;"/"&amp;TEXT($B124+($D124+N($F124)/1440),"YYYYMMDD")&amp;"T"&amp;TEXT(MOD($D124+N($F124)/1440,1),"HHMMSS")&amp;"&amp;ctz=Europe/Madrid&amp;location="&amp;ENCODEURL($P124)&amp;"&amp;details="&amp;ENCODEURL("Cita de "&amp;$M124),"➕ Añadir"))</f>
        <v/>
      </c>
      <c r="Z124" s="391">
        <f>IF(OR($B124="",$V124="4 · Cancelada",$V124="3 · Hecha",N($B124)&lt;TODAY()),"",$B124)</f>
        <v/>
      </c>
    </row>
    <row r="125" ht="15" customHeight="1" s="311">
      <c r="B125" s="385" t="n"/>
      <c r="C125" s="343" t="n"/>
      <c r="D125" s="386" t="n"/>
      <c r="E125" s="343" t="n"/>
      <c r="F125" s="387" t="n"/>
      <c r="G125" s="388" t="n"/>
      <c r="H125" s="343" t="n"/>
      <c r="I125" s="343" t="n"/>
      <c r="J125" s="343" t="n"/>
      <c r="K125" s="343" t="n"/>
      <c r="L125" s="343" t="n"/>
      <c r="M125" s="388" t="n"/>
      <c r="N125" s="343" t="n"/>
      <c r="O125" s="343" t="n"/>
      <c r="P125" s="388" t="n"/>
      <c r="Q125" s="343" t="n"/>
      <c r="R125" s="343" t="n"/>
      <c r="S125" s="389" t="n"/>
      <c r="T125" s="343" t="n"/>
      <c r="U125" s="343" t="n"/>
      <c r="V125" s="389" t="n"/>
      <c r="W125" s="343" t="n"/>
      <c r="X125" s="343" t="n"/>
      <c r="Y125" s="390">
        <f>IF(OR($B125="",$G125=""),"",HYPERLINK("https://calendar.google.com/calendar/render?action=TEMPLATE&amp;text="&amp;ENCODEURL($G125)&amp;"&amp;dates="&amp;TEXT($B125,"YYYYMMDD")&amp;"T"&amp;TEXT($D125,"HHMMSS")&amp;"/"&amp;TEXT($B125+($D125+N($F125)/1440),"YYYYMMDD")&amp;"T"&amp;TEXT(MOD($D125+N($F125)/1440,1),"HHMMSS")&amp;"&amp;ctz=Europe/Madrid&amp;location="&amp;ENCODEURL($P125)&amp;"&amp;details="&amp;ENCODEURL("Cita de "&amp;$M125),"➕ Añadir"))</f>
        <v/>
      </c>
      <c r="Z125" s="391">
        <f>IF(OR($B125="",$V125="4 · Cancelada",$V125="3 · Hecha",N($B125)&lt;TODAY()),"",$B125)</f>
        <v/>
      </c>
    </row>
    <row r="126" ht="15" customHeight="1" s="311">
      <c r="B126" s="385" t="n"/>
      <c r="C126" s="343" t="n"/>
      <c r="D126" s="386" t="n"/>
      <c r="E126" s="343" t="n"/>
      <c r="F126" s="387" t="n"/>
      <c r="G126" s="388" t="n"/>
      <c r="H126" s="343" t="n"/>
      <c r="I126" s="343" t="n"/>
      <c r="J126" s="343" t="n"/>
      <c r="K126" s="343" t="n"/>
      <c r="L126" s="343" t="n"/>
      <c r="M126" s="388" t="n"/>
      <c r="N126" s="343" t="n"/>
      <c r="O126" s="343" t="n"/>
      <c r="P126" s="388" t="n"/>
      <c r="Q126" s="343" t="n"/>
      <c r="R126" s="343" t="n"/>
      <c r="S126" s="389" t="n"/>
      <c r="T126" s="343" t="n"/>
      <c r="U126" s="343" t="n"/>
      <c r="V126" s="389" t="n"/>
      <c r="W126" s="343" t="n"/>
      <c r="X126" s="343" t="n"/>
      <c r="Y126" s="390">
        <f>IF(OR($B126="",$G126=""),"",HYPERLINK("https://calendar.google.com/calendar/render?action=TEMPLATE&amp;text="&amp;ENCODEURL($G126)&amp;"&amp;dates="&amp;TEXT($B126,"YYYYMMDD")&amp;"T"&amp;TEXT($D126,"HHMMSS")&amp;"/"&amp;TEXT($B126+($D126+N($F126)/1440),"YYYYMMDD")&amp;"T"&amp;TEXT(MOD($D126+N($F126)/1440,1),"HHMMSS")&amp;"&amp;ctz=Europe/Madrid&amp;location="&amp;ENCODEURL($P126)&amp;"&amp;details="&amp;ENCODEURL("Cita de "&amp;$M126),"➕ Añadir"))</f>
        <v/>
      </c>
      <c r="Z126" s="391">
        <f>IF(OR($B126="",$V126="4 · Cancelada",$V126="3 · Hecha",N($B126)&lt;TODAY()),"",$B126)</f>
        <v/>
      </c>
    </row>
    <row r="127" ht="15" customHeight="1" s="311">
      <c r="B127" s="385" t="n"/>
      <c r="C127" s="343" t="n"/>
      <c r="D127" s="386" t="n"/>
      <c r="E127" s="343" t="n"/>
      <c r="F127" s="387" t="n"/>
      <c r="G127" s="388" t="n"/>
      <c r="H127" s="343" t="n"/>
      <c r="I127" s="343" t="n"/>
      <c r="J127" s="343" t="n"/>
      <c r="K127" s="343" t="n"/>
      <c r="L127" s="343" t="n"/>
      <c r="M127" s="388" t="n"/>
      <c r="N127" s="343" t="n"/>
      <c r="O127" s="343" t="n"/>
      <c r="P127" s="388" t="n"/>
      <c r="Q127" s="343" t="n"/>
      <c r="R127" s="343" t="n"/>
      <c r="S127" s="389" t="n"/>
      <c r="T127" s="343" t="n"/>
      <c r="U127" s="343" t="n"/>
      <c r="V127" s="389" t="n"/>
      <c r="W127" s="343" t="n"/>
      <c r="X127" s="343" t="n"/>
      <c r="Y127" s="390">
        <f>IF(OR($B127="",$G127=""),"",HYPERLINK("https://calendar.google.com/calendar/render?action=TEMPLATE&amp;text="&amp;ENCODEURL($G127)&amp;"&amp;dates="&amp;TEXT($B127,"YYYYMMDD")&amp;"T"&amp;TEXT($D127,"HHMMSS")&amp;"/"&amp;TEXT($B127+($D127+N($F127)/1440),"YYYYMMDD")&amp;"T"&amp;TEXT(MOD($D127+N($F127)/1440,1),"HHMMSS")&amp;"&amp;ctz=Europe/Madrid&amp;location="&amp;ENCODEURL($P127)&amp;"&amp;details="&amp;ENCODEURL("Cita de "&amp;$M127),"➕ Añadir"))</f>
        <v/>
      </c>
      <c r="Z127" s="391">
        <f>IF(OR($B127="",$V127="4 · Cancelada",$V127="3 · Hecha",N($B127)&lt;TODAY()),"",$B127)</f>
        <v/>
      </c>
    </row>
    <row r="128" ht="15" customHeight="1" s="311">
      <c r="B128" s="385" t="n"/>
      <c r="C128" s="343" t="n"/>
      <c r="D128" s="386" t="n"/>
      <c r="E128" s="343" t="n"/>
      <c r="F128" s="387" t="n"/>
      <c r="G128" s="388" t="n"/>
      <c r="H128" s="343" t="n"/>
      <c r="I128" s="343" t="n"/>
      <c r="J128" s="343" t="n"/>
      <c r="K128" s="343" t="n"/>
      <c r="L128" s="343" t="n"/>
      <c r="M128" s="388" t="n"/>
      <c r="N128" s="343" t="n"/>
      <c r="O128" s="343" t="n"/>
      <c r="P128" s="388" t="n"/>
      <c r="Q128" s="343" t="n"/>
      <c r="R128" s="343" t="n"/>
      <c r="S128" s="389" t="n"/>
      <c r="T128" s="343" t="n"/>
      <c r="U128" s="343" t="n"/>
      <c r="V128" s="389" t="n"/>
      <c r="W128" s="343" t="n"/>
      <c r="X128" s="343" t="n"/>
      <c r="Y128" s="390">
        <f>IF(OR($B128="",$G128=""),"",HYPERLINK("https://calendar.google.com/calendar/render?action=TEMPLATE&amp;text="&amp;ENCODEURL($G128)&amp;"&amp;dates="&amp;TEXT($B128,"YYYYMMDD")&amp;"T"&amp;TEXT($D128,"HHMMSS")&amp;"/"&amp;TEXT($B128+($D128+N($F128)/1440),"YYYYMMDD")&amp;"T"&amp;TEXT(MOD($D128+N($F128)/1440,1),"HHMMSS")&amp;"&amp;ctz=Europe/Madrid&amp;location="&amp;ENCODEURL($P128)&amp;"&amp;details="&amp;ENCODEURL("Cita de "&amp;$M128),"➕ Añadir"))</f>
        <v/>
      </c>
      <c r="Z128" s="391">
        <f>IF(OR($B128="",$V128="4 · Cancelada",$V128="3 · Hecha",N($B128)&lt;TODAY()),"",$B128)</f>
        <v/>
      </c>
    </row>
    <row r="129" ht="15" customHeight="1" s="311">
      <c r="B129" s="385" t="n"/>
      <c r="C129" s="343" t="n"/>
      <c r="D129" s="386" t="n"/>
      <c r="E129" s="343" t="n"/>
      <c r="F129" s="387" t="n"/>
      <c r="G129" s="388" t="n"/>
      <c r="H129" s="343" t="n"/>
      <c r="I129" s="343" t="n"/>
      <c r="J129" s="343" t="n"/>
      <c r="K129" s="343" t="n"/>
      <c r="L129" s="343" t="n"/>
      <c r="M129" s="388" t="n"/>
      <c r="N129" s="343" t="n"/>
      <c r="O129" s="343" t="n"/>
      <c r="P129" s="388" t="n"/>
      <c r="Q129" s="343" t="n"/>
      <c r="R129" s="343" t="n"/>
      <c r="S129" s="389" t="n"/>
      <c r="T129" s="343" t="n"/>
      <c r="U129" s="343" t="n"/>
      <c r="V129" s="389" t="n"/>
      <c r="W129" s="343" t="n"/>
      <c r="X129" s="343" t="n"/>
      <c r="Y129" s="390">
        <f>IF(OR($B129="",$G129=""),"",HYPERLINK("https://calendar.google.com/calendar/render?action=TEMPLATE&amp;text="&amp;ENCODEURL($G129)&amp;"&amp;dates="&amp;TEXT($B129,"YYYYMMDD")&amp;"T"&amp;TEXT($D129,"HHMMSS")&amp;"/"&amp;TEXT($B129+($D129+N($F129)/1440),"YYYYMMDD")&amp;"T"&amp;TEXT(MOD($D129+N($F129)/1440,1),"HHMMSS")&amp;"&amp;ctz=Europe/Madrid&amp;location="&amp;ENCODEURL($P129)&amp;"&amp;details="&amp;ENCODEURL("Cita de "&amp;$M129),"➕ Añadir"))</f>
        <v/>
      </c>
      <c r="Z129" s="391">
        <f>IF(OR($B129="",$V129="4 · Cancelada",$V129="3 · Hecha",N($B129)&lt;TODAY()),"",$B129)</f>
        <v/>
      </c>
    </row>
    <row r="130" ht="15" customHeight="1" s="311">
      <c r="B130" s="385" t="n"/>
      <c r="C130" s="343" t="n"/>
      <c r="D130" s="386" t="n"/>
      <c r="E130" s="343" t="n"/>
      <c r="F130" s="387" t="n"/>
      <c r="G130" s="388" t="n"/>
      <c r="H130" s="343" t="n"/>
      <c r="I130" s="343" t="n"/>
      <c r="J130" s="343" t="n"/>
      <c r="K130" s="343" t="n"/>
      <c r="L130" s="343" t="n"/>
      <c r="M130" s="388" t="n"/>
      <c r="N130" s="343" t="n"/>
      <c r="O130" s="343" t="n"/>
      <c r="P130" s="388" t="n"/>
      <c r="Q130" s="343" t="n"/>
      <c r="R130" s="343" t="n"/>
      <c r="S130" s="389" t="n"/>
      <c r="T130" s="343" t="n"/>
      <c r="U130" s="343" t="n"/>
      <c r="V130" s="389" t="n"/>
      <c r="W130" s="343" t="n"/>
      <c r="X130" s="343" t="n"/>
      <c r="Y130" s="390">
        <f>IF(OR($B130="",$G130=""),"",HYPERLINK("https://calendar.google.com/calendar/render?action=TEMPLATE&amp;text="&amp;ENCODEURL($G130)&amp;"&amp;dates="&amp;TEXT($B130,"YYYYMMDD")&amp;"T"&amp;TEXT($D130,"HHMMSS")&amp;"/"&amp;TEXT($B130+($D130+N($F130)/1440),"YYYYMMDD")&amp;"T"&amp;TEXT(MOD($D130+N($F130)/1440,1),"HHMMSS")&amp;"&amp;ctz=Europe/Madrid&amp;location="&amp;ENCODEURL($P130)&amp;"&amp;details="&amp;ENCODEURL("Cita de "&amp;$M130),"➕ Añadir"))</f>
        <v/>
      </c>
      <c r="Z130" s="391">
        <f>IF(OR($B130="",$V130="4 · Cancelada",$V130="3 · Hecha",N($B130)&lt;TODAY()),"",$B130)</f>
        <v/>
      </c>
    </row>
    <row r="131" ht="15" customHeight="1" s="311">
      <c r="B131" s="385" t="n"/>
      <c r="C131" s="343" t="n"/>
      <c r="D131" s="386" t="n"/>
      <c r="E131" s="343" t="n"/>
      <c r="F131" s="387" t="n"/>
      <c r="G131" s="388" t="n"/>
      <c r="H131" s="343" t="n"/>
      <c r="I131" s="343" t="n"/>
      <c r="J131" s="343" t="n"/>
      <c r="K131" s="343" t="n"/>
      <c r="L131" s="343" t="n"/>
      <c r="M131" s="388" t="n"/>
      <c r="N131" s="343" t="n"/>
      <c r="O131" s="343" t="n"/>
      <c r="P131" s="388" t="n"/>
      <c r="Q131" s="343" t="n"/>
      <c r="R131" s="343" t="n"/>
      <c r="S131" s="389" t="n"/>
      <c r="T131" s="343" t="n"/>
      <c r="U131" s="343" t="n"/>
      <c r="V131" s="389" t="n"/>
      <c r="W131" s="343" t="n"/>
      <c r="X131" s="343" t="n"/>
      <c r="Y131" s="390">
        <f>IF(OR($B131="",$G131=""),"",HYPERLINK("https://calendar.google.com/calendar/render?action=TEMPLATE&amp;text="&amp;ENCODEURL($G131)&amp;"&amp;dates="&amp;TEXT($B131,"YYYYMMDD")&amp;"T"&amp;TEXT($D131,"HHMMSS")&amp;"/"&amp;TEXT($B131+($D131+N($F131)/1440),"YYYYMMDD")&amp;"T"&amp;TEXT(MOD($D131+N($F131)/1440,1),"HHMMSS")&amp;"&amp;ctz=Europe/Madrid&amp;location="&amp;ENCODEURL($P131)&amp;"&amp;details="&amp;ENCODEURL("Cita de "&amp;$M131),"➕ Añadir"))</f>
        <v/>
      </c>
      <c r="Z131" s="391">
        <f>IF(OR($B131="",$V131="4 · Cancelada",$V131="3 · Hecha",N($B131)&lt;TODAY()),"",$B131)</f>
        <v/>
      </c>
    </row>
    <row r="132" ht="15" customHeight="1" s="311">
      <c r="B132" s="385" t="n"/>
      <c r="C132" s="343" t="n"/>
      <c r="D132" s="386" t="n"/>
      <c r="E132" s="343" t="n"/>
      <c r="F132" s="387" t="n"/>
      <c r="G132" s="388" t="n"/>
      <c r="H132" s="343" t="n"/>
      <c r="I132" s="343" t="n"/>
      <c r="J132" s="343" t="n"/>
      <c r="K132" s="343" t="n"/>
      <c r="L132" s="343" t="n"/>
      <c r="M132" s="388" t="n"/>
      <c r="N132" s="343" t="n"/>
      <c r="O132" s="343" t="n"/>
      <c r="P132" s="388" t="n"/>
      <c r="Q132" s="343" t="n"/>
      <c r="R132" s="343" t="n"/>
      <c r="S132" s="389" t="n"/>
      <c r="T132" s="343" t="n"/>
      <c r="U132" s="343" t="n"/>
      <c r="V132" s="389" t="n"/>
      <c r="W132" s="343" t="n"/>
      <c r="X132" s="343" t="n"/>
      <c r="Y132" s="390">
        <f>IF(OR($B132="",$G132=""),"",HYPERLINK("https://calendar.google.com/calendar/render?action=TEMPLATE&amp;text="&amp;ENCODEURL($G132)&amp;"&amp;dates="&amp;TEXT($B132,"YYYYMMDD")&amp;"T"&amp;TEXT($D132,"HHMMSS")&amp;"/"&amp;TEXT($B132+($D132+N($F132)/1440),"YYYYMMDD")&amp;"T"&amp;TEXT(MOD($D132+N($F132)/1440,1),"HHMMSS")&amp;"&amp;ctz=Europe/Madrid&amp;location="&amp;ENCODEURL($P132)&amp;"&amp;details="&amp;ENCODEURL("Cita de "&amp;$M132),"➕ Añadir"))</f>
        <v/>
      </c>
      <c r="Z132" s="391">
        <f>IF(OR($B132="",$V132="4 · Cancelada",$V132="3 · Hecha",N($B132)&lt;TODAY()),"",$B132)</f>
        <v/>
      </c>
    </row>
    <row r="133" ht="15" customHeight="1" s="311">
      <c r="B133" s="385" t="n"/>
      <c r="C133" s="343" t="n"/>
      <c r="D133" s="386" t="n"/>
      <c r="E133" s="343" t="n"/>
      <c r="F133" s="387" t="n"/>
      <c r="G133" s="388" t="n"/>
      <c r="H133" s="343" t="n"/>
      <c r="I133" s="343" t="n"/>
      <c r="J133" s="343" t="n"/>
      <c r="K133" s="343" t="n"/>
      <c r="L133" s="343" t="n"/>
      <c r="M133" s="388" t="n"/>
      <c r="N133" s="343" t="n"/>
      <c r="O133" s="343" t="n"/>
      <c r="P133" s="388" t="n"/>
      <c r="Q133" s="343" t="n"/>
      <c r="R133" s="343" t="n"/>
      <c r="S133" s="389" t="n"/>
      <c r="T133" s="343" t="n"/>
      <c r="U133" s="343" t="n"/>
      <c r="V133" s="389" t="n"/>
      <c r="W133" s="343" t="n"/>
      <c r="X133" s="343" t="n"/>
      <c r="Y133" s="390">
        <f>IF(OR($B133="",$G133=""),"",HYPERLINK("https://calendar.google.com/calendar/render?action=TEMPLATE&amp;text="&amp;ENCODEURL($G133)&amp;"&amp;dates="&amp;TEXT($B133,"YYYYMMDD")&amp;"T"&amp;TEXT($D133,"HHMMSS")&amp;"/"&amp;TEXT($B133+($D133+N($F133)/1440),"YYYYMMDD")&amp;"T"&amp;TEXT(MOD($D133+N($F133)/1440,1),"HHMMSS")&amp;"&amp;ctz=Europe/Madrid&amp;location="&amp;ENCODEURL($P133)&amp;"&amp;details="&amp;ENCODEURL("Cita de "&amp;$M133),"➕ Añadir"))</f>
        <v/>
      </c>
      <c r="Z133" s="391">
        <f>IF(OR($B133="",$V133="4 · Cancelada",$V133="3 · Hecha",N($B133)&lt;TODAY()),"",$B133)</f>
        <v/>
      </c>
    </row>
    <row r="134" ht="15" customHeight="1" s="311">
      <c r="B134" s="385" t="n"/>
      <c r="C134" s="343" t="n"/>
      <c r="D134" s="386" t="n"/>
      <c r="E134" s="343" t="n"/>
      <c r="F134" s="387" t="n"/>
      <c r="G134" s="388" t="n"/>
      <c r="H134" s="343" t="n"/>
      <c r="I134" s="343" t="n"/>
      <c r="J134" s="343" t="n"/>
      <c r="K134" s="343" t="n"/>
      <c r="L134" s="343" t="n"/>
      <c r="M134" s="388" t="n"/>
      <c r="N134" s="343" t="n"/>
      <c r="O134" s="343" t="n"/>
      <c r="P134" s="388" t="n"/>
      <c r="Q134" s="343" t="n"/>
      <c r="R134" s="343" t="n"/>
      <c r="S134" s="389" t="n"/>
      <c r="T134" s="343" t="n"/>
      <c r="U134" s="343" t="n"/>
      <c r="V134" s="389" t="n"/>
      <c r="W134" s="343" t="n"/>
      <c r="X134" s="343" t="n"/>
      <c r="Y134" s="390">
        <f>IF(OR($B134="",$G134=""),"",HYPERLINK("https://calendar.google.com/calendar/render?action=TEMPLATE&amp;text="&amp;ENCODEURL($G134)&amp;"&amp;dates="&amp;TEXT($B134,"YYYYMMDD")&amp;"T"&amp;TEXT($D134,"HHMMSS")&amp;"/"&amp;TEXT($B134+($D134+N($F134)/1440),"YYYYMMDD")&amp;"T"&amp;TEXT(MOD($D134+N($F134)/1440,1),"HHMMSS")&amp;"&amp;ctz=Europe/Madrid&amp;location="&amp;ENCODEURL($P134)&amp;"&amp;details="&amp;ENCODEURL("Cita de "&amp;$M134),"➕ Añadir"))</f>
        <v/>
      </c>
      <c r="Z134" s="391">
        <f>IF(OR($B134="",$V134="4 · Cancelada",$V134="3 · Hecha",N($B134)&lt;TODAY()),"",$B134)</f>
        <v/>
      </c>
    </row>
    <row r="135" ht="15" customHeight="1" s="311">
      <c r="B135" s="385" t="n"/>
      <c r="C135" s="343" t="n"/>
      <c r="D135" s="386" t="n"/>
      <c r="E135" s="343" t="n"/>
      <c r="F135" s="387" t="n"/>
      <c r="G135" s="388" t="n"/>
      <c r="H135" s="343" t="n"/>
      <c r="I135" s="343" t="n"/>
      <c r="J135" s="343" t="n"/>
      <c r="K135" s="343" t="n"/>
      <c r="L135" s="343" t="n"/>
      <c r="M135" s="388" t="n"/>
      <c r="N135" s="343" t="n"/>
      <c r="O135" s="343" t="n"/>
      <c r="P135" s="388" t="n"/>
      <c r="Q135" s="343" t="n"/>
      <c r="R135" s="343" t="n"/>
      <c r="S135" s="389" t="n"/>
      <c r="T135" s="343" t="n"/>
      <c r="U135" s="343" t="n"/>
      <c r="V135" s="389" t="n"/>
      <c r="W135" s="343" t="n"/>
      <c r="X135" s="343" t="n"/>
      <c r="Y135" s="390">
        <f>IF(OR($B135="",$G135=""),"",HYPERLINK("https://calendar.google.com/calendar/render?action=TEMPLATE&amp;text="&amp;ENCODEURL($G135)&amp;"&amp;dates="&amp;TEXT($B135,"YYYYMMDD")&amp;"T"&amp;TEXT($D135,"HHMMSS")&amp;"/"&amp;TEXT($B135+($D135+N($F135)/1440),"YYYYMMDD")&amp;"T"&amp;TEXT(MOD($D135+N($F135)/1440,1),"HHMMSS")&amp;"&amp;ctz=Europe/Madrid&amp;location="&amp;ENCODEURL($P135)&amp;"&amp;details="&amp;ENCODEURL("Cita de "&amp;$M135),"➕ Añadir"))</f>
        <v/>
      </c>
      <c r="Z135" s="391">
        <f>IF(OR($B135="",$V135="4 · Cancelada",$V135="3 · Hecha",N($B135)&lt;TODAY()),"",$B135)</f>
        <v/>
      </c>
    </row>
    <row r="136" ht="15" customHeight="1" s="311">
      <c r="B136" s="385" t="n"/>
      <c r="C136" s="343" t="n"/>
      <c r="D136" s="386" t="n"/>
      <c r="E136" s="343" t="n"/>
      <c r="F136" s="387" t="n"/>
      <c r="G136" s="388" t="n"/>
      <c r="H136" s="343" t="n"/>
      <c r="I136" s="343" t="n"/>
      <c r="J136" s="343" t="n"/>
      <c r="K136" s="343" t="n"/>
      <c r="L136" s="343" t="n"/>
      <c r="M136" s="388" t="n"/>
      <c r="N136" s="343" t="n"/>
      <c r="O136" s="343" t="n"/>
      <c r="P136" s="388" t="n"/>
      <c r="Q136" s="343" t="n"/>
      <c r="R136" s="343" t="n"/>
      <c r="S136" s="389" t="n"/>
      <c r="T136" s="343" t="n"/>
      <c r="U136" s="343" t="n"/>
      <c r="V136" s="389" t="n"/>
      <c r="W136" s="343" t="n"/>
      <c r="X136" s="343" t="n"/>
      <c r="Y136" s="390">
        <f>IF(OR($B136="",$G136=""),"",HYPERLINK("https://calendar.google.com/calendar/render?action=TEMPLATE&amp;text="&amp;ENCODEURL($G136)&amp;"&amp;dates="&amp;TEXT($B136,"YYYYMMDD")&amp;"T"&amp;TEXT($D136,"HHMMSS")&amp;"/"&amp;TEXT($B136+($D136+N($F136)/1440),"YYYYMMDD")&amp;"T"&amp;TEXT(MOD($D136+N($F136)/1440,1),"HHMMSS")&amp;"&amp;ctz=Europe/Madrid&amp;location="&amp;ENCODEURL($P136)&amp;"&amp;details="&amp;ENCODEURL("Cita de "&amp;$M136),"➕ Añadir"))</f>
        <v/>
      </c>
      <c r="Z136" s="391">
        <f>IF(OR($B136="",$V136="4 · Cancelada",$V136="3 · Hecha",N($B136)&lt;TODAY()),"",$B136)</f>
        <v/>
      </c>
    </row>
    <row r="137" ht="15" customHeight="1" s="311">
      <c r="B137" s="385" t="n"/>
      <c r="C137" s="343" t="n"/>
      <c r="D137" s="386" t="n"/>
      <c r="E137" s="343" t="n"/>
      <c r="F137" s="387" t="n"/>
      <c r="G137" s="388" t="n"/>
      <c r="H137" s="343" t="n"/>
      <c r="I137" s="343" t="n"/>
      <c r="J137" s="343" t="n"/>
      <c r="K137" s="343" t="n"/>
      <c r="L137" s="343" t="n"/>
      <c r="M137" s="388" t="n"/>
      <c r="N137" s="343" t="n"/>
      <c r="O137" s="343" t="n"/>
      <c r="P137" s="388" t="n"/>
      <c r="Q137" s="343" t="n"/>
      <c r="R137" s="343" t="n"/>
      <c r="S137" s="389" t="n"/>
      <c r="T137" s="343" t="n"/>
      <c r="U137" s="343" t="n"/>
      <c r="V137" s="389" t="n"/>
      <c r="W137" s="343" t="n"/>
      <c r="X137" s="343" t="n"/>
      <c r="Y137" s="390">
        <f>IF(OR($B137="",$G137=""),"",HYPERLINK("https://calendar.google.com/calendar/render?action=TEMPLATE&amp;text="&amp;ENCODEURL($G137)&amp;"&amp;dates="&amp;TEXT($B137,"YYYYMMDD")&amp;"T"&amp;TEXT($D137,"HHMMSS")&amp;"/"&amp;TEXT($B137+($D137+N($F137)/1440),"YYYYMMDD")&amp;"T"&amp;TEXT(MOD($D137+N($F137)/1440,1),"HHMMSS")&amp;"&amp;ctz=Europe/Madrid&amp;location="&amp;ENCODEURL($P137)&amp;"&amp;details="&amp;ENCODEURL("Cita de "&amp;$M137),"➕ Añadir"))</f>
        <v/>
      </c>
      <c r="Z137" s="391">
        <f>IF(OR($B137="",$V137="4 · Cancelada",$V137="3 · Hecha",N($B137)&lt;TODAY()),"",$B137)</f>
        <v/>
      </c>
    </row>
    <row r="138" ht="15" customHeight="1" s="311">
      <c r="B138" s="385" t="n"/>
      <c r="C138" s="343" t="n"/>
      <c r="D138" s="386" t="n"/>
      <c r="E138" s="343" t="n"/>
      <c r="F138" s="387" t="n"/>
      <c r="G138" s="388" t="n"/>
      <c r="H138" s="343" t="n"/>
      <c r="I138" s="343" t="n"/>
      <c r="J138" s="343" t="n"/>
      <c r="K138" s="343" t="n"/>
      <c r="L138" s="343" t="n"/>
      <c r="M138" s="388" t="n"/>
      <c r="N138" s="343" t="n"/>
      <c r="O138" s="343" t="n"/>
      <c r="P138" s="388" t="n"/>
      <c r="Q138" s="343" t="n"/>
      <c r="R138" s="343" t="n"/>
      <c r="S138" s="389" t="n"/>
      <c r="T138" s="343" t="n"/>
      <c r="U138" s="343" t="n"/>
      <c r="V138" s="389" t="n"/>
      <c r="W138" s="343" t="n"/>
      <c r="X138" s="343" t="n"/>
      <c r="Y138" s="390">
        <f>IF(OR($B138="",$G138=""),"",HYPERLINK("https://calendar.google.com/calendar/render?action=TEMPLATE&amp;text="&amp;ENCODEURL($G138)&amp;"&amp;dates="&amp;TEXT($B138,"YYYYMMDD")&amp;"T"&amp;TEXT($D138,"HHMMSS")&amp;"/"&amp;TEXT($B138+($D138+N($F138)/1440),"YYYYMMDD")&amp;"T"&amp;TEXT(MOD($D138+N($F138)/1440,1),"HHMMSS")&amp;"&amp;ctz=Europe/Madrid&amp;location="&amp;ENCODEURL($P138)&amp;"&amp;details="&amp;ENCODEURL("Cita de "&amp;$M138),"➕ Añadir"))</f>
        <v/>
      </c>
      <c r="Z138" s="391">
        <f>IF(OR($B138="",$V138="4 · Cancelada",$V138="3 · Hecha",N($B138)&lt;TODAY()),"",$B138)</f>
        <v/>
      </c>
    </row>
    <row r="139" ht="15" customHeight="1" s="311">
      <c r="B139" s="385" t="n"/>
      <c r="C139" s="343" t="n"/>
      <c r="D139" s="386" t="n"/>
      <c r="E139" s="343" t="n"/>
      <c r="F139" s="387" t="n"/>
      <c r="G139" s="388" t="n"/>
      <c r="H139" s="343" t="n"/>
      <c r="I139" s="343" t="n"/>
      <c r="J139" s="343" t="n"/>
      <c r="K139" s="343" t="n"/>
      <c r="L139" s="343" t="n"/>
      <c r="M139" s="388" t="n"/>
      <c r="N139" s="343" t="n"/>
      <c r="O139" s="343" t="n"/>
      <c r="P139" s="388" t="n"/>
      <c r="Q139" s="343" t="n"/>
      <c r="R139" s="343" t="n"/>
      <c r="S139" s="389" t="n"/>
      <c r="T139" s="343" t="n"/>
      <c r="U139" s="343" t="n"/>
      <c r="V139" s="389" t="n"/>
      <c r="W139" s="343" t="n"/>
      <c r="X139" s="343" t="n"/>
      <c r="Y139" s="390">
        <f>IF(OR($B139="",$G139=""),"",HYPERLINK("https://calendar.google.com/calendar/render?action=TEMPLATE&amp;text="&amp;ENCODEURL($G139)&amp;"&amp;dates="&amp;TEXT($B139,"YYYYMMDD")&amp;"T"&amp;TEXT($D139,"HHMMSS")&amp;"/"&amp;TEXT($B139+($D139+N($F139)/1440),"YYYYMMDD")&amp;"T"&amp;TEXT(MOD($D139+N($F139)/1440,1),"HHMMSS")&amp;"&amp;ctz=Europe/Madrid&amp;location="&amp;ENCODEURL($P139)&amp;"&amp;details="&amp;ENCODEURL("Cita de "&amp;$M139),"➕ Añadir"))</f>
        <v/>
      </c>
      <c r="Z139" s="391">
        <f>IF(OR($B139="",$V139="4 · Cancelada",$V139="3 · Hecha",N($B139)&lt;TODAY()),"",$B139)</f>
        <v/>
      </c>
    </row>
    <row r="140" ht="15" customHeight="1" s="311">
      <c r="B140" s="385" t="n"/>
      <c r="C140" s="343" t="n"/>
      <c r="D140" s="386" t="n"/>
      <c r="E140" s="343" t="n"/>
      <c r="F140" s="387" t="n"/>
      <c r="G140" s="388" t="n"/>
      <c r="H140" s="343" t="n"/>
      <c r="I140" s="343" t="n"/>
      <c r="J140" s="343" t="n"/>
      <c r="K140" s="343" t="n"/>
      <c r="L140" s="343" t="n"/>
      <c r="M140" s="388" t="n"/>
      <c r="N140" s="343" t="n"/>
      <c r="O140" s="343" t="n"/>
      <c r="P140" s="388" t="n"/>
      <c r="Q140" s="343" t="n"/>
      <c r="R140" s="343" t="n"/>
      <c r="S140" s="389" t="n"/>
      <c r="T140" s="343" t="n"/>
      <c r="U140" s="343" t="n"/>
      <c r="V140" s="389" t="n"/>
      <c r="W140" s="343" t="n"/>
      <c r="X140" s="343" t="n"/>
      <c r="Y140" s="390">
        <f>IF(OR($B140="",$G140=""),"",HYPERLINK("https://calendar.google.com/calendar/render?action=TEMPLATE&amp;text="&amp;ENCODEURL($G140)&amp;"&amp;dates="&amp;TEXT($B140,"YYYYMMDD")&amp;"T"&amp;TEXT($D140,"HHMMSS")&amp;"/"&amp;TEXT($B140+($D140+N($F140)/1440),"YYYYMMDD")&amp;"T"&amp;TEXT(MOD($D140+N($F140)/1440,1),"HHMMSS")&amp;"&amp;ctz=Europe/Madrid&amp;location="&amp;ENCODEURL($P140)&amp;"&amp;details="&amp;ENCODEURL("Cita de "&amp;$M140),"➕ Añadir"))</f>
        <v/>
      </c>
      <c r="Z140" s="391">
        <f>IF(OR($B140="",$V140="4 · Cancelada",$V140="3 · Hecha",N($B140)&lt;TODAY()),"",$B140)</f>
        <v/>
      </c>
    </row>
    <row r="141" ht="15" customHeight="1" s="311">
      <c r="B141" s="385" t="n"/>
      <c r="C141" s="343" t="n"/>
      <c r="D141" s="386" t="n"/>
      <c r="E141" s="343" t="n"/>
      <c r="F141" s="387" t="n"/>
      <c r="G141" s="388" t="n"/>
      <c r="H141" s="343" t="n"/>
      <c r="I141" s="343" t="n"/>
      <c r="J141" s="343" t="n"/>
      <c r="K141" s="343" t="n"/>
      <c r="L141" s="343" t="n"/>
      <c r="M141" s="388" t="n"/>
      <c r="N141" s="343" t="n"/>
      <c r="O141" s="343" t="n"/>
      <c r="P141" s="388" t="n"/>
      <c r="Q141" s="343" t="n"/>
      <c r="R141" s="343" t="n"/>
      <c r="S141" s="389" t="n"/>
      <c r="T141" s="343" t="n"/>
      <c r="U141" s="343" t="n"/>
      <c r="V141" s="389" t="n"/>
      <c r="W141" s="343" t="n"/>
      <c r="X141" s="343" t="n"/>
      <c r="Y141" s="390">
        <f>IF(OR($B141="",$G141=""),"",HYPERLINK("https://calendar.google.com/calendar/render?action=TEMPLATE&amp;text="&amp;ENCODEURL($G141)&amp;"&amp;dates="&amp;TEXT($B141,"YYYYMMDD")&amp;"T"&amp;TEXT($D141,"HHMMSS")&amp;"/"&amp;TEXT($B141+($D141+N($F141)/1440),"YYYYMMDD")&amp;"T"&amp;TEXT(MOD($D141+N($F141)/1440,1),"HHMMSS")&amp;"&amp;ctz=Europe/Madrid&amp;location="&amp;ENCODEURL($P141)&amp;"&amp;details="&amp;ENCODEURL("Cita de "&amp;$M141),"➕ Añadir"))</f>
        <v/>
      </c>
      <c r="Z141" s="391">
        <f>IF(OR($B141="",$V141="4 · Cancelada",$V141="3 · Hecha",N($B141)&lt;TODAY()),"",$B141)</f>
        <v/>
      </c>
    </row>
    <row r="142" ht="15" customHeight="1" s="311">
      <c r="B142" s="385" t="n"/>
      <c r="C142" s="343" t="n"/>
      <c r="D142" s="386" t="n"/>
      <c r="E142" s="343" t="n"/>
      <c r="F142" s="387" t="n"/>
      <c r="G142" s="388" t="n"/>
      <c r="H142" s="343" t="n"/>
      <c r="I142" s="343" t="n"/>
      <c r="J142" s="343" t="n"/>
      <c r="K142" s="343" t="n"/>
      <c r="L142" s="343" t="n"/>
      <c r="M142" s="388" t="n"/>
      <c r="N142" s="343" t="n"/>
      <c r="O142" s="343" t="n"/>
      <c r="P142" s="388" t="n"/>
      <c r="Q142" s="343" t="n"/>
      <c r="R142" s="343" t="n"/>
      <c r="S142" s="389" t="n"/>
      <c r="T142" s="343" t="n"/>
      <c r="U142" s="343" t="n"/>
      <c r="V142" s="389" t="n"/>
      <c r="W142" s="343" t="n"/>
      <c r="X142" s="343" t="n"/>
      <c r="Y142" s="390">
        <f>IF(OR($B142="",$G142=""),"",HYPERLINK("https://calendar.google.com/calendar/render?action=TEMPLATE&amp;text="&amp;ENCODEURL($G142)&amp;"&amp;dates="&amp;TEXT($B142,"YYYYMMDD")&amp;"T"&amp;TEXT($D142,"HHMMSS")&amp;"/"&amp;TEXT($B142+($D142+N($F142)/1440),"YYYYMMDD")&amp;"T"&amp;TEXT(MOD($D142+N($F142)/1440,1),"HHMMSS")&amp;"&amp;ctz=Europe/Madrid&amp;location="&amp;ENCODEURL($P142)&amp;"&amp;details="&amp;ENCODEURL("Cita de "&amp;$M142),"➕ Añadir"))</f>
        <v/>
      </c>
      <c r="Z142" s="391">
        <f>IF(OR($B142="",$V142="4 · Cancelada",$V142="3 · Hecha",N($B142)&lt;TODAY()),"",$B142)</f>
        <v/>
      </c>
    </row>
    <row r="143" ht="15" customHeight="1" s="311">
      <c r="B143" s="385" t="n"/>
      <c r="C143" s="343" t="n"/>
      <c r="D143" s="386" t="n"/>
      <c r="E143" s="343" t="n"/>
      <c r="F143" s="387" t="n"/>
      <c r="G143" s="388" t="n"/>
      <c r="H143" s="343" t="n"/>
      <c r="I143" s="343" t="n"/>
      <c r="J143" s="343" t="n"/>
      <c r="K143" s="343" t="n"/>
      <c r="L143" s="343" t="n"/>
      <c r="M143" s="388" t="n"/>
      <c r="N143" s="343" t="n"/>
      <c r="O143" s="343" t="n"/>
      <c r="P143" s="388" t="n"/>
      <c r="Q143" s="343" t="n"/>
      <c r="R143" s="343" t="n"/>
      <c r="S143" s="389" t="n"/>
      <c r="T143" s="343" t="n"/>
      <c r="U143" s="343" t="n"/>
      <c r="V143" s="389" t="n"/>
      <c r="W143" s="343" t="n"/>
      <c r="X143" s="343" t="n"/>
      <c r="Y143" s="390">
        <f>IF(OR($B143="",$G143=""),"",HYPERLINK("https://calendar.google.com/calendar/render?action=TEMPLATE&amp;text="&amp;ENCODEURL($G143)&amp;"&amp;dates="&amp;TEXT($B143,"YYYYMMDD")&amp;"T"&amp;TEXT($D143,"HHMMSS")&amp;"/"&amp;TEXT($B143+($D143+N($F143)/1440),"YYYYMMDD")&amp;"T"&amp;TEXT(MOD($D143+N($F143)/1440,1),"HHMMSS")&amp;"&amp;ctz=Europe/Madrid&amp;location="&amp;ENCODEURL($P143)&amp;"&amp;details="&amp;ENCODEURL("Cita de "&amp;$M143),"➕ Añadir"))</f>
        <v/>
      </c>
      <c r="Z143" s="391">
        <f>IF(OR($B143="",$V143="4 · Cancelada",$V143="3 · Hecha",N($B143)&lt;TODAY()),"",$B143)</f>
        <v/>
      </c>
    </row>
    <row r="144" ht="15" customHeight="1" s="311">
      <c r="B144" s="385" t="n"/>
      <c r="C144" s="343" t="n"/>
      <c r="D144" s="386" t="n"/>
      <c r="E144" s="343" t="n"/>
      <c r="F144" s="387" t="n"/>
      <c r="G144" s="388" t="n"/>
      <c r="H144" s="343" t="n"/>
      <c r="I144" s="343" t="n"/>
      <c r="J144" s="343" t="n"/>
      <c r="K144" s="343" t="n"/>
      <c r="L144" s="343" t="n"/>
      <c r="M144" s="388" t="n"/>
      <c r="N144" s="343" t="n"/>
      <c r="O144" s="343" t="n"/>
      <c r="P144" s="388" t="n"/>
      <c r="Q144" s="343" t="n"/>
      <c r="R144" s="343" t="n"/>
      <c r="S144" s="389" t="n"/>
      <c r="T144" s="343" t="n"/>
      <c r="U144" s="343" t="n"/>
      <c r="V144" s="389" t="n"/>
      <c r="W144" s="343" t="n"/>
      <c r="X144" s="343" t="n"/>
      <c r="Y144" s="390">
        <f>IF(OR($B144="",$G144=""),"",HYPERLINK("https://calendar.google.com/calendar/render?action=TEMPLATE&amp;text="&amp;ENCODEURL($G144)&amp;"&amp;dates="&amp;TEXT($B144,"YYYYMMDD")&amp;"T"&amp;TEXT($D144,"HHMMSS")&amp;"/"&amp;TEXT($B144+($D144+N($F144)/1440),"YYYYMMDD")&amp;"T"&amp;TEXT(MOD($D144+N($F144)/1440,1),"HHMMSS")&amp;"&amp;ctz=Europe/Madrid&amp;location="&amp;ENCODEURL($P144)&amp;"&amp;details="&amp;ENCODEURL("Cita de "&amp;$M144),"➕ Añadir"))</f>
        <v/>
      </c>
      <c r="Z144" s="391">
        <f>IF(OR($B144="",$V144="4 · Cancelada",$V144="3 · Hecha",N($B144)&lt;TODAY()),"",$B144)</f>
        <v/>
      </c>
    </row>
    <row r="145" ht="15" customHeight="1" s="311">
      <c r="B145" s="385" t="n"/>
      <c r="C145" s="343" t="n"/>
      <c r="D145" s="386" t="n"/>
      <c r="E145" s="343" t="n"/>
      <c r="F145" s="387" t="n"/>
      <c r="G145" s="388" t="n"/>
      <c r="H145" s="343" t="n"/>
      <c r="I145" s="343" t="n"/>
      <c r="J145" s="343" t="n"/>
      <c r="K145" s="343" t="n"/>
      <c r="L145" s="343" t="n"/>
      <c r="M145" s="388" t="n"/>
      <c r="N145" s="343" t="n"/>
      <c r="O145" s="343" t="n"/>
      <c r="P145" s="388" t="n"/>
      <c r="Q145" s="343" t="n"/>
      <c r="R145" s="343" t="n"/>
      <c r="S145" s="389" t="n"/>
      <c r="T145" s="343" t="n"/>
      <c r="U145" s="343" t="n"/>
      <c r="V145" s="389" t="n"/>
      <c r="W145" s="343" t="n"/>
      <c r="X145" s="343" t="n"/>
      <c r="Y145" s="390">
        <f>IF(OR($B145="",$G145=""),"",HYPERLINK("https://calendar.google.com/calendar/render?action=TEMPLATE&amp;text="&amp;ENCODEURL($G145)&amp;"&amp;dates="&amp;TEXT($B145,"YYYYMMDD")&amp;"T"&amp;TEXT($D145,"HHMMSS")&amp;"/"&amp;TEXT($B145+($D145+N($F145)/1440),"YYYYMMDD")&amp;"T"&amp;TEXT(MOD($D145+N($F145)/1440,1),"HHMMSS")&amp;"&amp;ctz=Europe/Madrid&amp;location="&amp;ENCODEURL($P145)&amp;"&amp;details="&amp;ENCODEURL("Cita de "&amp;$M145),"➕ Añadir"))</f>
        <v/>
      </c>
      <c r="Z145" s="391">
        <f>IF(OR($B145="",$V145="4 · Cancelada",$V145="3 · Hecha",N($B145)&lt;TODAY()),"",$B145)</f>
        <v/>
      </c>
    </row>
    <row r="146" ht="15" customHeight="1" s="311">
      <c r="B146" s="385" t="n"/>
      <c r="C146" s="343" t="n"/>
      <c r="D146" s="386" t="n"/>
      <c r="E146" s="343" t="n"/>
      <c r="F146" s="387" t="n"/>
      <c r="G146" s="388" t="n"/>
      <c r="H146" s="343" t="n"/>
      <c r="I146" s="343" t="n"/>
      <c r="J146" s="343" t="n"/>
      <c r="K146" s="343" t="n"/>
      <c r="L146" s="343" t="n"/>
      <c r="M146" s="388" t="n"/>
      <c r="N146" s="343" t="n"/>
      <c r="O146" s="343" t="n"/>
      <c r="P146" s="388" t="n"/>
      <c r="Q146" s="343" t="n"/>
      <c r="R146" s="343" t="n"/>
      <c r="S146" s="389" t="n"/>
      <c r="T146" s="343" t="n"/>
      <c r="U146" s="343" t="n"/>
      <c r="V146" s="389" t="n"/>
      <c r="W146" s="343" t="n"/>
      <c r="X146" s="343" t="n"/>
      <c r="Y146" s="390">
        <f>IF(OR($B146="",$G146=""),"",HYPERLINK("https://calendar.google.com/calendar/render?action=TEMPLATE&amp;text="&amp;ENCODEURL($G146)&amp;"&amp;dates="&amp;TEXT($B146,"YYYYMMDD")&amp;"T"&amp;TEXT($D146,"HHMMSS")&amp;"/"&amp;TEXT($B146+($D146+N($F146)/1440),"YYYYMMDD")&amp;"T"&amp;TEXT(MOD($D146+N($F146)/1440,1),"HHMMSS")&amp;"&amp;ctz=Europe/Madrid&amp;location="&amp;ENCODEURL($P146)&amp;"&amp;details="&amp;ENCODEURL("Cita de "&amp;$M146),"➕ Añadir"))</f>
        <v/>
      </c>
      <c r="Z146" s="391">
        <f>IF(OR($B146="",$V146="4 · Cancelada",$V146="3 · Hecha",N($B146)&lt;TODAY()),"",$B146)</f>
        <v/>
      </c>
    </row>
    <row r="147" ht="15" customHeight="1" s="311">
      <c r="B147" s="385" t="n"/>
      <c r="C147" s="343" t="n"/>
      <c r="D147" s="386" t="n"/>
      <c r="E147" s="343" t="n"/>
      <c r="F147" s="387" t="n"/>
      <c r="G147" s="388" t="n"/>
      <c r="H147" s="343" t="n"/>
      <c r="I147" s="343" t="n"/>
      <c r="J147" s="343" t="n"/>
      <c r="K147" s="343" t="n"/>
      <c r="L147" s="343" t="n"/>
      <c r="M147" s="388" t="n"/>
      <c r="N147" s="343" t="n"/>
      <c r="O147" s="343" t="n"/>
      <c r="P147" s="388" t="n"/>
      <c r="Q147" s="343" t="n"/>
      <c r="R147" s="343" t="n"/>
      <c r="S147" s="389" t="n"/>
      <c r="T147" s="343" t="n"/>
      <c r="U147" s="343" t="n"/>
      <c r="V147" s="389" t="n"/>
      <c r="W147" s="343" t="n"/>
      <c r="X147" s="343" t="n"/>
      <c r="Y147" s="390">
        <f>IF(OR($B147="",$G147=""),"",HYPERLINK("https://calendar.google.com/calendar/render?action=TEMPLATE&amp;text="&amp;ENCODEURL($G147)&amp;"&amp;dates="&amp;TEXT($B147,"YYYYMMDD")&amp;"T"&amp;TEXT($D147,"HHMMSS")&amp;"/"&amp;TEXT($B147+($D147+N($F147)/1440),"YYYYMMDD")&amp;"T"&amp;TEXT(MOD($D147+N($F147)/1440,1),"HHMMSS")&amp;"&amp;ctz=Europe/Madrid&amp;location="&amp;ENCODEURL($P147)&amp;"&amp;details="&amp;ENCODEURL("Cita de "&amp;$M147),"➕ Añadir"))</f>
        <v/>
      </c>
      <c r="Z147" s="391">
        <f>IF(OR($B147="",$V147="4 · Cancelada",$V147="3 · Hecha",N($B147)&lt;TODAY()),"",$B147)</f>
        <v/>
      </c>
    </row>
    <row r="148" ht="15" customHeight="1" s="311">
      <c r="B148" s="385" t="n"/>
      <c r="C148" s="343" t="n"/>
      <c r="D148" s="386" t="n"/>
      <c r="E148" s="343" t="n"/>
      <c r="F148" s="387" t="n"/>
      <c r="G148" s="388" t="n"/>
      <c r="H148" s="343" t="n"/>
      <c r="I148" s="343" t="n"/>
      <c r="J148" s="343" t="n"/>
      <c r="K148" s="343" t="n"/>
      <c r="L148" s="343" t="n"/>
      <c r="M148" s="388" t="n"/>
      <c r="N148" s="343" t="n"/>
      <c r="O148" s="343" t="n"/>
      <c r="P148" s="388" t="n"/>
      <c r="Q148" s="343" t="n"/>
      <c r="R148" s="343" t="n"/>
      <c r="S148" s="389" t="n"/>
      <c r="T148" s="343" t="n"/>
      <c r="U148" s="343" t="n"/>
      <c r="V148" s="389" t="n"/>
      <c r="W148" s="343" t="n"/>
      <c r="X148" s="343" t="n"/>
      <c r="Y148" s="390">
        <f>IF(OR($B148="",$G148=""),"",HYPERLINK("https://calendar.google.com/calendar/render?action=TEMPLATE&amp;text="&amp;ENCODEURL($G148)&amp;"&amp;dates="&amp;TEXT($B148,"YYYYMMDD")&amp;"T"&amp;TEXT($D148,"HHMMSS")&amp;"/"&amp;TEXT($B148+($D148+N($F148)/1440),"YYYYMMDD")&amp;"T"&amp;TEXT(MOD($D148+N($F148)/1440,1),"HHMMSS")&amp;"&amp;ctz=Europe/Madrid&amp;location="&amp;ENCODEURL($P148)&amp;"&amp;details="&amp;ENCODEURL("Cita de "&amp;$M148),"➕ Añadir"))</f>
        <v/>
      </c>
      <c r="Z148" s="391">
        <f>IF(OR($B148="",$V148="4 · Cancelada",$V148="3 · Hecha",N($B148)&lt;TODAY()),"",$B148)</f>
        <v/>
      </c>
    </row>
    <row r="149" ht="15" customHeight="1" s="311">
      <c r="B149" s="385" t="n"/>
      <c r="C149" s="343" t="n"/>
      <c r="D149" s="386" t="n"/>
      <c r="E149" s="343" t="n"/>
      <c r="F149" s="387" t="n"/>
      <c r="G149" s="388" t="n"/>
      <c r="H149" s="343" t="n"/>
      <c r="I149" s="343" t="n"/>
      <c r="J149" s="343" t="n"/>
      <c r="K149" s="343" t="n"/>
      <c r="L149" s="343" t="n"/>
      <c r="M149" s="388" t="n"/>
      <c r="N149" s="343" t="n"/>
      <c r="O149" s="343" t="n"/>
      <c r="P149" s="388" t="n"/>
      <c r="Q149" s="343" t="n"/>
      <c r="R149" s="343" t="n"/>
      <c r="S149" s="389" t="n"/>
      <c r="T149" s="343" t="n"/>
      <c r="U149" s="343" t="n"/>
      <c r="V149" s="389" t="n"/>
      <c r="W149" s="343" t="n"/>
      <c r="X149" s="343" t="n"/>
      <c r="Y149" s="390">
        <f>IF(OR($B149="",$G149=""),"",HYPERLINK("https://calendar.google.com/calendar/render?action=TEMPLATE&amp;text="&amp;ENCODEURL($G149)&amp;"&amp;dates="&amp;TEXT($B149,"YYYYMMDD")&amp;"T"&amp;TEXT($D149,"HHMMSS")&amp;"/"&amp;TEXT($B149+($D149+N($F149)/1440),"YYYYMMDD")&amp;"T"&amp;TEXT(MOD($D149+N($F149)/1440,1),"HHMMSS")&amp;"&amp;ctz=Europe/Madrid&amp;location="&amp;ENCODEURL($P149)&amp;"&amp;details="&amp;ENCODEURL("Cita de "&amp;$M149),"➕ Añadir"))</f>
        <v/>
      </c>
      <c r="Z149" s="391">
        <f>IF(OR($B149="",$V149="4 · Cancelada",$V149="3 · Hecha",N($B149)&lt;TODAY()),"",$B149)</f>
        <v/>
      </c>
    </row>
    <row r="150" ht="15" customHeight="1" s="311">
      <c r="B150" s="385" t="n"/>
      <c r="C150" s="343" t="n"/>
      <c r="D150" s="386" t="n"/>
      <c r="E150" s="343" t="n"/>
      <c r="F150" s="387" t="n"/>
      <c r="G150" s="388" t="n"/>
      <c r="H150" s="343" t="n"/>
      <c r="I150" s="343" t="n"/>
      <c r="J150" s="343" t="n"/>
      <c r="K150" s="343" t="n"/>
      <c r="L150" s="343" t="n"/>
      <c r="M150" s="388" t="n"/>
      <c r="N150" s="343" t="n"/>
      <c r="O150" s="343" t="n"/>
      <c r="P150" s="388" t="n"/>
      <c r="Q150" s="343" t="n"/>
      <c r="R150" s="343" t="n"/>
      <c r="S150" s="389" t="n"/>
      <c r="T150" s="343" t="n"/>
      <c r="U150" s="343" t="n"/>
      <c r="V150" s="389" t="n"/>
      <c r="W150" s="343" t="n"/>
      <c r="X150" s="343" t="n"/>
      <c r="Y150" s="390">
        <f>IF(OR($B150="",$G150=""),"",HYPERLINK("https://calendar.google.com/calendar/render?action=TEMPLATE&amp;text="&amp;ENCODEURL($G150)&amp;"&amp;dates="&amp;TEXT($B150,"YYYYMMDD")&amp;"T"&amp;TEXT($D150,"HHMMSS")&amp;"/"&amp;TEXT($B150+($D150+N($F150)/1440),"YYYYMMDD")&amp;"T"&amp;TEXT(MOD($D150+N($F150)/1440,1),"HHMMSS")&amp;"&amp;ctz=Europe/Madrid&amp;location="&amp;ENCODEURL($P150)&amp;"&amp;details="&amp;ENCODEURL("Cita de "&amp;$M150),"➕ Añadir"))</f>
        <v/>
      </c>
      <c r="Z150" s="391">
        <f>IF(OR($B150="",$V150="4 · Cancelada",$V150="3 · Hecha",N($B150)&lt;TODAY()),"",$B150)</f>
        <v/>
      </c>
    </row>
    <row r="151" ht="15" customHeight="1" s="311">
      <c r="B151" s="385" t="n"/>
      <c r="C151" s="343" t="n"/>
      <c r="D151" s="386" t="n"/>
      <c r="E151" s="343" t="n"/>
      <c r="F151" s="387" t="n"/>
      <c r="G151" s="388" t="n"/>
      <c r="H151" s="343" t="n"/>
      <c r="I151" s="343" t="n"/>
      <c r="J151" s="343" t="n"/>
      <c r="K151" s="343" t="n"/>
      <c r="L151" s="343" t="n"/>
      <c r="M151" s="388" t="n"/>
      <c r="N151" s="343" t="n"/>
      <c r="O151" s="343" t="n"/>
      <c r="P151" s="388" t="n"/>
      <c r="Q151" s="343" t="n"/>
      <c r="R151" s="343" t="n"/>
      <c r="S151" s="389" t="n"/>
      <c r="T151" s="343" t="n"/>
      <c r="U151" s="343" t="n"/>
      <c r="V151" s="389" t="n"/>
      <c r="W151" s="343" t="n"/>
      <c r="X151" s="343" t="n"/>
      <c r="Y151" s="390">
        <f>IF(OR($B151="",$G151=""),"",HYPERLINK("https://calendar.google.com/calendar/render?action=TEMPLATE&amp;text="&amp;ENCODEURL($G151)&amp;"&amp;dates="&amp;TEXT($B151,"YYYYMMDD")&amp;"T"&amp;TEXT($D151,"HHMMSS")&amp;"/"&amp;TEXT($B151+($D151+N($F151)/1440),"YYYYMMDD")&amp;"T"&amp;TEXT(MOD($D151+N($F151)/1440,1),"HHMMSS")&amp;"&amp;ctz=Europe/Madrid&amp;location="&amp;ENCODEURL($P151)&amp;"&amp;details="&amp;ENCODEURL("Cita de "&amp;$M151),"➕ Añadir"))</f>
        <v/>
      </c>
      <c r="Z151" s="391">
        <f>IF(OR($B151="",$V151="4 · Cancelada",$V151="3 · Hecha",N($B151)&lt;TODAY()),"",$B151)</f>
        <v/>
      </c>
    </row>
    <row r="152" ht="15" customHeight="1" s="311">
      <c r="B152" s="385" t="n"/>
      <c r="C152" s="343" t="n"/>
      <c r="D152" s="386" t="n"/>
      <c r="E152" s="343" t="n"/>
      <c r="F152" s="387" t="n"/>
      <c r="G152" s="388" t="n"/>
      <c r="H152" s="343" t="n"/>
      <c r="I152" s="343" t="n"/>
      <c r="J152" s="343" t="n"/>
      <c r="K152" s="343" t="n"/>
      <c r="L152" s="343" t="n"/>
      <c r="M152" s="388" t="n"/>
      <c r="N152" s="343" t="n"/>
      <c r="O152" s="343" t="n"/>
      <c r="P152" s="388" t="n"/>
      <c r="Q152" s="343" t="n"/>
      <c r="R152" s="343" t="n"/>
      <c r="S152" s="389" t="n"/>
      <c r="T152" s="343" t="n"/>
      <c r="U152" s="343" t="n"/>
      <c r="V152" s="389" t="n"/>
      <c r="W152" s="343" t="n"/>
      <c r="X152" s="343" t="n"/>
      <c r="Y152" s="390">
        <f>IF(OR($B152="",$G152=""),"",HYPERLINK("https://calendar.google.com/calendar/render?action=TEMPLATE&amp;text="&amp;ENCODEURL($G152)&amp;"&amp;dates="&amp;TEXT($B152,"YYYYMMDD")&amp;"T"&amp;TEXT($D152,"HHMMSS")&amp;"/"&amp;TEXT($B152+($D152+N($F152)/1440),"YYYYMMDD")&amp;"T"&amp;TEXT(MOD($D152+N($F152)/1440,1),"HHMMSS")&amp;"&amp;ctz=Europe/Madrid&amp;location="&amp;ENCODEURL($P152)&amp;"&amp;details="&amp;ENCODEURL("Cita de "&amp;$M152),"➕ Añadir"))</f>
        <v/>
      </c>
      <c r="Z152" s="391">
        <f>IF(OR($B152="",$V152="4 · Cancelada",$V152="3 · Hecha",N($B152)&lt;TODAY()),"",$B152)</f>
        <v/>
      </c>
    </row>
    <row r="153" ht="15" customHeight="1" s="311">
      <c r="B153" s="385" t="n"/>
      <c r="C153" s="343" t="n"/>
      <c r="D153" s="386" t="n"/>
      <c r="E153" s="343" t="n"/>
      <c r="F153" s="387" t="n"/>
      <c r="G153" s="388" t="n"/>
      <c r="H153" s="343" t="n"/>
      <c r="I153" s="343" t="n"/>
      <c r="J153" s="343" t="n"/>
      <c r="K153" s="343" t="n"/>
      <c r="L153" s="343" t="n"/>
      <c r="M153" s="388" t="n"/>
      <c r="N153" s="343" t="n"/>
      <c r="O153" s="343" t="n"/>
      <c r="P153" s="388" t="n"/>
      <c r="Q153" s="343" t="n"/>
      <c r="R153" s="343" t="n"/>
      <c r="S153" s="389" t="n"/>
      <c r="T153" s="343" t="n"/>
      <c r="U153" s="343" t="n"/>
      <c r="V153" s="389" t="n"/>
      <c r="W153" s="343" t="n"/>
      <c r="X153" s="343" t="n"/>
      <c r="Y153" s="390">
        <f>IF(OR($B153="",$G153=""),"",HYPERLINK("https://calendar.google.com/calendar/render?action=TEMPLATE&amp;text="&amp;ENCODEURL($G153)&amp;"&amp;dates="&amp;TEXT($B153,"YYYYMMDD")&amp;"T"&amp;TEXT($D153,"HHMMSS")&amp;"/"&amp;TEXT($B153+($D153+N($F153)/1440),"YYYYMMDD")&amp;"T"&amp;TEXT(MOD($D153+N($F153)/1440,1),"HHMMSS")&amp;"&amp;ctz=Europe/Madrid&amp;location="&amp;ENCODEURL($P153)&amp;"&amp;details="&amp;ENCODEURL("Cita de "&amp;$M153),"➕ Añadir"))</f>
        <v/>
      </c>
      <c r="Z153" s="391">
        <f>IF(OR($B153="",$V153="4 · Cancelada",$V153="3 · Hecha",N($B153)&lt;TODAY()),"",$B153)</f>
        <v/>
      </c>
    </row>
    <row r="154" ht="15" customHeight="1" s="311">
      <c r="B154" s="385" t="n"/>
      <c r="C154" s="343" t="n"/>
      <c r="D154" s="386" t="n"/>
      <c r="E154" s="343" t="n"/>
      <c r="F154" s="387" t="n"/>
      <c r="G154" s="388" t="n"/>
      <c r="H154" s="343" t="n"/>
      <c r="I154" s="343" t="n"/>
      <c r="J154" s="343" t="n"/>
      <c r="K154" s="343" t="n"/>
      <c r="L154" s="343" t="n"/>
      <c r="M154" s="388" t="n"/>
      <c r="N154" s="343" t="n"/>
      <c r="O154" s="343" t="n"/>
      <c r="P154" s="388" t="n"/>
      <c r="Q154" s="343" t="n"/>
      <c r="R154" s="343" t="n"/>
      <c r="S154" s="389" t="n"/>
      <c r="T154" s="343" t="n"/>
      <c r="U154" s="343" t="n"/>
      <c r="V154" s="389" t="n"/>
      <c r="W154" s="343" t="n"/>
      <c r="X154" s="343" t="n"/>
      <c r="Y154" s="390">
        <f>IF(OR($B154="",$G154=""),"",HYPERLINK("https://calendar.google.com/calendar/render?action=TEMPLATE&amp;text="&amp;ENCODEURL($G154)&amp;"&amp;dates="&amp;TEXT($B154,"YYYYMMDD")&amp;"T"&amp;TEXT($D154,"HHMMSS")&amp;"/"&amp;TEXT($B154+($D154+N($F154)/1440),"YYYYMMDD")&amp;"T"&amp;TEXT(MOD($D154+N($F154)/1440,1),"HHMMSS")&amp;"&amp;ctz=Europe/Madrid&amp;location="&amp;ENCODEURL($P154)&amp;"&amp;details="&amp;ENCODEURL("Cita de "&amp;$M154),"➕ Añadir"))</f>
        <v/>
      </c>
      <c r="Z154" s="391">
        <f>IF(OR($B154="",$V154="4 · Cancelada",$V154="3 · Hecha",N($B154)&lt;TODAY()),"",$B154)</f>
        <v/>
      </c>
    </row>
    <row r="155" ht="15" customHeight="1" s="311">
      <c r="B155" s="385" t="n"/>
      <c r="C155" s="343" t="n"/>
      <c r="D155" s="386" t="n"/>
      <c r="E155" s="343" t="n"/>
      <c r="F155" s="387" t="n"/>
      <c r="G155" s="388" t="n"/>
      <c r="H155" s="343" t="n"/>
      <c r="I155" s="343" t="n"/>
      <c r="J155" s="343" t="n"/>
      <c r="K155" s="343" t="n"/>
      <c r="L155" s="343" t="n"/>
      <c r="M155" s="388" t="n"/>
      <c r="N155" s="343" t="n"/>
      <c r="O155" s="343" t="n"/>
      <c r="P155" s="388" t="n"/>
      <c r="Q155" s="343" t="n"/>
      <c r="R155" s="343" t="n"/>
      <c r="S155" s="389" t="n"/>
      <c r="T155" s="343" t="n"/>
      <c r="U155" s="343" t="n"/>
      <c r="V155" s="389" t="n"/>
      <c r="W155" s="343" t="n"/>
      <c r="X155" s="343" t="n"/>
      <c r="Y155" s="390">
        <f>IF(OR($B155="",$G155=""),"",HYPERLINK("https://calendar.google.com/calendar/render?action=TEMPLATE&amp;text="&amp;ENCODEURL($G155)&amp;"&amp;dates="&amp;TEXT($B155,"YYYYMMDD")&amp;"T"&amp;TEXT($D155,"HHMMSS")&amp;"/"&amp;TEXT($B155+($D155+N($F155)/1440),"YYYYMMDD")&amp;"T"&amp;TEXT(MOD($D155+N($F155)/1440,1),"HHMMSS")&amp;"&amp;ctz=Europe/Madrid&amp;location="&amp;ENCODEURL($P155)&amp;"&amp;details="&amp;ENCODEURL("Cita de "&amp;$M155),"➕ Añadir"))</f>
        <v/>
      </c>
      <c r="Z155" s="391">
        <f>IF(OR($B155="",$V155="4 · Cancelada",$V155="3 · Hecha",N($B155)&lt;TODAY()),"",$B155)</f>
        <v/>
      </c>
    </row>
    <row r="156" ht="15" customHeight="1" s="311">
      <c r="B156" s="385" t="n"/>
      <c r="C156" s="343" t="n"/>
      <c r="D156" s="386" t="n"/>
      <c r="E156" s="343" t="n"/>
      <c r="F156" s="387" t="n"/>
      <c r="G156" s="388" t="n"/>
      <c r="H156" s="343" t="n"/>
      <c r="I156" s="343" t="n"/>
      <c r="J156" s="343" t="n"/>
      <c r="K156" s="343" t="n"/>
      <c r="L156" s="343" t="n"/>
      <c r="M156" s="388" t="n"/>
      <c r="N156" s="343" t="n"/>
      <c r="O156" s="343" t="n"/>
      <c r="P156" s="388" t="n"/>
      <c r="Q156" s="343" t="n"/>
      <c r="R156" s="343" t="n"/>
      <c r="S156" s="389" t="n"/>
      <c r="T156" s="343" t="n"/>
      <c r="U156" s="343" t="n"/>
      <c r="V156" s="389" t="n"/>
      <c r="W156" s="343" t="n"/>
      <c r="X156" s="343" t="n"/>
      <c r="Y156" s="390">
        <f>IF(OR($B156="",$G156=""),"",HYPERLINK("https://calendar.google.com/calendar/render?action=TEMPLATE&amp;text="&amp;ENCODEURL($G156)&amp;"&amp;dates="&amp;TEXT($B156,"YYYYMMDD")&amp;"T"&amp;TEXT($D156,"HHMMSS")&amp;"/"&amp;TEXT($B156+($D156+N($F156)/1440),"YYYYMMDD")&amp;"T"&amp;TEXT(MOD($D156+N($F156)/1440,1),"HHMMSS")&amp;"&amp;ctz=Europe/Madrid&amp;location="&amp;ENCODEURL($P156)&amp;"&amp;details="&amp;ENCODEURL("Cita de "&amp;$M156),"➕ Añadir"))</f>
        <v/>
      </c>
      <c r="Z156" s="391">
        <f>IF(OR($B156="",$V156="4 · Cancelada",$V156="3 · Hecha",N($B156)&lt;TODAY()),"",$B156)</f>
        <v/>
      </c>
    </row>
    <row r="157" ht="15" customHeight="1" s="311">
      <c r="B157" s="385" t="n"/>
      <c r="C157" s="343" t="n"/>
      <c r="D157" s="386" t="n"/>
      <c r="E157" s="343" t="n"/>
      <c r="F157" s="387" t="n"/>
      <c r="G157" s="388" t="n"/>
      <c r="H157" s="343" t="n"/>
      <c r="I157" s="343" t="n"/>
      <c r="J157" s="343" t="n"/>
      <c r="K157" s="343" t="n"/>
      <c r="L157" s="343" t="n"/>
      <c r="M157" s="388" t="n"/>
      <c r="N157" s="343" t="n"/>
      <c r="O157" s="343" t="n"/>
      <c r="P157" s="388" t="n"/>
      <c r="Q157" s="343" t="n"/>
      <c r="R157" s="343" t="n"/>
      <c r="S157" s="389" t="n"/>
      <c r="T157" s="343" t="n"/>
      <c r="U157" s="343" t="n"/>
      <c r="V157" s="389" t="n"/>
      <c r="W157" s="343" t="n"/>
      <c r="X157" s="343" t="n"/>
      <c r="Y157" s="390">
        <f>IF(OR($B157="",$G157=""),"",HYPERLINK("https://calendar.google.com/calendar/render?action=TEMPLATE&amp;text="&amp;ENCODEURL($G157)&amp;"&amp;dates="&amp;TEXT($B157,"YYYYMMDD")&amp;"T"&amp;TEXT($D157,"HHMMSS")&amp;"/"&amp;TEXT($B157+($D157+N($F157)/1440),"YYYYMMDD")&amp;"T"&amp;TEXT(MOD($D157+N($F157)/1440,1),"HHMMSS")&amp;"&amp;ctz=Europe/Madrid&amp;location="&amp;ENCODEURL($P157)&amp;"&amp;details="&amp;ENCODEURL("Cita de "&amp;$M157),"➕ Añadir"))</f>
        <v/>
      </c>
      <c r="Z157" s="391">
        <f>IF(OR($B157="",$V157="4 · Cancelada",$V157="3 · Hecha",N($B157)&lt;TODAY()),"",$B157)</f>
        <v/>
      </c>
    </row>
    <row r="158" ht="15" customHeight="1" s="311">
      <c r="B158" s="385" t="n"/>
      <c r="C158" s="343" t="n"/>
      <c r="D158" s="386" t="n"/>
      <c r="E158" s="343" t="n"/>
      <c r="F158" s="387" t="n"/>
      <c r="G158" s="388" t="n"/>
      <c r="H158" s="343" t="n"/>
      <c r="I158" s="343" t="n"/>
      <c r="J158" s="343" t="n"/>
      <c r="K158" s="343" t="n"/>
      <c r="L158" s="343" t="n"/>
      <c r="M158" s="388" t="n"/>
      <c r="N158" s="343" t="n"/>
      <c r="O158" s="343" t="n"/>
      <c r="P158" s="388" t="n"/>
      <c r="Q158" s="343" t="n"/>
      <c r="R158" s="343" t="n"/>
      <c r="S158" s="389" t="n"/>
      <c r="T158" s="343" t="n"/>
      <c r="U158" s="343" t="n"/>
      <c r="V158" s="389" t="n"/>
      <c r="W158" s="343" t="n"/>
      <c r="X158" s="343" t="n"/>
      <c r="Y158" s="390">
        <f>IF(OR($B158="",$G158=""),"",HYPERLINK("https://calendar.google.com/calendar/render?action=TEMPLATE&amp;text="&amp;ENCODEURL($G158)&amp;"&amp;dates="&amp;TEXT($B158,"YYYYMMDD")&amp;"T"&amp;TEXT($D158,"HHMMSS")&amp;"/"&amp;TEXT($B158+($D158+N($F158)/1440),"YYYYMMDD")&amp;"T"&amp;TEXT(MOD($D158+N($F158)/1440,1),"HHMMSS")&amp;"&amp;ctz=Europe/Madrid&amp;location="&amp;ENCODEURL($P158)&amp;"&amp;details="&amp;ENCODEURL("Cita de "&amp;$M158),"➕ Añadir"))</f>
        <v/>
      </c>
      <c r="Z158" s="391">
        <f>IF(OR($B158="",$V158="4 · Cancelada",$V158="3 · Hecha",N($B158)&lt;TODAY()),"",$B158)</f>
        <v/>
      </c>
    </row>
    <row r="159" ht="15" customHeight="1" s="311">
      <c r="B159" s="385" t="n"/>
      <c r="C159" s="343" t="n"/>
      <c r="D159" s="386" t="n"/>
      <c r="E159" s="343" t="n"/>
      <c r="F159" s="387" t="n"/>
      <c r="G159" s="388" t="n"/>
      <c r="H159" s="343" t="n"/>
      <c r="I159" s="343" t="n"/>
      <c r="J159" s="343" t="n"/>
      <c r="K159" s="343" t="n"/>
      <c r="L159" s="343" t="n"/>
      <c r="M159" s="388" t="n"/>
      <c r="N159" s="343" t="n"/>
      <c r="O159" s="343" t="n"/>
      <c r="P159" s="388" t="n"/>
      <c r="Q159" s="343" t="n"/>
      <c r="R159" s="343" t="n"/>
      <c r="S159" s="389" t="n"/>
      <c r="T159" s="343" t="n"/>
      <c r="U159" s="343" t="n"/>
      <c r="V159" s="389" t="n"/>
      <c r="W159" s="343" t="n"/>
      <c r="X159" s="343" t="n"/>
      <c r="Y159" s="390">
        <f>IF(OR($B159="",$G159=""),"",HYPERLINK("https://calendar.google.com/calendar/render?action=TEMPLATE&amp;text="&amp;ENCODEURL($G159)&amp;"&amp;dates="&amp;TEXT($B159,"YYYYMMDD")&amp;"T"&amp;TEXT($D159,"HHMMSS")&amp;"/"&amp;TEXT($B159+($D159+N($F159)/1440),"YYYYMMDD")&amp;"T"&amp;TEXT(MOD($D159+N($F159)/1440,1),"HHMMSS")&amp;"&amp;ctz=Europe/Madrid&amp;location="&amp;ENCODEURL($P159)&amp;"&amp;details="&amp;ENCODEURL("Cita de "&amp;$M159),"➕ Añadir"))</f>
        <v/>
      </c>
      <c r="Z159" s="391">
        <f>IF(OR($B159="",$V159="4 · Cancelada",$V159="3 · Hecha",N($B159)&lt;TODAY()),"",$B159)</f>
        <v/>
      </c>
    </row>
    <row r="160" ht="15" customHeight="1" s="311">
      <c r="B160" s="385" t="n"/>
      <c r="C160" s="343" t="n"/>
      <c r="D160" s="386" t="n"/>
      <c r="E160" s="343" t="n"/>
      <c r="F160" s="387" t="n"/>
      <c r="G160" s="388" t="n"/>
      <c r="H160" s="343" t="n"/>
      <c r="I160" s="343" t="n"/>
      <c r="J160" s="343" t="n"/>
      <c r="K160" s="343" t="n"/>
      <c r="L160" s="343" t="n"/>
      <c r="M160" s="388" t="n"/>
      <c r="N160" s="343" t="n"/>
      <c r="O160" s="343" t="n"/>
      <c r="P160" s="388" t="n"/>
      <c r="Q160" s="343" t="n"/>
      <c r="R160" s="343" t="n"/>
      <c r="S160" s="389" t="n"/>
      <c r="T160" s="343" t="n"/>
      <c r="U160" s="343" t="n"/>
      <c r="V160" s="389" t="n"/>
      <c r="W160" s="343" t="n"/>
      <c r="X160" s="343" t="n"/>
      <c r="Y160" s="390">
        <f>IF(OR($B160="",$G160=""),"",HYPERLINK("https://calendar.google.com/calendar/render?action=TEMPLATE&amp;text="&amp;ENCODEURL($G160)&amp;"&amp;dates="&amp;TEXT($B160,"YYYYMMDD")&amp;"T"&amp;TEXT($D160,"HHMMSS")&amp;"/"&amp;TEXT($B160+($D160+N($F160)/1440),"YYYYMMDD")&amp;"T"&amp;TEXT(MOD($D160+N($F160)/1440,1),"HHMMSS")&amp;"&amp;ctz=Europe/Madrid&amp;location="&amp;ENCODEURL($P160)&amp;"&amp;details="&amp;ENCODEURL("Cita de "&amp;$M160),"➕ Añadir"))</f>
        <v/>
      </c>
      <c r="Z160" s="391">
        <f>IF(OR($B160="",$V160="4 · Cancelada",$V160="3 · Hecha",N($B160)&lt;TODAY()),"",$B160)</f>
        <v/>
      </c>
    </row>
    <row r="161" ht="15" customHeight="1" s="311">
      <c r="B161" s="385" t="n"/>
      <c r="C161" s="343" t="n"/>
      <c r="D161" s="386" t="n"/>
      <c r="E161" s="343" t="n"/>
      <c r="F161" s="387" t="n"/>
      <c r="G161" s="388" t="n"/>
      <c r="H161" s="343" t="n"/>
      <c r="I161" s="343" t="n"/>
      <c r="J161" s="343" t="n"/>
      <c r="K161" s="343" t="n"/>
      <c r="L161" s="343" t="n"/>
      <c r="M161" s="388" t="n"/>
      <c r="N161" s="343" t="n"/>
      <c r="O161" s="343" t="n"/>
      <c r="P161" s="388" t="n"/>
      <c r="Q161" s="343" t="n"/>
      <c r="R161" s="343" t="n"/>
      <c r="S161" s="389" t="n"/>
      <c r="T161" s="343" t="n"/>
      <c r="U161" s="343" t="n"/>
      <c r="V161" s="389" t="n"/>
      <c r="W161" s="343" t="n"/>
      <c r="X161" s="343" t="n"/>
      <c r="Y161" s="390">
        <f>IF(OR($B161="",$G161=""),"",HYPERLINK("https://calendar.google.com/calendar/render?action=TEMPLATE&amp;text="&amp;ENCODEURL($G161)&amp;"&amp;dates="&amp;TEXT($B161,"YYYYMMDD")&amp;"T"&amp;TEXT($D161,"HHMMSS")&amp;"/"&amp;TEXT($B161+($D161+N($F161)/1440),"YYYYMMDD")&amp;"T"&amp;TEXT(MOD($D161+N($F161)/1440,1),"HHMMSS")&amp;"&amp;ctz=Europe/Madrid&amp;location="&amp;ENCODEURL($P161)&amp;"&amp;details="&amp;ENCODEURL("Cita de "&amp;$M161),"➕ Añadir"))</f>
        <v/>
      </c>
      <c r="Z161" s="391">
        <f>IF(OR($B161="",$V161="4 · Cancelada",$V161="3 · Hecha",N($B161)&lt;TODAY()),"",$B161)</f>
        <v/>
      </c>
    </row>
    <row r="162" ht="15" customHeight="1" s="311">
      <c r="B162" s="385" t="n"/>
      <c r="C162" s="343" t="n"/>
      <c r="D162" s="386" t="n"/>
      <c r="E162" s="343" t="n"/>
      <c r="F162" s="387" t="n"/>
      <c r="G162" s="388" t="n"/>
      <c r="H162" s="343" t="n"/>
      <c r="I162" s="343" t="n"/>
      <c r="J162" s="343" t="n"/>
      <c r="K162" s="343" t="n"/>
      <c r="L162" s="343" t="n"/>
      <c r="M162" s="388" t="n"/>
      <c r="N162" s="343" t="n"/>
      <c r="O162" s="343" t="n"/>
      <c r="P162" s="388" t="n"/>
      <c r="Q162" s="343" t="n"/>
      <c r="R162" s="343" t="n"/>
      <c r="S162" s="389" t="n"/>
      <c r="T162" s="343" t="n"/>
      <c r="U162" s="343" t="n"/>
      <c r="V162" s="389" t="n"/>
      <c r="W162" s="343" t="n"/>
      <c r="X162" s="343" t="n"/>
      <c r="Y162" s="390">
        <f>IF(OR($B162="",$G162=""),"",HYPERLINK("https://calendar.google.com/calendar/render?action=TEMPLATE&amp;text="&amp;ENCODEURL($G162)&amp;"&amp;dates="&amp;TEXT($B162,"YYYYMMDD")&amp;"T"&amp;TEXT($D162,"HHMMSS")&amp;"/"&amp;TEXT($B162+($D162+N($F162)/1440),"YYYYMMDD")&amp;"T"&amp;TEXT(MOD($D162+N($F162)/1440,1),"HHMMSS")&amp;"&amp;ctz=Europe/Madrid&amp;location="&amp;ENCODEURL($P162)&amp;"&amp;details="&amp;ENCODEURL("Cita de "&amp;$M162),"➕ Añadir"))</f>
        <v/>
      </c>
      <c r="Z162" s="391">
        <f>IF(OR($B162="",$V162="4 · Cancelada",$V162="3 · Hecha",N($B162)&lt;TODAY()),"",$B162)</f>
        <v/>
      </c>
    </row>
    <row r="163" ht="15" customHeight="1" s="311">
      <c r="B163" s="385" t="n"/>
      <c r="C163" s="343" t="n"/>
      <c r="D163" s="386" t="n"/>
      <c r="E163" s="343" t="n"/>
      <c r="F163" s="387" t="n"/>
      <c r="G163" s="388" t="n"/>
      <c r="H163" s="343" t="n"/>
      <c r="I163" s="343" t="n"/>
      <c r="J163" s="343" t="n"/>
      <c r="K163" s="343" t="n"/>
      <c r="L163" s="343" t="n"/>
      <c r="M163" s="388" t="n"/>
      <c r="N163" s="343" t="n"/>
      <c r="O163" s="343" t="n"/>
      <c r="P163" s="388" t="n"/>
      <c r="Q163" s="343" t="n"/>
      <c r="R163" s="343" t="n"/>
      <c r="S163" s="389" t="n"/>
      <c r="T163" s="343" t="n"/>
      <c r="U163" s="343" t="n"/>
      <c r="V163" s="389" t="n"/>
      <c r="W163" s="343" t="n"/>
      <c r="X163" s="343" t="n"/>
      <c r="Y163" s="390">
        <f>IF(OR($B163="",$G163=""),"",HYPERLINK("https://calendar.google.com/calendar/render?action=TEMPLATE&amp;text="&amp;ENCODEURL($G163)&amp;"&amp;dates="&amp;TEXT($B163,"YYYYMMDD")&amp;"T"&amp;TEXT($D163,"HHMMSS")&amp;"/"&amp;TEXT($B163+($D163+N($F163)/1440),"YYYYMMDD")&amp;"T"&amp;TEXT(MOD($D163+N($F163)/1440,1),"HHMMSS")&amp;"&amp;ctz=Europe/Madrid&amp;location="&amp;ENCODEURL($P163)&amp;"&amp;details="&amp;ENCODEURL("Cita de "&amp;$M163),"➕ Añadir"))</f>
        <v/>
      </c>
      <c r="Z163" s="391">
        <f>IF(OR($B163="",$V163="4 · Cancelada",$V163="3 · Hecha",N($B163)&lt;TODAY()),"",$B163)</f>
        <v/>
      </c>
    </row>
    <row r="164" ht="15" customHeight="1" s="311">
      <c r="B164" s="385" t="n"/>
      <c r="C164" s="343" t="n"/>
      <c r="D164" s="386" t="n"/>
      <c r="E164" s="343" t="n"/>
      <c r="F164" s="387" t="n"/>
      <c r="G164" s="388" t="n"/>
      <c r="H164" s="343" t="n"/>
      <c r="I164" s="343" t="n"/>
      <c r="J164" s="343" t="n"/>
      <c r="K164" s="343" t="n"/>
      <c r="L164" s="343" t="n"/>
      <c r="M164" s="388" t="n"/>
      <c r="N164" s="343" t="n"/>
      <c r="O164" s="343" t="n"/>
      <c r="P164" s="388" t="n"/>
      <c r="Q164" s="343" t="n"/>
      <c r="R164" s="343" t="n"/>
      <c r="S164" s="389" t="n"/>
      <c r="T164" s="343" t="n"/>
      <c r="U164" s="343" t="n"/>
      <c r="V164" s="389" t="n"/>
      <c r="W164" s="343" t="n"/>
      <c r="X164" s="343" t="n"/>
      <c r="Y164" s="390">
        <f>IF(OR($B164="",$G164=""),"",HYPERLINK("https://calendar.google.com/calendar/render?action=TEMPLATE&amp;text="&amp;ENCODEURL($G164)&amp;"&amp;dates="&amp;TEXT($B164,"YYYYMMDD")&amp;"T"&amp;TEXT($D164,"HHMMSS")&amp;"/"&amp;TEXT($B164+($D164+N($F164)/1440),"YYYYMMDD")&amp;"T"&amp;TEXT(MOD($D164+N($F164)/1440,1),"HHMMSS")&amp;"&amp;ctz=Europe/Madrid&amp;location="&amp;ENCODEURL($P164)&amp;"&amp;details="&amp;ENCODEURL("Cita de "&amp;$M164),"➕ Añadir"))</f>
        <v/>
      </c>
      <c r="Z164" s="391">
        <f>IF(OR($B164="",$V164="4 · Cancelada",$V164="3 · Hecha",N($B164)&lt;TODAY()),"",$B164)</f>
        <v/>
      </c>
    </row>
    <row r="165" ht="15" customHeight="1" s="311">
      <c r="B165" s="385" t="n"/>
      <c r="C165" s="343" t="n"/>
      <c r="D165" s="386" t="n"/>
      <c r="E165" s="343" t="n"/>
      <c r="F165" s="387" t="n"/>
      <c r="G165" s="388" t="n"/>
      <c r="H165" s="343" t="n"/>
      <c r="I165" s="343" t="n"/>
      <c r="J165" s="343" t="n"/>
      <c r="K165" s="343" t="n"/>
      <c r="L165" s="343" t="n"/>
      <c r="M165" s="388" t="n"/>
      <c r="N165" s="343" t="n"/>
      <c r="O165" s="343" t="n"/>
      <c r="P165" s="388" t="n"/>
      <c r="Q165" s="343" t="n"/>
      <c r="R165" s="343" t="n"/>
      <c r="S165" s="389" t="n"/>
      <c r="T165" s="343" t="n"/>
      <c r="U165" s="343" t="n"/>
      <c r="V165" s="389" t="n"/>
      <c r="W165" s="343" t="n"/>
      <c r="X165" s="343" t="n"/>
      <c r="Y165" s="390">
        <f>IF(OR($B165="",$G165=""),"",HYPERLINK("https://calendar.google.com/calendar/render?action=TEMPLATE&amp;text="&amp;ENCODEURL($G165)&amp;"&amp;dates="&amp;TEXT($B165,"YYYYMMDD")&amp;"T"&amp;TEXT($D165,"HHMMSS")&amp;"/"&amp;TEXT($B165+($D165+N($F165)/1440),"YYYYMMDD")&amp;"T"&amp;TEXT(MOD($D165+N($F165)/1440,1),"HHMMSS")&amp;"&amp;ctz=Europe/Madrid&amp;location="&amp;ENCODEURL($P165)&amp;"&amp;details="&amp;ENCODEURL("Cita de "&amp;$M165),"➕ Añadir"))</f>
        <v/>
      </c>
      <c r="Z165" s="391">
        <f>IF(OR($B165="",$V165="4 · Cancelada",$V165="3 · Hecha",N($B165)&lt;TODAY()),"",$B165)</f>
        <v/>
      </c>
    </row>
    <row r="166" ht="15" customHeight="1" s="311">
      <c r="B166" s="385" t="n"/>
      <c r="C166" s="343" t="n"/>
      <c r="D166" s="386" t="n"/>
      <c r="E166" s="343" t="n"/>
      <c r="F166" s="387" t="n"/>
      <c r="G166" s="388" t="n"/>
      <c r="H166" s="343" t="n"/>
      <c r="I166" s="343" t="n"/>
      <c r="J166" s="343" t="n"/>
      <c r="K166" s="343" t="n"/>
      <c r="L166" s="343" t="n"/>
      <c r="M166" s="388" t="n"/>
      <c r="N166" s="343" t="n"/>
      <c r="O166" s="343" t="n"/>
      <c r="P166" s="388" t="n"/>
      <c r="Q166" s="343" t="n"/>
      <c r="R166" s="343" t="n"/>
      <c r="S166" s="389" t="n"/>
      <c r="T166" s="343" t="n"/>
      <c r="U166" s="343" t="n"/>
      <c r="V166" s="389" t="n"/>
      <c r="W166" s="343" t="n"/>
      <c r="X166" s="343" t="n"/>
      <c r="Y166" s="390">
        <f>IF(OR($B166="",$G166=""),"",HYPERLINK("https://calendar.google.com/calendar/render?action=TEMPLATE&amp;text="&amp;ENCODEURL($G166)&amp;"&amp;dates="&amp;TEXT($B166,"YYYYMMDD")&amp;"T"&amp;TEXT($D166,"HHMMSS")&amp;"/"&amp;TEXT($B166+($D166+N($F166)/1440),"YYYYMMDD")&amp;"T"&amp;TEXT(MOD($D166+N($F166)/1440,1),"HHMMSS")&amp;"&amp;ctz=Europe/Madrid&amp;location="&amp;ENCODEURL($P166)&amp;"&amp;details="&amp;ENCODEURL("Cita de "&amp;$M166),"➕ Añadir"))</f>
        <v/>
      </c>
      <c r="Z166" s="391">
        <f>IF(OR($B166="",$V166="4 · Cancelada",$V166="3 · Hecha",N($B166)&lt;TODAY()),"",$B166)</f>
        <v/>
      </c>
    </row>
    <row r="167" ht="15" customHeight="1" s="311">
      <c r="B167" s="385" t="n"/>
      <c r="C167" s="343" t="n"/>
      <c r="D167" s="386" t="n"/>
      <c r="E167" s="343" t="n"/>
      <c r="F167" s="387" t="n"/>
      <c r="G167" s="388" t="n"/>
      <c r="H167" s="343" t="n"/>
      <c r="I167" s="343" t="n"/>
      <c r="J167" s="343" t="n"/>
      <c r="K167" s="343" t="n"/>
      <c r="L167" s="343" t="n"/>
      <c r="M167" s="388" t="n"/>
      <c r="N167" s="343" t="n"/>
      <c r="O167" s="343" t="n"/>
      <c r="P167" s="388" t="n"/>
      <c r="Q167" s="343" t="n"/>
      <c r="R167" s="343" t="n"/>
      <c r="S167" s="389" t="n"/>
      <c r="T167" s="343" t="n"/>
      <c r="U167" s="343" t="n"/>
      <c r="V167" s="389" t="n"/>
      <c r="W167" s="343" t="n"/>
      <c r="X167" s="343" t="n"/>
      <c r="Y167" s="390">
        <f>IF(OR($B167="",$G167=""),"",HYPERLINK("https://calendar.google.com/calendar/render?action=TEMPLATE&amp;text="&amp;ENCODEURL($G167)&amp;"&amp;dates="&amp;TEXT($B167,"YYYYMMDD")&amp;"T"&amp;TEXT($D167,"HHMMSS")&amp;"/"&amp;TEXT($B167+($D167+N($F167)/1440),"YYYYMMDD")&amp;"T"&amp;TEXT(MOD($D167+N($F167)/1440,1),"HHMMSS")&amp;"&amp;ctz=Europe/Madrid&amp;location="&amp;ENCODEURL($P167)&amp;"&amp;details="&amp;ENCODEURL("Cita de "&amp;$M167),"➕ Añadir"))</f>
        <v/>
      </c>
      <c r="Z167" s="391">
        <f>IF(OR($B167="",$V167="4 · Cancelada",$V167="3 · Hecha",N($B167)&lt;TODAY()),"",$B167)</f>
        <v/>
      </c>
    </row>
    <row r="168" ht="15" customHeight="1" s="311">
      <c r="B168" s="385" t="n"/>
      <c r="C168" s="343" t="n"/>
      <c r="D168" s="386" t="n"/>
      <c r="E168" s="343" t="n"/>
      <c r="F168" s="387" t="n"/>
      <c r="G168" s="388" t="n"/>
      <c r="H168" s="343" t="n"/>
      <c r="I168" s="343" t="n"/>
      <c r="J168" s="343" t="n"/>
      <c r="K168" s="343" t="n"/>
      <c r="L168" s="343" t="n"/>
      <c r="M168" s="388" t="n"/>
      <c r="N168" s="343" t="n"/>
      <c r="O168" s="343" t="n"/>
      <c r="P168" s="388" t="n"/>
      <c r="Q168" s="343" t="n"/>
      <c r="R168" s="343" t="n"/>
      <c r="S168" s="389" t="n"/>
      <c r="T168" s="343" t="n"/>
      <c r="U168" s="343" t="n"/>
      <c r="V168" s="389" t="n"/>
      <c r="W168" s="343" t="n"/>
      <c r="X168" s="343" t="n"/>
      <c r="Y168" s="390">
        <f>IF(OR($B168="",$G168=""),"",HYPERLINK("https://calendar.google.com/calendar/render?action=TEMPLATE&amp;text="&amp;ENCODEURL($G168)&amp;"&amp;dates="&amp;TEXT($B168,"YYYYMMDD")&amp;"T"&amp;TEXT($D168,"HHMMSS")&amp;"/"&amp;TEXT($B168+($D168+N($F168)/1440),"YYYYMMDD")&amp;"T"&amp;TEXT(MOD($D168+N($F168)/1440,1),"HHMMSS")&amp;"&amp;ctz=Europe/Madrid&amp;location="&amp;ENCODEURL($P168)&amp;"&amp;details="&amp;ENCODEURL("Cita de "&amp;$M168),"➕ Añadir"))</f>
        <v/>
      </c>
      <c r="Z168" s="391">
        <f>IF(OR($B168="",$V168="4 · Cancelada",$V168="3 · Hecha",N($B168)&lt;TODAY()),"",$B168)</f>
        <v/>
      </c>
    </row>
    <row r="169" ht="15" customHeight="1" s="311">
      <c r="B169" s="385" t="n"/>
      <c r="C169" s="343" t="n"/>
      <c r="D169" s="386" t="n"/>
      <c r="E169" s="343" t="n"/>
      <c r="F169" s="387" t="n"/>
      <c r="G169" s="388" t="n"/>
      <c r="H169" s="343" t="n"/>
      <c r="I169" s="343" t="n"/>
      <c r="J169" s="343" t="n"/>
      <c r="K169" s="343" t="n"/>
      <c r="L169" s="343" t="n"/>
      <c r="M169" s="388" t="n"/>
      <c r="N169" s="343" t="n"/>
      <c r="O169" s="343" t="n"/>
      <c r="P169" s="388" t="n"/>
      <c r="Q169" s="343" t="n"/>
      <c r="R169" s="343" t="n"/>
      <c r="S169" s="389" t="n"/>
      <c r="T169" s="343" t="n"/>
      <c r="U169" s="343" t="n"/>
      <c r="V169" s="389" t="n"/>
      <c r="W169" s="343" t="n"/>
      <c r="X169" s="343" t="n"/>
      <c r="Y169" s="390">
        <f>IF(OR($B169="",$G169=""),"",HYPERLINK("https://calendar.google.com/calendar/render?action=TEMPLATE&amp;text="&amp;ENCODEURL($G169)&amp;"&amp;dates="&amp;TEXT($B169,"YYYYMMDD")&amp;"T"&amp;TEXT($D169,"HHMMSS")&amp;"/"&amp;TEXT($B169+($D169+N($F169)/1440),"YYYYMMDD")&amp;"T"&amp;TEXT(MOD($D169+N($F169)/1440,1),"HHMMSS")&amp;"&amp;ctz=Europe/Madrid&amp;location="&amp;ENCODEURL($P169)&amp;"&amp;details="&amp;ENCODEURL("Cita de "&amp;$M169),"➕ Añadir"))</f>
        <v/>
      </c>
      <c r="Z169" s="391">
        <f>IF(OR($B169="",$V169="4 · Cancelada",$V169="3 · Hecha",N($B169)&lt;TODAY()),"",$B169)</f>
        <v/>
      </c>
    </row>
    <row r="170" ht="15" customHeight="1" s="311">
      <c r="B170" s="385" t="n"/>
      <c r="C170" s="343" t="n"/>
      <c r="D170" s="386" t="n"/>
      <c r="E170" s="343" t="n"/>
      <c r="F170" s="387" t="n"/>
      <c r="G170" s="388" t="n"/>
      <c r="H170" s="343" t="n"/>
      <c r="I170" s="343" t="n"/>
      <c r="J170" s="343" t="n"/>
      <c r="K170" s="343" t="n"/>
      <c r="L170" s="343" t="n"/>
      <c r="M170" s="388" t="n"/>
      <c r="N170" s="343" t="n"/>
      <c r="O170" s="343" t="n"/>
      <c r="P170" s="388" t="n"/>
      <c r="Q170" s="343" t="n"/>
      <c r="R170" s="343" t="n"/>
      <c r="S170" s="389" t="n"/>
      <c r="T170" s="343" t="n"/>
      <c r="U170" s="343" t="n"/>
      <c r="V170" s="389" t="n"/>
      <c r="W170" s="343" t="n"/>
      <c r="X170" s="343" t="n"/>
      <c r="Y170" s="390">
        <f>IF(OR($B170="",$G170=""),"",HYPERLINK("https://calendar.google.com/calendar/render?action=TEMPLATE&amp;text="&amp;ENCODEURL($G170)&amp;"&amp;dates="&amp;TEXT($B170,"YYYYMMDD")&amp;"T"&amp;TEXT($D170,"HHMMSS")&amp;"/"&amp;TEXT($B170+($D170+N($F170)/1440),"YYYYMMDD")&amp;"T"&amp;TEXT(MOD($D170+N($F170)/1440,1),"HHMMSS")&amp;"&amp;ctz=Europe/Madrid&amp;location="&amp;ENCODEURL($P170)&amp;"&amp;details="&amp;ENCODEURL("Cita de "&amp;$M170),"➕ Añadir"))</f>
        <v/>
      </c>
      <c r="Z170" s="391">
        <f>IF(OR($B170="",$V170="4 · Cancelada",$V170="3 · Hecha",N($B170)&lt;TODAY()),"",$B170)</f>
        <v/>
      </c>
    </row>
    <row r="171" ht="15" customHeight="1" s="311">
      <c r="B171" s="385" t="n"/>
      <c r="C171" s="343" t="n"/>
      <c r="D171" s="386" t="n"/>
      <c r="E171" s="343" t="n"/>
      <c r="F171" s="387" t="n"/>
      <c r="G171" s="388" t="n"/>
      <c r="H171" s="343" t="n"/>
      <c r="I171" s="343" t="n"/>
      <c r="J171" s="343" t="n"/>
      <c r="K171" s="343" t="n"/>
      <c r="L171" s="343" t="n"/>
      <c r="M171" s="388" t="n"/>
      <c r="N171" s="343" t="n"/>
      <c r="O171" s="343" t="n"/>
      <c r="P171" s="388" t="n"/>
      <c r="Q171" s="343" t="n"/>
      <c r="R171" s="343" t="n"/>
      <c r="S171" s="389" t="n"/>
      <c r="T171" s="343" t="n"/>
      <c r="U171" s="343" t="n"/>
      <c r="V171" s="389" t="n"/>
      <c r="W171" s="343" t="n"/>
      <c r="X171" s="343" t="n"/>
      <c r="Y171" s="390">
        <f>IF(OR($B171="",$G171=""),"",HYPERLINK("https://calendar.google.com/calendar/render?action=TEMPLATE&amp;text="&amp;ENCODEURL($G171)&amp;"&amp;dates="&amp;TEXT($B171,"YYYYMMDD")&amp;"T"&amp;TEXT($D171,"HHMMSS")&amp;"/"&amp;TEXT($B171+($D171+N($F171)/1440),"YYYYMMDD")&amp;"T"&amp;TEXT(MOD($D171+N($F171)/1440,1),"HHMMSS")&amp;"&amp;ctz=Europe/Madrid&amp;location="&amp;ENCODEURL($P171)&amp;"&amp;details="&amp;ENCODEURL("Cita de "&amp;$M171),"➕ Añadir"))</f>
        <v/>
      </c>
      <c r="Z171" s="391">
        <f>IF(OR($B171="",$V171="4 · Cancelada",$V171="3 · Hecha",N($B171)&lt;TODAY()),"",$B171)</f>
        <v/>
      </c>
    </row>
    <row r="172" ht="15" customHeight="1" s="311">
      <c r="B172" s="385" t="n"/>
      <c r="C172" s="343" t="n"/>
      <c r="D172" s="386" t="n"/>
      <c r="E172" s="343" t="n"/>
      <c r="F172" s="387" t="n"/>
      <c r="G172" s="388" t="n"/>
      <c r="H172" s="343" t="n"/>
      <c r="I172" s="343" t="n"/>
      <c r="J172" s="343" t="n"/>
      <c r="K172" s="343" t="n"/>
      <c r="L172" s="343" t="n"/>
      <c r="M172" s="388" t="n"/>
      <c r="N172" s="343" t="n"/>
      <c r="O172" s="343" t="n"/>
      <c r="P172" s="388" t="n"/>
      <c r="Q172" s="343" t="n"/>
      <c r="R172" s="343" t="n"/>
      <c r="S172" s="389" t="n"/>
      <c r="T172" s="343" t="n"/>
      <c r="U172" s="343" t="n"/>
      <c r="V172" s="389" t="n"/>
      <c r="W172" s="343" t="n"/>
      <c r="X172" s="343" t="n"/>
      <c r="Y172" s="390">
        <f>IF(OR($B172="",$G172=""),"",HYPERLINK("https://calendar.google.com/calendar/render?action=TEMPLATE&amp;text="&amp;ENCODEURL($G172)&amp;"&amp;dates="&amp;TEXT($B172,"YYYYMMDD")&amp;"T"&amp;TEXT($D172,"HHMMSS")&amp;"/"&amp;TEXT($B172+($D172+N($F172)/1440),"YYYYMMDD")&amp;"T"&amp;TEXT(MOD($D172+N($F172)/1440,1),"HHMMSS")&amp;"&amp;ctz=Europe/Madrid&amp;location="&amp;ENCODEURL($P172)&amp;"&amp;details="&amp;ENCODEURL("Cita de "&amp;$M172),"➕ Añadir"))</f>
        <v/>
      </c>
      <c r="Z172" s="391">
        <f>IF(OR($B172="",$V172="4 · Cancelada",$V172="3 · Hecha",N($B172)&lt;TODAY()),"",$B172)</f>
        <v/>
      </c>
    </row>
    <row r="173" ht="15" customHeight="1" s="311">
      <c r="B173" s="385" t="n"/>
      <c r="C173" s="343" t="n"/>
      <c r="D173" s="386" t="n"/>
      <c r="E173" s="343" t="n"/>
      <c r="F173" s="387" t="n"/>
      <c r="G173" s="388" t="n"/>
      <c r="H173" s="343" t="n"/>
      <c r="I173" s="343" t="n"/>
      <c r="J173" s="343" t="n"/>
      <c r="K173" s="343" t="n"/>
      <c r="L173" s="343" t="n"/>
      <c r="M173" s="388" t="n"/>
      <c r="N173" s="343" t="n"/>
      <c r="O173" s="343" t="n"/>
      <c r="P173" s="388" t="n"/>
      <c r="Q173" s="343" t="n"/>
      <c r="R173" s="343" t="n"/>
      <c r="S173" s="389" t="n"/>
      <c r="T173" s="343" t="n"/>
      <c r="U173" s="343" t="n"/>
      <c r="V173" s="389" t="n"/>
      <c r="W173" s="343" t="n"/>
      <c r="X173" s="343" t="n"/>
      <c r="Y173" s="390">
        <f>IF(OR($B173="",$G173=""),"",HYPERLINK("https://calendar.google.com/calendar/render?action=TEMPLATE&amp;text="&amp;ENCODEURL($G173)&amp;"&amp;dates="&amp;TEXT($B173,"YYYYMMDD")&amp;"T"&amp;TEXT($D173,"HHMMSS")&amp;"/"&amp;TEXT($B173+($D173+N($F173)/1440),"YYYYMMDD")&amp;"T"&amp;TEXT(MOD($D173+N($F173)/1440,1),"HHMMSS")&amp;"&amp;ctz=Europe/Madrid&amp;location="&amp;ENCODEURL($P173)&amp;"&amp;details="&amp;ENCODEURL("Cita de "&amp;$M173),"➕ Añadir"))</f>
        <v/>
      </c>
      <c r="Z173" s="391">
        <f>IF(OR($B173="",$V173="4 · Cancelada",$V173="3 · Hecha",N($B173)&lt;TODAY()),"",$B173)</f>
        <v/>
      </c>
    </row>
    <row r="174" ht="15" customHeight="1" s="311">
      <c r="B174" s="385" t="n"/>
      <c r="C174" s="343" t="n"/>
      <c r="D174" s="386" t="n"/>
      <c r="E174" s="343" t="n"/>
      <c r="F174" s="387" t="n"/>
      <c r="G174" s="388" t="n"/>
      <c r="H174" s="343" t="n"/>
      <c r="I174" s="343" t="n"/>
      <c r="J174" s="343" t="n"/>
      <c r="K174" s="343" t="n"/>
      <c r="L174" s="343" t="n"/>
      <c r="M174" s="388" t="n"/>
      <c r="N174" s="343" t="n"/>
      <c r="O174" s="343" t="n"/>
      <c r="P174" s="388" t="n"/>
      <c r="Q174" s="343" t="n"/>
      <c r="R174" s="343" t="n"/>
      <c r="S174" s="389" t="n"/>
      <c r="T174" s="343" t="n"/>
      <c r="U174" s="343" t="n"/>
      <c r="V174" s="389" t="n"/>
      <c r="W174" s="343" t="n"/>
      <c r="X174" s="343" t="n"/>
      <c r="Y174" s="390">
        <f>IF(OR($B174="",$G174=""),"",HYPERLINK("https://calendar.google.com/calendar/render?action=TEMPLATE&amp;text="&amp;ENCODEURL($G174)&amp;"&amp;dates="&amp;TEXT($B174,"YYYYMMDD")&amp;"T"&amp;TEXT($D174,"HHMMSS")&amp;"/"&amp;TEXT($B174+($D174+N($F174)/1440),"YYYYMMDD")&amp;"T"&amp;TEXT(MOD($D174+N($F174)/1440,1),"HHMMSS")&amp;"&amp;ctz=Europe/Madrid&amp;location="&amp;ENCODEURL($P174)&amp;"&amp;details="&amp;ENCODEURL("Cita de "&amp;$M174),"➕ Añadir"))</f>
        <v/>
      </c>
      <c r="Z174" s="391">
        <f>IF(OR($B174="",$V174="4 · Cancelada",$V174="3 · Hecha",N($B174)&lt;TODAY()),"",$B174)</f>
        <v/>
      </c>
    </row>
    <row r="175" ht="15" customHeight="1" s="311">
      <c r="B175" s="385" t="n"/>
      <c r="C175" s="343" t="n"/>
      <c r="D175" s="386" t="n"/>
      <c r="E175" s="343" t="n"/>
      <c r="F175" s="387" t="n"/>
      <c r="G175" s="388" t="n"/>
      <c r="H175" s="343" t="n"/>
      <c r="I175" s="343" t="n"/>
      <c r="J175" s="343" t="n"/>
      <c r="K175" s="343" t="n"/>
      <c r="L175" s="343" t="n"/>
      <c r="M175" s="388" t="n"/>
      <c r="N175" s="343" t="n"/>
      <c r="O175" s="343" t="n"/>
      <c r="P175" s="388" t="n"/>
      <c r="Q175" s="343" t="n"/>
      <c r="R175" s="343" t="n"/>
      <c r="S175" s="389" t="n"/>
      <c r="T175" s="343" t="n"/>
      <c r="U175" s="343" t="n"/>
      <c r="V175" s="389" t="n"/>
      <c r="W175" s="343" t="n"/>
      <c r="X175" s="343" t="n"/>
      <c r="Y175" s="390">
        <f>IF(OR($B175="",$G175=""),"",HYPERLINK("https://calendar.google.com/calendar/render?action=TEMPLATE&amp;text="&amp;ENCODEURL($G175)&amp;"&amp;dates="&amp;TEXT($B175,"YYYYMMDD")&amp;"T"&amp;TEXT($D175,"HHMMSS")&amp;"/"&amp;TEXT($B175+($D175+N($F175)/1440),"YYYYMMDD")&amp;"T"&amp;TEXT(MOD($D175+N($F175)/1440,1),"HHMMSS")&amp;"&amp;ctz=Europe/Madrid&amp;location="&amp;ENCODEURL($P175)&amp;"&amp;details="&amp;ENCODEURL("Cita de "&amp;$M175),"➕ Añadir"))</f>
        <v/>
      </c>
      <c r="Z175" s="391">
        <f>IF(OR($B175="",$V175="4 · Cancelada",$V175="3 · Hecha",N($B175)&lt;TODAY()),"",$B175)</f>
        <v/>
      </c>
    </row>
    <row r="176" ht="15" customHeight="1" s="311">
      <c r="B176" s="385" t="n"/>
      <c r="C176" s="343" t="n"/>
      <c r="D176" s="386" t="n"/>
      <c r="E176" s="343" t="n"/>
      <c r="F176" s="387" t="n"/>
      <c r="G176" s="388" t="n"/>
      <c r="H176" s="343" t="n"/>
      <c r="I176" s="343" t="n"/>
      <c r="J176" s="343" t="n"/>
      <c r="K176" s="343" t="n"/>
      <c r="L176" s="343" t="n"/>
      <c r="M176" s="388" t="n"/>
      <c r="N176" s="343" t="n"/>
      <c r="O176" s="343" t="n"/>
      <c r="P176" s="388" t="n"/>
      <c r="Q176" s="343" t="n"/>
      <c r="R176" s="343" t="n"/>
      <c r="S176" s="389" t="n"/>
      <c r="T176" s="343" t="n"/>
      <c r="U176" s="343" t="n"/>
      <c r="V176" s="389" t="n"/>
      <c r="W176" s="343" t="n"/>
      <c r="X176" s="343" t="n"/>
      <c r="Y176" s="390">
        <f>IF(OR($B176="",$G176=""),"",HYPERLINK("https://calendar.google.com/calendar/render?action=TEMPLATE&amp;text="&amp;ENCODEURL($G176)&amp;"&amp;dates="&amp;TEXT($B176,"YYYYMMDD")&amp;"T"&amp;TEXT($D176,"HHMMSS")&amp;"/"&amp;TEXT($B176+($D176+N($F176)/1440),"YYYYMMDD")&amp;"T"&amp;TEXT(MOD($D176+N($F176)/1440,1),"HHMMSS")&amp;"&amp;ctz=Europe/Madrid&amp;location="&amp;ENCODEURL($P176)&amp;"&amp;details="&amp;ENCODEURL("Cita de "&amp;$M176),"➕ Añadir"))</f>
        <v/>
      </c>
      <c r="Z176" s="391">
        <f>IF(OR($B176="",$V176="4 · Cancelada",$V176="3 · Hecha",N($B176)&lt;TODAY()),"",$B176)</f>
        <v/>
      </c>
    </row>
    <row r="177" ht="15" customHeight="1" s="311">
      <c r="B177" s="385" t="n"/>
      <c r="C177" s="343" t="n"/>
      <c r="D177" s="386" t="n"/>
      <c r="E177" s="343" t="n"/>
      <c r="F177" s="387" t="n"/>
      <c r="G177" s="388" t="n"/>
      <c r="H177" s="343" t="n"/>
      <c r="I177" s="343" t="n"/>
      <c r="J177" s="343" t="n"/>
      <c r="K177" s="343" t="n"/>
      <c r="L177" s="343" t="n"/>
      <c r="M177" s="388" t="n"/>
      <c r="N177" s="343" t="n"/>
      <c r="O177" s="343" t="n"/>
      <c r="P177" s="388" t="n"/>
      <c r="Q177" s="343" t="n"/>
      <c r="R177" s="343" t="n"/>
      <c r="S177" s="389" t="n"/>
      <c r="T177" s="343" t="n"/>
      <c r="U177" s="343" t="n"/>
      <c r="V177" s="389" t="n"/>
      <c r="W177" s="343" t="n"/>
      <c r="X177" s="343" t="n"/>
      <c r="Y177" s="390">
        <f>IF(OR($B177="",$G177=""),"",HYPERLINK("https://calendar.google.com/calendar/render?action=TEMPLATE&amp;text="&amp;ENCODEURL($G177)&amp;"&amp;dates="&amp;TEXT($B177,"YYYYMMDD")&amp;"T"&amp;TEXT($D177,"HHMMSS")&amp;"/"&amp;TEXT($B177+($D177+N($F177)/1440),"YYYYMMDD")&amp;"T"&amp;TEXT(MOD($D177+N($F177)/1440,1),"HHMMSS")&amp;"&amp;ctz=Europe/Madrid&amp;location="&amp;ENCODEURL($P177)&amp;"&amp;details="&amp;ENCODEURL("Cita de "&amp;$M177),"➕ Añadir"))</f>
        <v/>
      </c>
      <c r="Z177" s="391">
        <f>IF(OR($B177="",$V177="4 · Cancelada",$V177="3 · Hecha",N($B177)&lt;TODAY()),"",$B177)</f>
        <v/>
      </c>
    </row>
    <row r="178" ht="15" customHeight="1" s="311">
      <c r="B178" s="385" t="n"/>
      <c r="C178" s="343" t="n"/>
      <c r="D178" s="386" t="n"/>
      <c r="E178" s="343" t="n"/>
      <c r="F178" s="387" t="n"/>
      <c r="G178" s="388" t="n"/>
      <c r="H178" s="343" t="n"/>
      <c r="I178" s="343" t="n"/>
      <c r="J178" s="343" t="n"/>
      <c r="K178" s="343" t="n"/>
      <c r="L178" s="343" t="n"/>
      <c r="M178" s="388" t="n"/>
      <c r="N178" s="343" t="n"/>
      <c r="O178" s="343" t="n"/>
      <c r="P178" s="388" t="n"/>
      <c r="Q178" s="343" t="n"/>
      <c r="R178" s="343" t="n"/>
      <c r="S178" s="389" t="n"/>
      <c r="T178" s="343" t="n"/>
      <c r="U178" s="343" t="n"/>
      <c r="V178" s="389" t="n"/>
      <c r="W178" s="343" t="n"/>
      <c r="X178" s="343" t="n"/>
      <c r="Y178" s="390">
        <f>IF(OR($B178="",$G178=""),"",HYPERLINK("https://calendar.google.com/calendar/render?action=TEMPLATE&amp;text="&amp;ENCODEURL($G178)&amp;"&amp;dates="&amp;TEXT($B178,"YYYYMMDD")&amp;"T"&amp;TEXT($D178,"HHMMSS")&amp;"/"&amp;TEXT($B178+($D178+N($F178)/1440),"YYYYMMDD")&amp;"T"&amp;TEXT(MOD($D178+N($F178)/1440,1),"HHMMSS")&amp;"&amp;ctz=Europe/Madrid&amp;location="&amp;ENCODEURL($P178)&amp;"&amp;details="&amp;ENCODEURL("Cita de "&amp;$M178),"➕ Añadir"))</f>
        <v/>
      </c>
      <c r="Z178" s="391">
        <f>IF(OR($B178="",$V178="4 · Cancelada",$V178="3 · Hecha",N($B178)&lt;TODAY()),"",$B178)</f>
        <v/>
      </c>
    </row>
    <row r="179" ht="15" customHeight="1" s="311">
      <c r="B179" s="385" t="n"/>
      <c r="C179" s="343" t="n"/>
      <c r="D179" s="386" t="n"/>
      <c r="E179" s="343" t="n"/>
      <c r="F179" s="387" t="n"/>
      <c r="G179" s="388" t="n"/>
      <c r="H179" s="343" t="n"/>
      <c r="I179" s="343" t="n"/>
      <c r="J179" s="343" t="n"/>
      <c r="K179" s="343" t="n"/>
      <c r="L179" s="343" t="n"/>
      <c r="M179" s="388" t="n"/>
      <c r="N179" s="343" t="n"/>
      <c r="O179" s="343" t="n"/>
      <c r="P179" s="388" t="n"/>
      <c r="Q179" s="343" t="n"/>
      <c r="R179" s="343" t="n"/>
      <c r="S179" s="389" t="n"/>
      <c r="T179" s="343" t="n"/>
      <c r="U179" s="343" t="n"/>
      <c r="V179" s="389" t="n"/>
      <c r="W179" s="343" t="n"/>
      <c r="X179" s="343" t="n"/>
      <c r="Y179" s="390">
        <f>IF(OR($B179="",$G179=""),"",HYPERLINK("https://calendar.google.com/calendar/render?action=TEMPLATE&amp;text="&amp;ENCODEURL($G179)&amp;"&amp;dates="&amp;TEXT($B179,"YYYYMMDD")&amp;"T"&amp;TEXT($D179,"HHMMSS")&amp;"/"&amp;TEXT($B179+($D179+N($F179)/1440),"YYYYMMDD")&amp;"T"&amp;TEXT(MOD($D179+N($F179)/1440,1),"HHMMSS")&amp;"&amp;ctz=Europe/Madrid&amp;location="&amp;ENCODEURL($P179)&amp;"&amp;details="&amp;ENCODEURL("Cita de "&amp;$M179),"➕ Añadir"))</f>
        <v/>
      </c>
      <c r="Z179" s="391">
        <f>IF(OR($B179="",$V179="4 · Cancelada",$V179="3 · Hecha",N($B179)&lt;TODAY()),"",$B179)</f>
        <v/>
      </c>
    </row>
    <row r="180" ht="15" customHeight="1" s="311">
      <c r="B180" s="385" t="n"/>
      <c r="C180" s="343" t="n"/>
      <c r="D180" s="386" t="n"/>
      <c r="E180" s="343" t="n"/>
      <c r="F180" s="387" t="n"/>
      <c r="G180" s="388" t="n"/>
      <c r="H180" s="343" t="n"/>
      <c r="I180" s="343" t="n"/>
      <c r="J180" s="343" t="n"/>
      <c r="K180" s="343" t="n"/>
      <c r="L180" s="343" t="n"/>
      <c r="M180" s="388" t="n"/>
      <c r="N180" s="343" t="n"/>
      <c r="O180" s="343" t="n"/>
      <c r="P180" s="388" t="n"/>
      <c r="Q180" s="343" t="n"/>
      <c r="R180" s="343" t="n"/>
      <c r="S180" s="389" t="n"/>
      <c r="T180" s="343" t="n"/>
      <c r="U180" s="343" t="n"/>
      <c r="V180" s="389" t="n"/>
      <c r="W180" s="343" t="n"/>
      <c r="X180" s="343" t="n"/>
      <c r="Y180" s="390">
        <f>IF(OR($B180="",$G180=""),"",HYPERLINK("https://calendar.google.com/calendar/render?action=TEMPLATE&amp;text="&amp;ENCODEURL($G180)&amp;"&amp;dates="&amp;TEXT($B180,"YYYYMMDD")&amp;"T"&amp;TEXT($D180,"HHMMSS")&amp;"/"&amp;TEXT($B180+($D180+N($F180)/1440),"YYYYMMDD")&amp;"T"&amp;TEXT(MOD($D180+N($F180)/1440,1),"HHMMSS")&amp;"&amp;ctz=Europe/Madrid&amp;location="&amp;ENCODEURL($P180)&amp;"&amp;details="&amp;ENCODEURL("Cita de "&amp;$M180),"➕ Añadir"))</f>
        <v/>
      </c>
      <c r="Z180" s="391">
        <f>IF(OR($B180="",$V180="4 · Cancelada",$V180="3 · Hecha",N($B180)&lt;TODAY()),"",$B180)</f>
        <v/>
      </c>
    </row>
    <row r="181" ht="15" customHeight="1" s="311">
      <c r="B181" s="385" t="n"/>
      <c r="C181" s="343" t="n"/>
      <c r="D181" s="386" t="n"/>
      <c r="E181" s="343" t="n"/>
      <c r="F181" s="387" t="n"/>
      <c r="G181" s="388" t="n"/>
      <c r="H181" s="343" t="n"/>
      <c r="I181" s="343" t="n"/>
      <c r="J181" s="343" t="n"/>
      <c r="K181" s="343" t="n"/>
      <c r="L181" s="343" t="n"/>
      <c r="M181" s="388" t="n"/>
      <c r="N181" s="343" t="n"/>
      <c r="O181" s="343" t="n"/>
      <c r="P181" s="388" t="n"/>
      <c r="Q181" s="343" t="n"/>
      <c r="R181" s="343" t="n"/>
      <c r="S181" s="389" t="n"/>
      <c r="T181" s="343" t="n"/>
      <c r="U181" s="343" t="n"/>
      <c r="V181" s="389" t="n"/>
      <c r="W181" s="343" t="n"/>
      <c r="X181" s="343" t="n"/>
      <c r="Y181" s="390">
        <f>IF(OR($B181="",$G181=""),"",HYPERLINK("https://calendar.google.com/calendar/render?action=TEMPLATE&amp;text="&amp;ENCODEURL($G181)&amp;"&amp;dates="&amp;TEXT($B181,"YYYYMMDD")&amp;"T"&amp;TEXT($D181,"HHMMSS")&amp;"/"&amp;TEXT($B181+($D181+N($F181)/1440),"YYYYMMDD")&amp;"T"&amp;TEXT(MOD($D181+N($F181)/1440,1),"HHMMSS")&amp;"&amp;ctz=Europe/Madrid&amp;location="&amp;ENCODEURL($P181)&amp;"&amp;details="&amp;ENCODEURL("Cita de "&amp;$M181),"➕ Añadir"))</f>
        <v/>
      </c>
      <c r="Z181" s="391">
        <f>IF(OR($B181="",$V181="4 · Cancelada",$V181="3 · Hecha",N($B181)&lt;TODAY()),"",$B181)</f>
        <v/>
      </c>
    </row>
    <row r="182" ht="15" customHeight="1" s="311">
      <c r="B182" s="385" t="n"/>
      <c r="C182" s="343" t="n"/>
      <c r="D182" s="386" t="n"/>
      <c r="E182" s="343" t="n"/>
      <c r="F182" s="387" t="n"/>
      <c r="G182" s="388" t="n"/>
      <c r="H182" s="343" t="n"/>
      <c r="I182" s="343" t="n"/>
      <c r="J182" s="343" t="n"/>
      <c r="K182" s="343" t="n"/>
      <c r="L182" s="343" t="n"/>
      <c r="M182" s="388" t="n"/>
      <c r="N182" s="343" t="n"/>
      <c r="O182" s="343" t="n"/>
      <c r="P182" s="388" t="n"/>
      <c r="Q182" s="343" t="n"/>
      <c r="R182" s="343" t="n"/>
      <c r="S182" s="389" t="n"/>
      <c r="T182" s="343" t="n"/>
      <c r="U182" s="343" t="n"/>
      <c r="V182" s="389" t="n"/>
      <c r="W182" s="343" t="n"/>
      <c r="X182" s="343" t="n"/>
      <c r="Y182" s="390">
        <f>IF(OR($B182="",$G182=""),"",HYPERLINK("https://calendar.google.com/calendar/render?action=TEMPLATE&amp;text="&amp;ENCODEURL($G182)&amp;"&amp;dates="&amp;TEXT($B182,"YYYYMMDD")&amp;"T"&amp;TEXT($D182,"HHMMSS")&amp;"/"&amp;TEXT($B182+($D182+N($F182)/1440),"YYYYMMDD")&amp;"T"&amp;TEXT(MOD($D182+N($F182)/1440,1),"HHMMSS")&amp;"&amp;ctz=Europe/Madrid&amp;location="&amp;ENCODEURL($P182)&amp;"&amp;details="&amp;ENCODEURL("Cita de "&amp;$M182),"➕ Añadir"))</f>
        <v/>
      </c>
      <c r="Z182" s="391">
        <f>IF(OR($B182="",$V182="4 · Cancelada",$V182="3 · Hecha",N($B182)&lt;TODAY()),"",$B182)</f>
        <v/>
      </c>
    </row>
    <row r="183" ht="15" customHeight="1" s="311">
      <c r="B183" s="385" t="n"/>
      <c r="C183" s="343" t="n"/>
      <c r="D183" s="386" t="n"/>
      <c r="E183" s="343" t="n"/>
      <c r="F183" s="387" t="n"/>
      <c r="G183" s="388" t="n"/>
      <c r="H183" s="343" t="n"/>
      <c r="I183" s="343" t="n"/>
      <c r="J183" s="343" t="n"/>
      <c r="K183" s="343" t="n"/>
      <c r="L183" s="343" t="n"/>
      <c r="M183" s="388" t="n"/>
      <c r="N183" s="343" t="n"/>
      <c r="O183" s="343" t="n"/>
      <c r="P183" s="388" t="n"/>
      <c r="Q183" s="343" t="n"/>
      <c r="R183" s="343" t="n"/>
      <c r="S183" s="389" t="n"/>
      <c r="T183" s="343" t="n"/>
      <c r="U183" s="343" t="n"/>
      <c r="V183" s="389" t="n"/>
      <c r="W183" s="343" t="n"/>
      <c r="X183" s="343" t="n"/>
      <c r="Y183" s="390">
        <f>IF(OR($B183="",$G183=""),"",HYPERLINK("https://calendar.google.com/calendar/render?action=TEMPLATE&amp;text="&amp;ENCODEURL($G183)&amp;"&amp;dates="&amp;TEXT($B183,"YYYYMMDD")&amp;"T"&amp;TEXT($D183,"HHMMSS")&amp;"/"&amp;TEXT($B183+($D183+N($F183)/1440),"YYYYMMDD")&amp;"T"&amp;TEXT(MOD($D183+N($F183)/1440,1),"HHMMSS")&amp;"&amp;ctz=Europe/Madrid&amp;location="&amp;ENCODEURL($P183)&amp;"&amp;details="&amp;ENCODEURL("Cita de "&amp;$M183),"➕ Añadir"))</f>
        <v/>
      </c>
      <c r="Z183" s="391">
        <f>IF(OR($B183="",$V183="4 · Cancelada",$V183="3 · Hecha",N($B183)&lt;TODAY()),"",$B183)</f>
        <v/>
      </c>
    </row>
    <row r="184" ht="15" customHeight="1" s="311">
      <c r="B184" s="385" t="n"/>
      <c r="C184" s="343" t="n"/>
      <c r="D184" s="386" t="n"/>
      <c r="E184" s="343" t="n"/>
      <c r="F184" s="387" t="n"/>
      <c r="G184" s="388" t="n"/>
      <c r="H184" s="343" t="n"/>
      <c r="I184" s="343" t="n"/>
      <c r="J184" s="343" t="n"/>
      <c r="K184" s="343" t="n"/>
      <c r="L184" s="343" t="n"/>
      <c r="M184" s="388" t="n"/>
      <c r="N184" s="343" t="n"/>
      <c r="O184" s="343" t="n"/>
      <c r="P184" s="388" t="n"/>
      <c r="Q184" s="343" t="n"/>
      <c r="R184" s="343" t="n"/>
      <c r="S184" s="389" t="n"/>
      <c r="T184" s="343" t="n"/>
      <c r="U184" s="343" t="n"/>
      <c r="V184" s="389" t="n"/>
      <c r="W184" s="343" t="n"/>
      <c r="X184" s="343" t="n"/>
      <c r="Y184" s="390">
        <f>IF(OR($B184="",$G184=""),"",HYPERLINK("https://calendar.google.com/calendar/render?action=TEMPLATE&amp;text="&amp;ENCODEURL($G184)&amp;"&amp;dates="&amp;TEXT($B184,"YYYYMMDD")&amp;"T"&amp;TEXT($D184,"HHMMSS")&amp;"/"&amp;TEXT($B184+($D184+N($F184)/1440),"YYYYMMDD")&amp;"T"&amp;TEXT(MOD($D184+N($F184)/1440,1),"HHMMSS")&amp;"&amp;ctz=Europe/Madrid&amp;location="&amp;ENCODEURL($P184)&amp;"&amp;details="&amp;ENCODEURL("Cita de "&amp;$M184),"➕ Añadir"))</f>
        <v/>
      </c>
      <c r="Z184" s="391">
        <f>IF(OR($B184="",$V184="4 · Cancelada",$V184="3 · Hecha",N($B184)&lt;TODAY()),"",$B184)</f>
        <v/>
      </c>
    </row>
    <row r="185" ht="15" customHeight="1" s="311">
      <c r="B185" s="385" t="n"/>
      <c r="C185" s="343" t="n"/>
      <c r="D185" s="386" t="n"/>
      <c r="E185" s="343" t="n"/>
      <c r="F185" s="387" t="n"/>
      <c r="G185" s="388" t="n"/>
      <c r="H185" s="343" t="n"/>
      <c r="I185" s="343" t="n"/>
      <c r="J185" s="343" t="n"/>
      <c r="K185" s="343" t="n"/>
      <c r="L185" s="343" t="n"/>
      <c r="M185" s="388" t="n"/>
      <c r="N185" s="343" t="n"/>
      <c r="O185" s="343" t="n"/>
      <c r="P185" s="388" t="n"/>
      <c r="Q185" s="343" t="n"/>
      <c r="R185" s="343" t="n"/>
      <c r="S185" s="389" t="n"/>
      <c r="T185" s="343" t="n"/>
      <c r="U185" s="343" t="n"/>
      <c r="V185" s="389" t="n"/>
      <c r="W185" s="343" t="n"/>
      <c r="X185" s="343" t="n"/>
      <c r="Y185" s="390">
        <f>IF(OR($B185="",$G185=""),"",HYPERLINK("https://calendar.google.com/calendar/render?action=TEMPLATE&amp;text="&amp;ENCODEURL($G185)&amp;"&amp;dates="&amp;TEXT($B185,"YYYYMMDD")&amp;"T"&amp;TEXT($D185,"HHMMSS")&amp;"/"&amp;TEXT($B185+($D185+N($F185)/1440),"YYYYMMDD")&amp;"T"&amp;TEXT(MOD($D185+N($F185)/1440,1),"HHMMSS")&amp;"&amp;ctz=Europe/Madrid&amp;location="&amp;ENCODEURL($P185)&amp;"&amp;details="&amp;ENCODEURL("Cita de "&amp;$M185),"➕ Añadir"))</f>
        <v/>
      </c>
      <c r="Z185" s="391">
        <f>IF(OR($B185="",$V185="4 · Cancelada",$V185="3 · Hecha",N($B185)&lt;TODAY()),"",$B185)</f>
        <v/>
      </c>
    </row>
    <row r="186" ht="15" customHeight="1" s="311">
      <c r="B186" s="385" t="n"/>
      <c r="C186" s="343" t="n"/>
      <c r="D186" s="386" t="n"/>
      <c r="E186" s="343" t="n"/>
      <c r="F186" s="387" t="n"/>
      <c r="G186" s="388" t="n"/>
      <c r="H186" s="343" t="n"/>
      <c r="I186" s="343" t="n"/>
      <c r="J186" s="343" t="n"/>
      <c r="K186" s="343" t="n"/>
      <c r="L186" s="343" t="n"/>
      <c r="M186" s="388" t="n"/>
      <c r="N186" s="343" t="n"/>
      <c r="O186" s="343" t="n"/>
      <c r="P186" s="388" t="n"/>
      <c r="Q186" s="343" t="n"/>
      <c r="R186" s="343" t="n"/>
      <c r="S186" s="389" t="n"/>
      <c r="T186" s="343" t="n"/>
      <c r="U186" s="343" t="n"/>
      <c r="V186" s="389" t="n"/>
      <c r="W186" s="343" t="n"/>
      <c r="X186" s="343" t="n"/>
      <c r="Y186" s="390">
        <f>IF(OR($B186="",$G186=""),"",HYPERLINK("https://calendar.google.com/calendar/render?action=TEMPLATE&amp;text="&amp;ENCODEURL($G186)&amp;"&amp;dates="&amp;TEXT($B186,"YYYYMMDD")&amp;"T"&amp;TEXT($D186,"HHMMSS")&amp;"/"&amp;TEXT($B186+($D186+N($F186)/1440),"YYYYMMDD")&amp;"T"&amp;TEXT(MOD($D186+N($F186)/1440,1),"HHMMSS")&amp;"&amp;ctz=Europe/Madrid&amp;location="&amp;ENCODEURL($P186)&amp;"&amp;details="&amp;ENCODEURL("Cita de "&amp;$M186),"➕ Añadir"))</f>
        <v/>
      </c>
      <c r="Z186" s="391">
        <f>IF(OR($B186="",$V186="4 · Cancelada",$V186="3 · Hecha",N($B186)&lt;TODAY()),"",$B186)</f>
        <v/>
      </c>
    </row>
    <row r="187" ht="15" customHeight="1" s="311">
      <c r="B187" s="385" t="n"/>
      <c r="C187" s="343" t="n"/>
      <c r="D187" s="386" t="n"/>
      <c r="E187" s="343" t="n"/>
      <c r="F187" s="387" t="n"/>
      <c r="G187" s="388" t="n"/>
      <c r="H187" s="343" t="n"/>
      <c r="I187" s="343" t="n"/>
      <c r="J187" s="343" t="n"/>
      <c r="K187" s="343" t="n"/>
      <c r="L187" s="343" t="n"/>
      <c r="M187" s="388" t="n"/>
      <c r="N187" s="343" t="n"/>
      <c r="O187" s="343" t="n"/>
      <c r="P187" s="388" t="n"/>
      <c r="Q187" s="343" t="n"/>
      <c r="R187" s="343" t="n"/>
      <c r="S187" s="389" t="n"/>
      <c r="T187" s="343" t="n"/>
      <c r="U187" s="343" t="n"/>
      <c r="V187" s="389" t="n"/>
      <c r="W187" s="343" t="n"/>
      <c r="X187" s="343" t="n"/>
      <c r="Y187" s="390">
        <f>IF(OR($B187="",$G187=""),"",HYPERLINK("https://calendar.google.com/calendar/render?action=TEMPLATE&amp;text="&amp;ENCODEURL($G187)&amp;"&amp;dates="&amp;TEXT($B187,"YYYYMMDD")&amp;"T"&amp;TEXT($D187,"HHMMSS")&amp;"/"&amp;TEXT($B187+($D187+N($F187)/1440),"YYYYMMDD")&amp;"T"&amp;TEXT(MOD($D187+N($F187)/1440,1),"HHMMSS")&amp;"&amp;ctz=Europe/Madrid&amp;location="&amp;ENCODEURL($P187)&amp;"&amp;details="&amp;ENCODEURL("Cita de "&amp;$M187),"➕ Añadir"))</f>
        <v/>
      </c>
      <c r="Z187" s="391">
        <f>IF(OR($B187="",$V187="4 · Cancelada",$V187="3 · Hecha",N($B187)&lt;TODAY()),"",$B187)</f>
        <v/>
      </c>
    </row>
    <row r="188" ht="15" customHeight="1" s="311">
      <c r="B188" s="385" t="n"/>
      <c r="C188" s="343" t="n"/>
      <c r="D188" s="386" t="n"/>
      <c r="E188" s="343" t="n"/>
      <c r="F188" s="387" t="n"/>
      <c r="G188" s="388" t="n"/>
      <c r="H188" s="343" t="n"/>
      <c r="I188" s="343" t="n"/>
      <c r="J188" s="343" t="n"/>
      <c r="K188" s="343" t="n"/>
      <c r="L188" s="343" t="n"/>
      <c r="M188" s="388" t="n"/>
      <c r="N188" s="343" t="n"/>
      <c r="O188" s="343" t="n"/>
      <c r="P188" s="388" t="n"/>
      <c r="Q188" s="343" t="n"/>
      <c r="R188" s="343" t="n"/>
      <c r="S188" s="389" t="n"/>
      <c r="T188" s="343" t="n"/>
      <c r="U188" s="343" t="n"/>
      <c r="V188" s="389" t="n"/>
      <c r="W188" s="343" t="n"/>
      <c r="X188" s="343" t="n"/>
      <c r="Y188" s="390">
        <f>IF(OR($B188="",$G188=""),"",HYPERLINK("https://calendar.google.com/calendar/render?action=TEMPLATE&amp;text="&amp;ENCODEURL($G188)&amp;"&amp;dates="&amp;TEXT($B188,"YYYYMMDD")&amp;"T"&amp;TEXT($D188,"HHMMSS")&amp;"/"&amp;TEXT($B188+($D188+N($F188)/1440),"YYYYMMDD")&amp;"T"&amp;TEXT(MOD($D188+N($F188)/1440,1),"HHMMSS")&amp;"&amp;ctz=Europe/Madrid&amp;location="&amp;ENCODEURL($P188)&amp;"&amp;details="&amp;ENCODEURL("Cita de "&amp;$M188),"➕ Añadir"))</f>
        <v/>
      </c>
      <c r="Z188" s="391">
        <f>IF(OR($B188="",$V188="4 · Cancelada",$V188="3 · Hecha",N($B188)&lt;TODAY()),"",$B188)</f>
        <v/>
      </c>
    </row>
    <row r="189" ht="15" customHeight="1" s="311">
      <c r="B189" s="385" t="n"/>
      <c r="C189" s="343" t="n"/>
      <c r="D189" s="386" t="n"/>
      <c r="E189" s="343" t="n"/>
      <c r="F189" s="387" t="n"/>
      <c r="G189" s="388" t="n"/>
      <c r="H189" s="343" t="n"/>
      <c r="I189" s="343" t="n"/>
      <c r="J189" s="343" t="n"/>
      <c r="K189" s="343" t="n"/>
      <c r="L189" s="343" t="n"/>
      <c r="M189" s="388" t="n"/>
      <c r="N189" s="343" t="n"/>
      <c r="O189" s="343" t="n"/>
      <c r="P189" s="388" t="n"/>
      <c r="Q189" s="343" t="n"/>
      <c r="R189" s="343" t="n"/>
      <c r="S189" s="389" t="n"/>
      <c r="T189" s="343" t="n"/>
      <c r="U189" s="343" t="n"/>
      <c r="V189" s="389" t="n"/>
      <c r="W189" s="343" t="n"/>
      <c r="X189" s="343" t="n"/>
      <c r="Y189" s="390">
        <f>IF(OR($B189="",$G189=""),"",HYPERLINK("https://calendar.google.com/calendar/render?action=TEMPLATE&amp;text="&amp;ENCODEURL($G189)&amp;"&amp;dates="&amp;TEXT($B189,"YYYYMMDD")&amp;"T"&amp;TEXT($D189,"HHMMSS")&amp;"/"&amp;TEXT($B189+($D189+N($F189)/1440),"YYYYMMDD")&amp;"T"&amp;TEXT(MOD($D189+N($F189)/1440,1),"HHMMSS")&amp;"&amp;ctz=Europe/Madrid&amp;location="&amp;ENCODEURL($P189)&amp;"&amp;details="&amp;ENCODEURL("Cita de "&amp;$M189),"➕ Añadir"))</f>
        <v/>
      </c>
      <c r="Z189" s="391">
        <f>IF(OR($B189="",$V189="4 · Cancelada",$V189="3 · Hecha",N($B189)&lt;TODAY()),"",$B189)</f>
        <v/>
      </c>
    </row>
    <row r="190" ht="15" customHeight="1" s="311">
      <c r="B190" s="385" t="n"/>
      <c r="C190" s="343" t="n"/>
      <c r="D190" s="386" t="n"/>
      <c r="E190" s="343" t="n"/>
      <c r="F190" s="387" t="n"/>
      <c r="G190" s="388" t="n"/>
      <c r="H190" s="343" t="n"/>
      <c r="I190" s="343" t="n"/>
      <c r="J190" s="343" t="n"/>
      <c r="K190" s="343" t="n"/>
      <c r="L190" s="343" t="n"/>
      <c r="M190" s="388" t="n"/>
      <c r="N190" s="343" t="n"/>
      <c r="O190" s="343" t="n"/>
      <c r="P190" s="388" t="n"/>
      <c r="Q190" s="343" t="n"/>
      <c r="R190" s="343" t="n"/>
      <c r="S190" s="389" t="n"/>
      <c r="T190" s="343" t="n"/>
      <c r="U190" s="343" t="n"/>
      <c r="V190" s="389" t="n"/>
      <c r="W190" s="343" t="n"/>
      <c r="X190" s="343" t="n"/>
      <c r="Y190" s="390">
        <f>IF(OR($B190="",$G190=""),"",HYPERLINK("https://calendar.google.com/calendar/render?action=TEMPLATE&amp;text="&amp;ENCODEURL($G190)&amp;"&amp;dates="&amp;TEXT($B190,"YYYYMMDD")&amp;"T"&amp;TEXT($D190,"HHMMSS")&amp;"/"&amp;TEXT($B190+($D190+N($F190)/1440),"YYYYMMDD")&amp;"T"&amp;TEXT(MOD($D190+N($F190)/1440,1),"HHMMSS")&amp;"&amp;ctz=Europe/Madrid&amp;location="&amp;ENCODEURL($P190)&amp;"&amp;details="&amp;ENCODEURL("Cita de "&amp;$M190),"➕ Añadir"))</f>
        <v/>
      </c>
      <c r="Z190" s="391">
        <f>IF(OR($B190="",$V190="4 · Cancelada",$V190="3 · Hecha",N($B190)&lt;TODAY()),"",$B190)</f>
        <v/>
      </c>
    </row>
    <row r="191" ht="15" customHeight="1" s="311">
      <c r="B191" s="385" t="n"/>
      <c r="C191" s="343" t="n"/>
      <c r="D191" s="386" t="n"/>
      <c r="E191" s="343" t="n"/>
      <c r="F191" s="387" t="n"/>
      <c r="G191" s="388" t="n"/>
      <c r="H191" s="343" t="n"/>
      <c r="I191" s="343" t="n"/>
      <c r="J191" s="343" t="n"/>
      <c r="K191" s="343" t="n"/>
      <c r="L191" s="343" t="n"/>
      <c r="M191" s="388" t="n"/>
      <c r="N191" s="343" t="n"/>
      <c r="O191" s="343" t="n"/>
      <c r="P191" s="388" t="n"/>
      <c r="Q191" s="343" t="n"/>
      <c r="R191" s="343" t="n"/>
      <c r="S191" s="389" t="n"/>
      <c r="T191" s="343" t="n"/>
      <c r="U191" s="343" t="n"/>
      <c r="V191" s="389" t="n"/>
      <c r="W191" s="343" t="n"/>
      <c r="X191" s="343" t="n"/>
      <c r="Y191" s="390">
        <f>IF(OR($B191="",$G191=""),"",HYPERLINK("https://calendar.google.com/calendar/render?action=TEMPLATE&amp;text="&amp;ENCODEURL($G191)&amp;"&amp;dates="&amp;TEXT($B191,"YYYYMMDD")&amp;"T"&amp;TEXT($D191,"HHMMSS")&amp;"/"&amp;TEXT($B191+($D191+N($F191)/1440),"YYYYMMDD")&amp;"T"&amp;TEXT(MOD($D191+N($F191)/1440,1),"HHMMSS")&amp;"&amp;ctz=Europe/Madrid&amp;location="&amp;ENCODEURL($P191)&amp;"&amp;details="&amp;ENCODEURL("Cita de "&amp;$M191),"➕ Añadir"))</f>
        <v/>
      </c>
      <c r="Z191" s="391">
        <f>IF(OR($B191="",$V191="4 · Cancelada",$V191="3 · Hecha",N($B191)&lt;TODAY()),"",$B191)</f>
        <v/>
      </c>
    </row>
    <row r="192" ht="15" customHeight="1" s="311">
      <c r="B192" s="385" t="n"/>
      <c r="C192" s="343" t="n"/>
      <c r="D192" s="386" t="n"/>
      <c r="E192" s="343" t="n"/>
      <c r="F192" s="387" t="n"/>
      <c r="G192" s="388" t="n"/>
      <c r="H192" s="343" t="n"/>
      <c r="I192" s="343" t="n"/>
      <c r="J192" s="343" t="n"/>
      <c r="K192" s="343" t="n"/>
      <c r="L192" s="343" t="n"/>
      <c r="M192" s="388" t="n"/>
      <c r="N192" s="343" t="n"/>
      <c r="O192" s="343" t="n"/>
      <c r="P192" s="388" t="n"/>
      <c r="Q192" s="343" t="n"/>
      <c r="R192" s="343" t="n"/>
      <c r="S192" s="389" t="n"/>
      <c r="T192" s="343" t="n"/>
      <c r="U192" s="343" t="n"/>
      <c r="V192" s="389" t="n"/>
      <c r="W192" s="343" t="n"/>
      <c r="X192" s="343" t="n"/>
      <c r="Y192" s="390">
        <f>IF(OR($B192="",$G192=""),"",HYPERLINK("https://calendar.google.com/calendar/render?action=TEMPLATE&amp;text="&amp;ENCODEURL($G192)&amp;"&amp;dates="&amp;TEXT($B192,"YYYYMMDD")&amp;"T"&amp;TEXT($D192,"HHMMSS")&amp;"/"&amp;TEXT($B192+($D192+N($F192)/1440),"YYYYMMDD")&amp;"T"&amp;TEXT(MOD($D192+N($F192)/1440,1),"HHMMSS")&amp;"&amp;ctz=Europe/Madrid&amp;location="&amp;ENCODEURL($P192)&amp;"&amp;details="&amp;ENCODEURL("Cita de "&amp;$M192),"➕ Añadir"))</f>
        <v/>
      </c>
      <c r="Z192" s="391">
        <f>IF(OR($B192="",$V192="4 · Cancelada",$V192="3 · Hecha",N($B192)&lt;TODAY()),"",$B192)</f>
        <v/>
      </c>
    </row>
    <row r="193" ht="15" customHeight="1" s="311">
      <c r="B193" s="385" t="n"/>
      <c r="C193" s="343" t="n"/>
      <c r="D193" s="386" t="n"/>
      <c r="E193" s="343" t="n"/>
      <c r="F193" s="387" t="n"/>
      <c r="G193" s="388" t="n"/>
      <c r="H193" s="343" t="n"/>
      <c r="I193" s="343" t="n"/>
      <c r="J193" s="343" t="n"/>
      <c r="K193" s="343" t="n"/>
      <c r="L193" s="343" t="n"/>
      <c r="M193" s="388" t="n"/>
      <c r="N193" s="343" t="n"/>
      <c r="O193" s="343" t="n"/>
      <c r="P193" s="388" t="n"/>
      <c r="Q193" s="343" t="n"/>
      <c r="R193" s="343" t="n"/>
      <c r="S193" s="389" t="n"/>
      <c r="T193" s="343" t="n"/>
      <c r="U193" s="343" t="n"/>
      <c r="V193" s="389" t="n"/>
      <c r="W193" s="343" t="n"/>
      <c r="X193" s="343" t="n"/>
      <c r="Y193" s="390">
        <f>IF(OR($B193="",$G193=""),"",HYPERLINK("https://calendar.google.com/calendar/render?action=TEMPLATE&amp;text="&amp;ENCODEURL($G193)&amp;"&amp;dates="&amp;TEXT($B193,"YYYYMMDD")&amp;"T"&amp;TEXT($D193,"HHMMSS")&amp;"/"&amp;TEXT($B193+($D193+N($F193)/1440),"YYYYMMDD")&amp;"T"&amp;TEXT(MOD($D193+N($F193)/1440,1),"HHMMSS")&amp;"&amp;ctz=Europe/Madrid&amp;location="&amp;ENCODEURL($P193)&amp;"&amp;details="&amp;ENCODEURL("Cita de "&amp;$M193),"➕ Añadir"))</f>
        <v/>
      </c>
      <c r="Z193" s="391">
        <f>IF(OR($B193="",$V193="4 · Cancelada",$V193="3 · Hecha",N($B193)&lt;TODAY()),"",$B193)</f>
        <v/>
      </c>
    </row>
    <row r="194" ht="15" customHeight="1" s="311">
      <c r="B194" s="385" t="n"/>
      <c r="C194" s="343" t="n"/>
      <c r="D194" s="386" t="n"/>
      <c r="E194" s="343" t="n"/>
      <c r="F194" s="387" t="n"/>
      <c r="G194" s="388" t="n"/>
      <c r="H194" s="343" t="n"/>
      <c r="I194" s="343" t="n"/>
      <c r="J194" s="343" t="n"/>
      <c r="K194" s="343" t="n"/>
      <c r="L194" s="343" t="n"/>
      <c r="M194" s="388" t="n"/>
      <c r="N194" s="343" t="n"/>
      <c r="O194" s="343" t="n"/>
      <c r="P194" s="388" t="n"/>
      <c r="Q194" s="343" t="n"/>
      <c r="R194" s="343" t="n"/>
      <c r="S194" s="389" t="n"/>
      <c r="T194" s="343" t="n"/>
      <c r="U194" s="343" t="n"/>
      <c r="V194" s="389" t="n"/>
      <c r="W194" s="343" t="n"/>
      <c r="X194" s="343" t="n"/>
      <c r="Y194" s="390">
        <f>IF(OR($B194="",$G194=""),"",HYPERLINK("https://calendar.google.com/calendar/render?action=TEMPLATE&amp;text="&amp;ENCODEURL($G194)&amp;"&amp;dates="&amp;TEXT($B194,"YYYYMMDD")&amp;"T"&amp;TEXT($D194,"HHMMSS")&amp;"/"&amp;TEXT($B194+($D194+N($F194)/1440),"YYYYMMDD")&amp;"T"&amp;TEXT(MOD($D194+N($F194)/1440,1),"HHMMSS")&amp;"&amp;ctz=Europe/Madrid&amp;location="&amp;ENCODEURL($P194)&amp;"&amp;details="&amp;ENCODEURL("Cita de "&amp;$M194),"➕ Añadir"))</f>
        <v/>
      </c>
      <c r="Z194" s="391">
        <f>IF(OR($B194="",$V194="4 · Cancelada",$V194="3 · Hecha",N($B194)&lt;TODAY()),"",$B194)</f>
        <v/>
      </c>
    </row>
    <row r="195" ht="15" customHeight="1" s="311">
      <c r="B195" s="385" t="n"/>
      <c r="C195" s="343" t="n"/>
      <c r="D195" s="386" t="n"/>
      <c r="E195" s="343" t="n"/>
      <c r="F195" s="387" t="n"/>
      <c r="G195" s="388" t="n"/>
      <c r="H195" s="343" t="n"/>
      <c r="I195" s="343" t="n"/>
      <c r="J195" s="343" t="n"/>
      <c r="K195" s="343" t="n"/>
      <c r="L195" s="343" t="n"/>
      <c r="M195" s="388" t="n"/>
      <c r="N195" s="343" t="n"/>
      <c r="O195" s="343" t="n"/>
      <c r="P195" s="388" t="n"/>
      <c r="Q195" s="343" t="n"/>
      <c r="R195" s="343" t="n"/>
      <c r="S195" s="389" t="n"/>
      <c r="T195" s="343" t="n"/>
      <c r="U195" s="343" t="n"/>
      <c r="V195" s="389" t="n"/>
      <c r="W195" s="343" t="n"/>
      <c r="X195" s="343" t="n"/>
      <c r="Y195" s="390">
        <f>IF(OR($B195="",$G195=""),"",HYPERLINK("https://calendar.google.com/calendar/render?action=TEMPLATE&amp;text="&amp;ENCODEURL($G195)&amp;"&amp;dates="&amp;TEXT($B195,"YYYYMMDD")&amp;"T"&amp;TEXT($D195,"HHMMSS")&amp;"/"&amp;TEXT($B195+($D195+N($F195)/1440),"YYYYMMDD")&amp;"T"&amp;TEXT(MOD($D195+N($F195)/1440,1),"HHMMSS")&amp;"&amp;ctz=Europe/Madrid&amp;location="&amp;ENCODEURL($P195)&amp;"&amp;details="&amp;ENCODEURL("Cita de "&amp;$M195),"➕ Añadir"))</f>
        <v/>
      </c>
      <c r="Z195" s="391">
        <f>IF(OR($B195="",$V195="4 · Cancelada",$V195="3 · Hecha",N($B195)&lt;TODAY()),"",$B195)</f>
        <v/>
      </c>
    </row>
    <row r="196" ht="15" customHeight="1" s="311">
      <c r="B196" s="385" t="n"/>
      <c r="C196" s="343" t="n"/>
      <c r="D196" s="386" t="n"/>
      <c r="E196" s="343" t="n"/>
      <c r="F196" s="387" t="n"/>
      <c r="G196" s="388" t="n"/>
      <c r="H196" s="343" t="n"/>
      <c r="I196" s="343" t="n"/>
      <c r="J196" s="343" t="n"/>
      <c r="K196" s="343" t="n"/>
      <c r="L196" s="343" t="n"/>
      <c r="M196" s="388" t="n"/>
      <c r="N196" s="343" t="n"/>
      <c r="O196" s="343" t="n"/>
      <c r="P196" s="388" t="n"/>
      <c r="Q196" s="343" t="n"/>
      <c r="R196" s="343" t="n"/>
      <c r="S196" s="389" t="n"/>
      <c r="T196" s="343" t="n"/>
      <c r="U196" s="343" t="n"/>
      <c r="V196" s="389" t="n"/>
      <c r="W196" s="343" t="n"/>
      <c r="X196" s="343" t="n"/>
      <c r="Y196" s="390">
        <f>IF(OR($B196="",$G196=""),"",HYPERLINK("https://calendar.google.com/calendar/render?action=TEMPLATE&amp;text="&amp;ENCODEURL($G196)&amp;"&amp;dates="&amp;TEXT($B196,"YYYYMMDD")&amp;"T"&amp;TEXT($D196,"HHMMSS")&amp;"/"&amp;TEXT($B196+($D196+N($F196)/1440),"YYYYMMDD")&amp;"T"&amp;TEXT(MOD($D196+N($F196)/1440,1),"HHMMSS")&amp;"&amp;ctz=Europe/Madrid&amp;location="&amp;ENCODEURL($P196)&amp;"&amp;details="&amp;ENCODEURL("Cita de "&amp;$M196),"➕ Añadir"))</f>
        <v/>
      </c>
      <c r="Z196" s="391">
        <f>IF(OR($B196="",$V196="4 · Cancelada",$V196="3 · Hecha",N($B196)&lt;TODAY()),"",$B196)</f>
        <v/>
      </c>
    </row>
    <row r="197" ht="15" customHeight="1" s="311">
      <c r="B197" s="385" t="n"/>
      <c r="C197" s="343" t="n"/>
      <c r="D197" s="386" t="n"/>
      <c r="E197" s="343" t="n"/>
      <c r="F197" s="387" t="n"/>
      <c r="G197" s="388" t="n"/>
      <c r="H197" s="343" t="n"/>
      <c r="I197" s="343" t="n"/>
      <c r="J197" s="343" t="n"/>
      <c r="K197" s="343" t="n"/>
      <c r="L197" s="343" t="n"/>
      <c r="M197" s="388" t="n"/>
      <c r="N197" s="343" t="n"/>
      <c r="O197" s="343" t="n"/>
      <c r="P197" s="388" t="n"/>
      <c r="Q197" s="343" t="n"/>
      <c r="R197" s="343" t="n"/>
      <c r="S197" s="389" t="n"/>
      <c r="T197" s="343" t="n"/>
      <c r="U197" s="343" t="n"/>
      <c r="V197" s="389" t="n"/>
      <c r="W197" s="343" t="n"/>
      <c r="X197" s="343" t="n"/>
      <c r="Y197" s="390">
        <f>IF(OR($B197="",$G197=""),"",HYPERLINK("https://calendar.google.com/calendar/render?action=TEMPLATE&amp;text="&amp;ENCODEURL($G197)&amp;"&amp;dates="&amp;TEXT($B197,"YYYYMMDD")&amp;"T"&amp;TEXT($D197,"HHMMSS")&amp;"/"&amp;TEXT($B197+($D197+N($F197)/1440),"YYYYMMDD")&amp;"T"&amp;TEXT(MOD($D197+N($F197)/1440,1),"HHMMSS")&amp;"&amp;ctz=Europe/Madrid&amp;location="&amp;ENCODEURL($P197)&amp;"&amp;details="&amp;ENCODEURL("Cita de "&amp;$M197),"➕ Añadir"))</f>
        <v/>
      </c>
      <c r="Z197" s="391">
        <f>IF(OR($B197="",$V197="4 · Cancelada",$V197="3 · Hecha",N($B197)&lt;TODAY()),"",$B197)</f>
        <v/>
      </c>
    </row>
    <row r="198" ht="15" customHeight="1" s="311">
      <c r="B198" s="385" t="n"/>
      <c r="C198" s="343" t="n"/>
      <c r="D198" s="386" t="n"/>
      <c r="E198" s="343" t="n"/>
      <c r="F198" s="387" t="n"/>
      <c r="G198" s="388" t="n"/>
      <c r="H198" s="343" t="n"/>
      <c r="I198" s="343" t="n"/>
      <c r="J198" s="343" t="n"/>
      <c r="K198" s="343" t="n"/>
      <c r="L198" s="343" t="n"/>
      <c r="M198" s="388" t="n"/>
      <c r="N198" s="343" t="n"/>
      <c r="O198" s="343" t="n"/>
      <c r="P198" s="388" t="n"/>
      <c r="Q198" s="343" t="n"/>
      <c r="R198" s="343" t="n"/>
      <c r="S198" s="389" t="n"/>
      <c r="T198" s="343" t="n"/>
      <c r="U198" s="343" t="n"/>
      <c r="V198" s="389" t="n"/>
      <c r="W198" s="343" t="n"/>
      <c r="X198" s="343" t="n"/>
      <c r="Y198" s="390">
        <f>IF(OR($B198="",$G198=""),"",HYPERLINK("https://calendar.google.com/calendar/render?action=TEMPLATE&amp;text="&amp;ENCODEURL($G198)&amp;"&amp;dates="&amp;TEXT($B198,"YYYYMMDD")&amp;"T"&amp;TEXT($D198,"HHMMSS")&amp;"/"&amp;TEXT($B198+($D198+N($F198)/1440),"YYYYMMDD")&amp;"T"&amp;TEXT(MOD($D198+N($F198)/1440,1),"HHMMSS")&amp;"&amp;ctz=Europe/Madrid&amp;location="&amp;ENCODEURL($P198)&amp;"&amp;details="&amp;ENCODEURL("Cita de "&amp;$M198),"➕ Añadir"))</f>
        <v/>
      </c>
      <c r="Z198" s="391">
        <f>IF(OR($B198="",$V198="4 · Cancelada",$V198="3 · Hecha",N($B198)&lt;TODAY()),"",$B198)</f>
        <v/>
      </c>
    </row>
    <row r="199" ht="15" customHeight="1" s="311">
      <c r="B199" s="385" t="n"/>
      <c r="C199" s="343" t="n"/>
      <c r="D199" s="386" t="n"/>
      <c r="E199" s="343" t="n"/>
      <c r="F199" s="387" t="n"/>
      <c r="G199" s="388" t="n"/>
      <c r="H199" s="343" t="n"/>
      <c r="I199" s="343" t="n"/>
      <c r="J199" s="343" t="n"/>
      <c r="K199" s="343" t="n"/>
      <c r="L199" s="343" t="n"/>
      <c r="M199" s="388" t="n"/>
      <c r="N199" s="343" t="n"/>
      <c r="O199" s="343" t="n"/>
      <c r="P199" s="388" t="n"/>
      <c r="Q199" s="343" t="n"/>
      <c r="R199" s="343" t="n"/>
      <c r="S199" s="389" t="n"/>
      <c r="T199" s="343" t="n"/>
      <c r="U199" s="343" t="n"/>
      <c r="V199" s="389" t="n"/>
      <c r="W199" s="343" t="n"/>
      <c r="X199" s="343" t="n"/>
      <c r="Y199" s="390">
        <f>IF(OR($B199="",$G199=""),"",HYPERLINK("https://calendar.google.com/calendar/render?action=TEMPLATE&amp;text="&amp;ENCODEURL($G199)&amp;"&amp;dates="&amp;TEXT($B199,"YYYYMMDD")&amp;"T"&amp;TEXT($D199,"HHMMSS")&amp;"/"&amp;TEXT($B199+($D199+N($F199)/1440),"YYYYMMDD")&amp;"T"&amp;TEXT(MOD($D199+N($F199)/1440,1),"HHMMSS")&amp;"&amp;ctz=Europe/Madrid&amp;location="&amp;ENCODEURL($P199)&amp;"&amp;details="&amp;ENCODEURL("Cita de "&amp;$M199),"➕ Añadir"))</f>
        <v/>
      </c>
      <c r="Z199" s="391">
        <f>IF(OR($B199="",$V199="4 · Cancelada",$V199="3 · Hecha",N($B199)&lt;TODAY()),"",$B199)</f>
        <v/>
      </c>
    </row>
    <row r="200" ht="15" customHeight="1" s="311">
      <c r="B200" s="385" t="n"/>
      <c r="C200" s="343" t="n"/>
      <c r="D200" s="386" t="n"/>
      <c r="E200" s="343" t="n"/>
      <c r="F200" s="387" t="n"/>
      <c r="G200" s="388" t="n"/>
      <c r="H200" s="343" t="n"/>
      <c r="I200" s="343" t="n"/>
      <c r="J200" s="343" t="n"/>
      <c r="K200" s="343" t="n"/>
      <c r="L200" s="343" t="n"/>
      <c r="M200" s="388" t="n"/>
      <c r="N200" s="343" t="n"/>
      <c r="O200" s="343" t="n"/>
      <c r="P200" s="388" t="n"/>
      <c r="Q200" s="343" t="n"/>
      <c r="R200" s="343" t="n"/>
      <c r="S200" s="389" t="n"/>
      <c r="T200" s="343" t="n"/>
      <c r="U200" s="343" t="n"/>
      <c r="V200" s="389" t="n"/>
      <c r="W200" s="343" t="n"/>
      <c r="X200" s="343" t="n"/>
      <c r="Y200" s="390">
        <f>IF(OR($B200="",$G200=""),"",HYPERLINK("https://calendar.google.com/calendar/render?action=TEMPLATE&amp;text="&amp;ENCODEURL($G200)&amp;"&amp;dates="&amp;TEXT($B200,"YYYYMMDD")&amp;"T"&amp;TEXT($D200,"HHMMSS")&amp;"/"&amp;TEXT($B200+($D200+N($F200)/1440),"YYYYMMDD")&amp;"T"&amp;TEXT(MOD($D200+N($F200)/1440,1),"HHMMSS")&amp;"&amp;ctz=Europe/Madrid&amp;location="&amp;ENCODEURL($P200)&amp;"&amp;details="&amp;ENCODEURL("Cita de "&amp;$M200),"➕ Añadir"))</f>
        <v/>
      </c>
      <c r="Z200" s="391">
        <f>IF(OR($B200="",$V200="4 · Cancelada",$V200="3 · Hecha",N($B200)&lt;TODAY()),"",$B200)</f>
        <v/>
      </c>
    </row>
    <row r="201" ht="15" customHeight="1" s="311">
      <c r="B201" s="385" t="n"/>
      <c r="C201" s="343" t="n"/>
      <c r="D201" s="386" t="n"/>
      <c r="E201" s="343" t="n"/>
      <c r="F201" s="387" t="n"/>
      <c r="G201" s="388" t="n"/>
      <c r="H201" s="343" t="n"/>
      <c r="I201" s="343" t="n"/>
      <c r="J201" s="343" t="n"/>
      <c r="K201" s="343" t="n"/>
      <c r="L201" s="343" t="n"/>
      <c r="M201" s="388" t="n"/>
      <c r="N201" s="343" t="n"/>
      <c r="O201" s="343" t="n"/>
      <c r="P201" s="388" t="n"/>
      <c r="Q201" s="343" t="n"/>
      <c r="R201" s="343" t="n"/>
      <c r="S201" s="389" t="n"/>
      <c r="T201" s="343" t="n"/>
      <c r="U201" s="343" t="n"/>
      <c r="V201" s="389" t="n"/>
      <c r="W201" s="343" t="n"/>
      <c r="X201" s="343" t="n"/>
      <c r="Y201" s="390">
        <f>IF(OR($B201="",$G201=""),"",HYPERLINK("https://calendar.google.com/calendar/render?action=TEMPLATE&amp;text="&amp;ENCODEURL($G201)&amp;"&amp;dates="&amp;TEXT($B201,"YYYYMMDD")&amp;"T"&amp;TEXT($D201,"HHMMSS")&amp;"/"&amp;TEXT($B201+($D201+N($F201)/1440),"YYYYMMDD")&amp;"T"&amp;TEXT(MOD($D201+N($F201)/1440,1),"HHMMSS")&amp;"&amp;ctz=Europe/Madrid&amp;location="&amp;ENCODEURL($P201)&amp;"&amp;details="&amp;ENCODEURL("Cita de "&amp;$M201),"➕ Añadir"))</f>
        <v/>
      </c>
      <c r="Z201" s="391">
        <f>IF(OR($B201="",$V201="4 · Cancelada",$V201="3 · Hecha",N($B201)&lt;TODAY()),"",$B201)</f>
        <v/>
      </c>
    </row>
    <row r="202" ht="15" customHeight="1" s="311">
      <c r="B202" s="385" t="n"/>
      <c r="C202" s="343" t="n"/>
      <c r="D202" s="386" t="n"/>
      <c r="E202" s="343" t="n"/>
      <c r="F202" s="387" t="n"/>
      <c r="G202" s="388" t="n"/>
      <c r="H202" s="343" t="n"/>
      <c r="I202" s="343" t="n"/>
      <c r="J202" s="343" t="n"/>
      <c r="K202" s="343" t="n"/>
      <c r="L202" s="343" t="n"/>
      <c r="M202" s="388" t="n"/>
      <c r="N202" s="343" t="n"/>
      <c r="O202" s="343" t="n"/>
      <c r="P202" s="388" t="n"/>
      <c r="Q202" s="343" t="n"/>
      <c r="R202" s="343" t="n"/>
      <c r="S202" s="389" t="n"/>
      <c r="T202" s="343" t="n"/>
      <c r="U202" s="343" t="n"/>
      <c r="V202" s="389" t="n"/>
      <c r="W202" s="343" t="n"/>
      <c r="X202" s="343" t="n"/>
      <c r="Y202" s="390">
        <f>IF(OR($B202="",$G202=""),"",HYPERLINK("https://calendar.google.com/calendar/render?action=TEMPLATE&amp;text="&amp;ENCODEURL($G202)&amp;"&amp;dates="&amp;TEXT($B202,"YYYYMMDD")&amp;"T"&amp;TEXT($D202,"HHMMSS")&amp;"/"&amp;TEXT($B202+($D202+N($F202)/1440),"YYYYMMDD")&amp;"T"&amp;TEXT(MOD($D202+N($F202)/1440,1),"HHMMSS")&amp;"&amp;ctz=Europe/Madrid&amp;location="&amp;ENCODEURL($P202)&amp;"&amp;details="&amp;ENCODEURL("Cita de "&amp;$M202),"➕ Añadir"))</f>
        <v/>
      </c>
      <c r="Z202" s="391">
        <f>IF(OR($B202="",$V202="4 · Cancelada",$V202="3 · Hecha",N($B202)&lt;TODAY()),"",$B202)</f>
        <v/>
      </c>
    </row>
    <row r="203" ht="15" customHeight="1" s="311">
      <c r="B203" s="385" t="n"/>
      <c r="C203" s="343" t="n"/>
      <c r="D203" s="386" t="n"/>
      <c r="E203" s="343" t="n"/>
      <c r="F203" s="387" t="n"/>
      <c r="G203" s="388" t="n"/>
      <c r="H203" s="343" t="n"/>
      <c r="I203" s="343" t="n"/>
      <c r="J203" s="343" t="n"/>
      <c r="K203" s="343" t="n"/>
      <c r="L203" s="343" t="n"/>
      <c r="M203" s="388" t="n"/>
      <c r="N203" s="343" t="n"/>
      <c r="O203" s="343" t="n"/>
      <c r="P203" s="388" t="n"/>
      <c r="Q203" s="343" t="n"/>
      <c r="R203" s="343" t="n"/>
      <c r="S203" s="389" t="n"/>
      <c r="T203" s="343" t="n"/>
      <c r="U203" s="343" t="n"/>
      <c r="V203" s="389" t="n"/>
      <c r="W203" s="343" t="n"/>
      <c r="X203" s="343" t="n"/>
      <c r="Y203" s="390">
        <f>IF(OR($B203="",$G203=""),"",HYPERLINK("https://calendar.google.com/calendar/render?action=TEMPLATE&amp;text="&amp;ENCODEURL($G203)&amp;"&amp;dates="&amp;TEXT($B203,"YYYYMMDD")&amp;"T"&amp;TEXT($D203,"HHMMSS")&amp;"/"&amp;TEXT($B203+($D203+N($F203)/1440),"YYYYMMDD")&amp;"T"&amp;TEXT(MOD($D203+N($F203)/1440,1),"HHMMSS")&amp;"&amp;ctz=Europe/Madrid&amp;location="&amp;ENCODEURL($P203)&amp;"&amp;details="&amp;ENCODEURL("Cita de "&amp;$M203),"➕ Añadir"))</f>
        <v/>
      </c>
      <c r="Z203" s="391">
        <f>IF(OR($B203="",$V203="4 · Cancelada",$V203="3 · Hecha",N($B203)&lt;TODAY()),"",$B203)</f>
        <v/>
      </c>
    </row>
    <row r="204" ht="15" customHeight="1" s="311">
      <c r="B204" s="385" t="n"/>
      <c r="C204" s="343" t="n"/>
      <c r="D204" s="386" t="n"/>
      <c r="E204" s="343" t="n"/>
      <c r="F204" s="387" t="n"/>
      <c r="G204" s="388" t="n"/>
      <c r="H204" s="343" t="n"/>
      <c r="I204" s="343" t="n"/>
      <c r="J204" s="343" t="n"/>
      <c r="K204" s="343" t="n"/>
      <c r="L204" s="343" t="n"/>
      <c r="M204" s="388" t="n"/>
      <c r="N204" s="343" t="n"/>
      <c r="O204" s="343" t="n"/>
      <c r="P204" s="388" t="n"/>
      <c r="Q204" s="343" t="n"/>
      <c r="R204" s="343" t="n"/>
      <c r="S204" s="389" t="n"/>
      <c r="T204" s="343" t="n"/>
      <c r="U204" s="343" t="n"/>
      <c r="V204" s="389" t="n"/>
      <c r="W204" s="343" t="n"/>
      <c r="X204" s="343" t="n"/>
      <c r="Y204" s="390">
        <f>IF(OR($B204="",$G204=""),"",HYPERLINK("https://calendar.google.com/calendar/render?action=TEMPLATE&amp;text="&amp;ENCODEURL($G204)&amp;"&amp;dates="&amp;TEXT($B204,"YYYYMMDD")&amp;"T"&amp;TEXT($D204,"HHMMSS")&amp;"/"&amp;TEXT($B204+($D204+N($F204)/1440),"YYYYMMDD")&amp;"T"&amp;TEXT(MOD($D204+N($F204)/1440,1),"HHMMSS")&amp;"&amp;ctz=Europe/Madrid&amp;location="&amp;ENCODEURL($P204)&amp;"&amp;details="&amp;ENCODEURL("Cita de "&amp;$M204),"➕ Añadir"))</f>
        <v/>
      </c>
      <c r="Z204" s="391">
        <f>IF(OR($B204="",$V204="4 · Cancelada",$V204="3 · Hecha",N($B204)&lt;TODAY()),"",$B204)</f>
        <v/>
      </c>
    </row>
    <row r="205" ht="15" customHeight="1" s="311">
      <c r="B205" s="385" t="n"/>
      <c r="C205" s="343" t="n"/>
      <c r="D205" s="386" t="n"/>
      <c r="E205" s="343" t="n"/>
      <c r="F205" s="387" t="n"/>
      <c r="G205" s="388" t="n"/>
      <c r="H205" s="343" t="n"/>
      <c r="I205" s="343" t="n"/>
      <c r="J205" s="343" t="n"/>
      <c r="K205" s="343" t="n"/>
      <c r="L205" s="343" t="n"/>
      <c r="M205" s="388" t="n"/>
      <c r="N205" s="343" t="n"/>
      <c r="O205" s="343" t="n"/>
      <c r="P205" s="388" t="n"/>
      <c r="Q205" s="343" t="n"/>
      <c r="R205" s="343" t="n"/>
      <c r="S205" s="389" t="n"/>
      <c r="T205" s="343" t="n"/>
      <c r="U205" s="343" t="n"/>
      <c r="V205" s="389" t="n"/>
      <c r="W205" s="343" t="n"/>
      <c r="X205" s="343" t="n"/>
      <c r="Y205" s="390">
        <f>IF(OR($B205="",$G205=""),"",HYPERLINK("https://calendar.google.com/calendar/render?action=TEMPLATE&amp;text="&amp;ENCODEURL($G205)&amp;"&amp;dates="&amp;TEXT($B205,"YYYYMMDD")&amp;"T"&amp;TEXT($D205,"HHMMSS")&amp;"/"&amp;TEXT($B205+($D205+N($F205)/1440),"YYYYMMDD")&amp;"T"&amp;TEXT(MOD($D205+N($F205)/1440,1),"HHMMSS")&amp;"&amp;ctz=Europe/Madrid&amp;location="&amp;ENCODEURL($P205)&amp;"&amp;details="&amp;ENCODEURL("Cita de "&amp;$M205),"➕ Añadir"))</f>
        <v/>
      </c>
      <c r="Z205" s="391">
        <f>IF(OR($B205="",$V205="4 · Cancelada",$V205="3 · Hecha",N($B205)&lt;TODAY()),"",$B205)</f>
        <v/>
      </c>
    </row>
    <row r="206" ht="15" customHeight="1" s="311">
      <c r="B206" s="385" t="n"/>
      <c r="C206" s="343" t="n"/>
      <c r="D206" s="386" t="n"/>
      <c r="E206" s="343" t="n"/>
      <c r="F206" s="387" t="n"/>
      <c r="G206" s="388" t="n"/>
      <c r="H206" s="343" t="n"/>
      <c r="I206" s="343" t="n"/>
      <c r="J206" s="343" t="n"/>
      <c r="K206" s="343" t="n"/>
      <c r="L206" s="343" t="n"/>
      <c r="M206" s="388" t="n"/>
      <c r="N206" s="343" t="n"/>
      <c r="O206" s="343" t="n"/>
      <c r="P206" s="388" t="n"/>
      <c r="Q206" s="343" t="n"/>
      <c r="R206" s="343" t="n"/>
      <c r="S206" s="389" t="n"/>
      <c r="T206" s="343" t="n"/>
      <c r="U206" s="343" t="n"/>
      <c r="V206" s="389" t="n"/>
      <c r="W206" s="343" t="n"/>
      <c r="X206" s="343" t="n"/>
      <c r="Y206" s="390">
        <f>IF(OR($B206="",$G206=""),"",HYPERLINK("https://calendar.google.com/calendar/render?action=TEMPLATE&amp;text="&amp;ENCODEURL($G206)&amp;"&amp;dates="&amp;TEXT($B206,"YYYYMMDD")&amp;"T"&amp;TEXT($D206,"HHMMSS")&amp;"/"&amp;TEXT($B206+($D206+N($F206)/1440),"YYYYMMDD")&amp;"T"&amp;TEXT(MOD($D206+N($F206)/1440,1),"HHMMSS")&amp;"&amp;ctz=Europe/Madrid&amp;location="&amp;ENCODEURL($P206)&amp;"&amp;details="&amp;ENCODEURL("Cita de "&amp;$M206),"➕ Añadir"))</f>
        <v/>
      </c>
      <c r="Z206" s="391">
        <f>IF(OR($B206="",$V206="4 · Cancelada",$V206="3 · Hecha",N($B206)&lt;TODAY()),"",$B206)</f>
        <v/>
      </c>
    </row>
    <row r="207" ht="15" customHeight="1" s="311">
      <c r="B207" s="385" t="n"/>
      <c r="C207" s="343" t="n"/>
      <c r="D207" s="386" t="n"/>
      <c r="E207" s="343" t="n"/>
      <c r="F207" s="387" t="n"/>
      <c r="G207" s="388" t="n"/>
      <c r="H207" s="343" t="n"/>
      <c r="I207" s="343" t="n"/>
      <c r="J207" s="343" t="n"/>
      <c r="K207" s="343" t="n"/>
      <c r="L207" s="343" t="n"/>
      <c r="M207" s="388" t="n"/>
      <c r="N207" s="343" t="n"/>
      <c r="O207" s="343" t="n"/>
      <c r="P207" s="388" t="n"/>
      <c r="Q207" s="343" t="n"/>
      <c r="R207" s="343" t="n"/>
      <c r="S207" s="389" t="n"/>
      <c r="T207" s="343" t="n"/>
      <c r="U207" s="343" t="n"/>
      <c r="V207" s="389" t="n"/>
      <c r="W207" s="343" t="n"/>
      <c r="X207" s="343" t="n"/>
      <c r="Y207" s="390">
        <f>IF(OR($B207="",$G207=""),"",HYPERLINK("https://calendar.google.com/calendar/render?action=TEMPLATE&amp;text="&amp;ENCODEURL($G207)&amp;"&amp;dates="&amp;TEXT($B207,"YYYYMMDD")&amp;"T"&amp;TEXT($D207,"HHMMSS")&amp;"/"&amp;TEXT($B207+($D207+N($F207)/1440),"YYYYMMDD")&amp;"T"&amp;TEXT(MOD($D207+N($F207)/1440,1),"HHMMSS")&amp;"&amp;ctz=Europe/Madrid&amp;location="&amp;ENCODEURL($P207)&amp;"&amp;details="&amp;ENCODEURL("Cita de "&amp;$M207),"➕ Añadir"))</f>
        <v/>
      </c>
      <c r="Z207" s="391">
        <f>IF(OR($B207="",$V207="4 · Cancelada",$V207="3 · Hecha",N($B207)&lt;TODAY()),"",$B207)</f>
        <v/>
      </c>
    </row>
    <row r="208" ht="15" customHeight="1" s="311">
      <c r="B208" s="385" t="n"/>
      <c r="C208" s="343" t="n"/>
      <c r="D208" s="386" t="n"/>
      <c r="E208" s="343" t="n"/>
      <c r="F208" s="387" t="n"/>
      <c r="G208" s="388" t="n"/>
      <c r="H208" s="343" t="n"/>
      <c r="I208" s="343" t="n"/>
      <c r="J208" s="343" t="n"/>
      <c r="K208" s="343" t="n"/>
      <c r="L208" s="343" t="n"/>
      <c r="M208" s="388" t="n"/>
      <c r="N208" s="343" t="n"/>
      <c r="O208" s="343" t="n"/>
      <c r="P208" s="388" t="n"/>
      <c r="Q208" s="343" t="n"/>
      <c r="R208" s="343" t="n"/>
      <c r="S208" s="389" t="n"/>
      <c r="T208" s="343" t="n"/>
      <c r="U208" s="343" t="n"/>
      <c r="V208" s="389" t="n"/>
      <c r="W208" s="343" t="n"/>
      <c r="X208" s="343" t="n"/>
      <c r="Y208" s="390">
        <f>IF(OR($B208="",$G208=""),"",HYPERLINK("https://calendar.google.com/calendar/render?action=TEMPLATE&amp;text="&amp;ENCODEURL($G208)&amp;"&amp;dates="&amp;TEXT($B208,"YYYYMMDD")&amp;"T"&amp;TEXT($D208,"HHMMSS")&amp;"/"&amp;TEXT($B208+($D208+N($F208)/1440),"YYYYMMDD")&amp;"T"&amp;TEXT(MOD($D208+N($F208)/1440,1),"HHMMSS")&amp;"&amp;ctz=Europe/Madrid&amp;location="&amp;ENCODEURL($P208)&amp;"&amp;details="&amp;ENCODEURL("Cita de "&amp;$M208),"➕ Añadir"))</f>
        <v/>
      </c>
      <c r="Z208" s="391">
        <f>IF(OR($B208="",$V208="4 · Cancelada",$V208="3 · Hecha",N($B208)&lt;TODAY()),"",$B208)</f>
        <v/>
      </c>
    </row>
    <row r="209" ht="15" customHeight="1" s="311">
      <c r="B209" s="385" t="n"/>
      <c r="C209" s="343" t="n"/>
      <c r="D209" s="386" t="n"/>
      <c r="E209" s="343" t="n"/>
      <c r="F209" s="387" t="n"/>
      <c r="G209" s="388" t="n"/>
      <c r="H209" s="343" t="n"/>
      <c r="I209" s="343" t="n"/>
      <c r="J209" s="343" t="n"/>
      <c r="K209" s="343" t="n"/>
      <c r="L209" s="343" t="n"/>
      <c r="M209" s="388" t="n"/>
      <c r="N209" s="343" t="n"/>
      <c r="O209" s="343" t="n"/>
      <c r="P209" s="388" t="n"/>
      <c r="Q209" s="343" t="n"/>
      <c r="R209" s="343" t="n"/>
      <c r="S209" s="389" t="n"/>
      <c r="T209" s="343" t="n"/>
      <c r="U209" s="343" t="n"/>
      <c r="V209" s="389" t="n"/>
      <c r="W209" s="343" t="n"/>
      <c r="X209" s="343" t="n"/>
      <c r="Y209" s="390">
        <f>IF(OR($B209="",$G209=""),"",HYPERLINK("https://calendar.google.com/calendar/render?action=TEMPLATE&amp;text="&amp;ENCODEURL($G209)&amp;"&amp;dates="&amp;TEXT($B209,"YYYYMMDD")&amp;"T"&amp;TEXT($D209,"HHMMSS")&amp;"/"&amp;TEXT($B209+($D209+N($F209)/1440),"YYYYMMDD")&amp;"T"&amp;TEXT(MOD($D209+N($F209)/1440,1),"HHMMSS")&amp;"&amp;ctz=Europe/Madrid&amp;location="&amp;ENCODEURL($P209)&amp;"&amp;details="&amp;ENCODEURL("Cita de "&amp;$M209),"➕ Añadir"))</f>
        <v/>
      </c>
      <c r="Z209" s="391">
        <f>IF(OR($B209="",$V209="4 · Cancelada",$V209="3 · Hecha",N($B209)&lt;TODAY()),"",$B209)</f>
        <v/>
      </c>
    </row>
    <row r="210" ht="15" customHeight="1" s="311">
      <c r="B210" s="385" t="n"/>
      <c r="C210" s="343" t="n"/>
      <c r="D210" s="386" t="n"/>
      <c r="E210" s="343" t="n"/>
      <c r="F210" s="387" t="n"/>
      <c r="G210" s="388" t="n"/>
      <c r="H210" s="343" t="n"/>
      <c r="I210" s="343" t="n"/>
      <c r="J210" s="343" t="n"/>
      <c r="K210" s="343" t="n"/>
      <c r="L210" s="343" t="n"/>
      <c r="M210" s="388" t="n"/>
      <c r="N210" s="343" t="n"/>
      <c r="O210" s="343" t="n"/>
      <c r="P210" s="388" t="n"/>
      <c r="Q210" s="343" t="n"/>
      <c r="R210" s="343" t="n"/>
      <c r="S210" s="389" t="n"/>
      <c r="T210" s="343" t="n"/>
      <c r="U210" s="343" t="n"/>
      <c r="V210" s="389" t="n"/>
      <c r="W210" s="343" t="n"/>
      <c r="X210" s="343" t="n"/>
      <c r="Y210" s="390">
        <f>IF(OR($B210="",$G210=""),"",HYPERLINK("https://calendar.google.com/calendar/render?action=TEMPLATE&amp;text="&amp;ENCODEURL($G210)&amp;"&amp;dates="&amp;TEXT($B210,"YYYYMMDD")&amp;"T"&amp;TEXT($D210,"HHMMSS")&amp;"/"&amp;TEXT($B210+($D210+N($F210)/1440),"YYYYMMDD")&amp;"T"&amp;TEXT(MOD($D210+N($F210)/1440,1),"HHMMSS")&amp;"&amp;ctz=Europe/Madrid&amp;location="&amp;ENCODEURL($P210)&amp;"&amp;details="&amp;ENCODEURL("Cita de "&amp;$M210),"➕ Añadir"))</f>
        <v/>
      </c>
      <c r="Z210" s="391">
        <f>IF(OR($B210="",$V210="4 · Cancelada",$V210="3 · Hecha",N($B210)&lt;TODAY()),"",$B210)</f>
        <v/>
      </c>
    </row>
    <row r="211" ht="15" customHeight="1" s="311">
      <c r="B211" s="385" t="n"/>
      <c r="C211" s="343" t="n"/>
      <c r="D211" s="386" t="n"/>
      <c r="E211" s="343" t="n"/>
      <c r="F211" s="387" t="n"/>
      <c r="G211" s="388" t="n"/>
      <c r="H211" s="343" t="n"/>
      <c r="I211" s="343" t="n"/>
      <c r="J211" s="343" t="n"/>
      <c r="K211" s="343" t="n"/>
      <c r="L211" s="343" t="n"/>
      <c r="M211" s="388" t="n"/>
      <c r="N211" s="343" t="n"/>
      <c r="O211" s="343" t="n"/>
      <c r="P211" s="388" t="n"/>
      <c r="Q211" s="343" t="n"/>
      <c r="R211" s="343" t="n"/>
      <c r="S211" s="389" t="n"/>
      <c r="T211" s="343" t="n"/>
      <c r="U211" s="343" t="n"/>
      <c r="V211" s="389" t="n"/>
      <c r="W211" s="343" t="n"/>
      <c r="X211" s="343" t="n"/>
      <c r="Y211" s="390">
        <f>IF(OR($B211="",$G211=""),"",HYPERLINK("https://calendar.google.com/calendar/render?action=TEMPLATE&amp;text="&amp;ENCODEURL($G211)&amp;"&amp;dates="&amp;TEXT($B211,"YYYYMMDD")&amp;"T"&amp;TEXT($D211,"HHMMSS")&amp;"/"&amp;TEXT($B211+($D211+N($F211)/1440),"YYYYMMDD")&amp;"T"&amp;TEXT(MOD($D211+N($F211)/1440,1),"HHMMSS")&amp;"&amp;ctz=Europe/Madrid&amp;location="&amp;ENCODEURL($P211)&amp;"&amp;details="&amp;ENCODEURL("Cita de "&amp;$M211),"➕ Añadir"))</f>
        <v/>
      </c>
      <c r="Z211" s="391">
        <f>IF(OR($B211="",$V211="4 · Cancelada",$V211="3 · Hecha",N($B211)&lt;TODAY()),"",$B211)</f>
        <v/>
      </c>
    </row>
    <row r="214" ht="21.75" customHeight="1" s="311">
      <c r="B214" s="377" t="inlineStr">
        <is>
          <t>CÓMO CONECTARLO CON GOOGLE CALENDAR</t>
        </is>
      </c>
      <c r="C214" s="378" t="n"/>
      <c r="D214" s="378" t="n"/>
      <c r="E214" s="378" t="n"/>
      <c r="F214" s="378" t="n"/>
      <c r="G214" s="378" t="n"/>
      <c r="H214" s="378" t="n"/>
      <c r="I214" s="378" t="n"/>
      <c r="J214" s="378" t="n"/>
      <c r="K214" s="378" t="n"/>
      <c r="L214" s="378" t="n"/>
      <c r="M214" s="378" t="n"/>
      <c r="N214" s="378" t="n"/>
      <c r="O214" s="378" t="n"/>
      <c r="P214" s="378" t="n"/>
      <c r="Q214" s="378" t="n"/>
      <c r="R214" s="378" t="n"/>
      <c r="S214" s="378" t="n"/>
      <c r="T214" s="378" t="n"/>
      <c r="U214" s="378" t="n"/>
      <c r="V214" s="378" t="n"/>
      <c r="W214" s="378" t="n"/>
      <c r="X214" s="378" t="n"/>
    </row>
    <row r="216">
      <c r="B216" s="392" t="inlineStr">
        <is>
          <t>OPCIÓN A  ·  un clic por cita (no necesita instalar nada)</t>
        </is>
      </c>
    </row>
    <row r="217" ht="28" customHeight="1" s="311">
      <c r="B217" s="340" t="inlineStr">
        <is>
          <t>Rellena la fila y pulsa "➕ Añadir" en la última columna: se abre Google Calendar con el título, la fecha, la hora, la duración y el lugar ya puestos. Solo tienes que darle a Guardar. Funciona igual en Excel y en Google Sheets.</t>
        </is>
      </c>
    </row>
    <row r="219">
      <c r="B219" s="392" t="inlineStr">
        <is>
          <t>OPCIÓN B  ·  sincronización automática (Google Sheets + Apps Script)</t>
        </is>
      </c>
    </row>
    <row r="220" ht="28" customHeight="1" s="311">
      <c r="B220" s="340" t="inlineStr">
        <is>
          <t>Sube este libro a Google Sheets. Menú Extensiones → Apps Script → pega el archivo "citas-google-calendar.gs" que te he dejado en la carpeta → Guardar → Ejecutar "crearCitasEnCalendar" y autoriza. Se crearán en tu calendario todas las citas que no estén canceladas y se marcará la columna Estado. Puedes programarlo cada hora con Activadores.</t>
        </is>
      </c>
    </row>
    <row r="222">
      <c r="B222" s="392" t="inlineStr">
        <is>
          <t>OPCIÓN C  ·  al revés, traer las citas del calendario a esta hoja</t>
        </is>
      </c>
    </row>
    <row r="223" ht="28" customHeight="1" s="311">
      <c r="B223" s="340" t="inlineStr">
        <is>
          <t>El mismo archivo .gs incluye la función "importarDesdeCalendar": lee tu Google Calendar del año elegido en D4 y rellena el registro. Útil la primera vez, para no teclear lo que ya tienes.</t>
        </is>
      </c>
    </row>
    <row r="225">
      <c r="B225" s="392" t="inlineStr">
        <is>
          <t>REGLA DE COLORES</t>
        </is>
      </c>
    </row>
    <row r="226" ht="28" customHeight="1" s="311">
      <c r="B226" s="340" t="inlineStr">
        <is>
          <t>Cada día se pinta con la prioridad MÁS ALTA de ese día: rojo 1 Urgente, naranja 2 Alta, azul 3 Media, verde 4 Baja, gris si la cita no tiene prioridad. Las canceladas no pintan ni cuentan. El día de hoy sale con borde grueso y subrayado. El calendario grande de arriba muestra el mes elegido en el desplegable MES (o el actual, por defecto).</t>
        </is>
      </c>
    </row>
  </sheetData>
  <mergeCells count="1119">
    <mergeCell ref="V181:X181"/>
    <mergeCell ref="V115:X115"/>
    <mergeCell ref="S185:U185"/>
    <mergeCell ref="D187:E187"/>
    <mergeCell ref="G93:L93"/>
    <mergeCell ref="V173:X173"/>
    <mergeCell ref="D174:E174"/>
    <mergeCell ref="B141:C141"/>
    <mergeCell ref="V74:X74"/>
    <mergeCell ref="V123:X123"/>
    <mergeCell ref="P77:R77"/>
    <mergeCell ref="S78:U78"/>
    <mergeCell ref="M81:O81"/>
    <mergeCell ref="V110:X110"/>
    <mergeCell ref="V166:X166"/>
    <mergeCell ref="P204:R204"/>
    <mergeCell ref="G205:L205"/>
    <mergeCell ref="G124:L124"/>
    <mergeCell ref="G180:L180"/>
    <mergeCell ref="P141:R141"/>
    <mergeCell ref="P75:R75"/>
    <mergeCell ref="S80:U80"/>
    <mergeCell ref="V103:X103"/>
    <mergeCell ref="S142:U142"/>
    <mergeCell ref="M145:O145"/>
    <mergeCell ref="V168:X168"/>
    <mergeCell ref="P206:R206"/>
    <mergeCell ref="O32:P32"/>
    <mergeCell ref="S172:U172"/>
    <mergeCell ref="G188:L188"/>
    <mergeCell ref="W50:X50"/>
    <mergeCell ref="D70:E70"/>
    <mergeCell ref="V118:X118"/>
    <mergeCell ref="G182:L182"/>
    <mergeCell ref="P143:R143"/>
    <mergeCell ref="M76:O76"/>
    <mergeCell ref="M209:O209"/>
    <mergeCell ref="M147:O147"/>
    <mergeCell ref="B78:C78"/>
    <mergeCell ref="G119:L119"/>
    <mergeCell ref="D78:E78"/>
    <mergeCell ref="D134:E134"/>
    <mergeCell ref="B205:C205"/>
    <mergeCell ref="D205:E205"/>
    <mergeCell ref="G211:L211"/>
    <mergeCell ref="P207:R207"/>
    <mergeCell ref="M211:O211"/>
    <mergeCell ref="V192:X192"/>
    <mergeCell ref="D71:E71"/>
    <mergeCell ref="S91:U91"/>
    <mergeCell ref="V92:X92"/>
    <mergeCell ref="S156:U156"/>
    <mergeCell ref="G71:L71"/>
    <mergeCell ref="D98:E98"/>
    <mergeCell ref="D73:E73"/>
    <mergeCell ref="S93:U93"/>
    <mergeCell ref="V94:X94"/>
    <mergeCell ref="V121:X121"/>
    <mergeCell ref="S155:U155"/>
    <mergeCell ref="P159:R159"/>
    <mergeCell ref="V194:X194"/>
    <mergeCell ref="S198:U198"/>
    <mergeCell ref="V96:X96"/>
    <mergeCell ref="B154:C154"/>
    <mergeCell ref="S170:U170"/>
    <mergeCell ref="V87:X87"/>
    <mergeCell ref="P96:R96"/>
    <mergeCell ref="R23:V23"/>
    <mergeCell ref="P90:R90"/>
    <mergeCell ref="B129:C129"/>
    <mergeCell ref="P161:R161"/>
    <mergeCell ref="M94:O94"/>
    <mergeCell ref="B200:C200"/>
    <mergeCell ref="P65:R65"/>
    <mergeCell ref="G66:L66"/>
    <mergeCell ref="V98:X98"/>
    <mergeCell ref="G137:L137"/>
    <mergeCell ref="B156:C156"/>
    <mergeCell ref="S199:U199"/>
    <mergeCell ref="V89:X89"/>
    <mergeCell ref="P154:R154"/>
    <mergeCell ref="B131:C131"/>
    <mergeCell ref="M158:O158"/>
    <mergeCell ref="D131:E131"/>
    <mergeCell ref="G74:L74"/>
    <mergeCell ref="G68:L68"/>
    <mergeCell ref="G139:L139"/>
    <mergeCell ref="M95:O95"/>
    <mergeCell ref="S84:U84"/>
    <mergeCell ref="M89:O89"/>
    <mergeCell ref="D124:E124"/>
    <mergeCell ref="V120:X120"/>
    <mergeCell ref="P156:R156"/>
    <mergeCell ref="M160:O160"/>
    <mergeCell ref="D189:E189"/>
    <mergeCell ref="B195:C195"/>
    <mergeCell ref="D195:E195"/>
    <mergeCell ref="I4:K4"/>
    <mergeCell ref="G168:L168"/>
    <mergeCell ref="M97:O97"/>
    <mergeCell ref="D66:E66"/>
    <mergeCell ref="V187:X187"/>
    <mergeCell ref="D126:E126"/>
    <mergeCell ref="D197:E197"/>
    <mergeCell ref="G143:L143"/>
    <mergeCell ref="V174:X174"/>
    <mergeCell ref="M72:O72"/>
    <mergeCell ref="S104:U104"/>
    <mergeCell ref="P108:R108"/>
    <mergeCell ref="V124:X124"/>
    <mergeCell ref="S79:U79"/>
    <mergeCell ref="S150:U150"/>
    <mergeCell ref="V189:X189"/>
    <mergeCell ref="S144:U144"/>
    <mergeCell ref="M184:O184"/>
    <mergeCell ref="B84:C84"/>
    <mergeCell ref="S106:U106"/>
    <mergeCell ref="M171:O171"/>
    <mergeCell ref="V188:X188"/>
    <mergeCell ref="V126:X126"/>
    <mergeCell ref="S192:U192"/>
    <mergeCell ref="S81:U81"/>
    <mergeCell ref="G208:L208"/>
    <mergeCell ref="N9:R9"/>
    <mergeCell ref="P109:R109"/>
    <mergeCell ref="S173:U173"/>
    <mergeCell ref="M113:O113"/>
    <mergeCell ref="B142:C142"/>
    <mergeCell ref="B80:C80"/>
    <mergeCell ref="D142:E142"/>
    <mergeCell ref="M173:O173"/>
    <mergeCell ref="P84:R84"/>
    <mergeCell ref="S145:U145"/>
    <mergeCell ref="P193:R193"/>
    <mergeCell ref="D129:E129"/>
    <mergeCell ref="M148:O148"/>
    <mergeCell ref="V111:X111"/>
    <mergeCell ref="B79:C79"/>
    <mergeCell ref="D79:E79"/>
    <mergeCell ref="B144:C144"/>
    <mergeCell ref="D144:E144"/>
    <mergeCell ref="G112:L112"/>
    <mergeCell ref="P80:R80"/>
    <mergeCell ref="G62:L62"/>
    <mergeCell ref="B81:C81"/>
    <mergeCell ref="M108:O108"/>
    <mergeCell ref="D81:E81"/>
    <mergeCell ref="V142:X142"/>
    <mergeCell ref="V202:X202"/>
    <mergeCell ref="B208:C208"/>
    <mergeCell ref="D208:E208"/>
    <mergeCell ref="V108:X108"/>
    <mergeCell ref="P98:R98"/>
    <mergeCell ref="S99:U99"/>
    <mergeCell ref="D139:E139"/>
    <mergeCell ref="B210:C210"/>
    <mergeCell ref="M85:O85"/>
    <mergeCell ref="S171:U171"/>
    <mergeCell ref="P175:R175"/>
    <mergeCell ref="V137:X137"/>
    <mergeCell ref="G201:L201"/>
    <mergeCell ref="S207:U207"/>
    <mergeCell ref="S92:U92"/>
    <mergeCell ref="P162:R162"/>
    <mergeCell ref="S163:U163"/>
    <mergeCell ref="M166:O166"/>
    <mergeCell ref="B170:C170"/>
    <mergeCell ref="G138:L138"/>
    <mergeCell ref="G76:L76"/>
    <mergeCell ref="P106:R106"/>
    <mergeCell ref="P177:R177"/>
    <mergeCell ref="V139:X139"/>
    <mergeCell ref="G203:L203"/>
    <mergeCell ref="B225:X225"/>
    <mergeCell ref="P93:R93"/>
    <mergeCell ref="S94:U94"/>
    <mergeCell ref="M103:O103"/>
    <mergeCell ref="M159:O159"/>
    <mergeCell ref="P164:R164"/>
    <mergeCell ref="V114:X114"/>
    <mergeCell ref="B172:C172"/>
    <mergeCell ref="B99:C99"/>
    <mergeCell ref="G140:L140"/>
    <mergeCell ref="M118:O118"/>
    <mergeCell ref="M96:O96"/>
    <mergeCell ref="M167:O167"/>
    <mergeCell ref="V195:X195"/>
    <mergeCell ref="M161:O161"/>
    <mergeCell ref="S125:U125"/>
    <mergeCell ref="B92:C92"/>
    <mergeCell ref="G77:L77"/>
    <mergeCell ref="D117:E117"/>
    <mergeCell ref="D92:E92"/>
    <mergeCell ref="M111:O111"/>
    <mergeCell ref="G169:L169"/>
    <mergeCell ref="B5:C5"/>
    <mergeCell ref="D67:E67"/>
    <mergeCell ref="B76:C76"/>
    <mergeCell ref="S62:U62"/>
    <mergeCell ref="M98:O98"/>
    <mergeCell ref="B94:C94"/>
    <mergeCell ref="S176:U176"/>
    <mergeCell ref="D94:E94"/>
    <mergeCell ref="V190:X190"/>
    <mergeCell ref="D69:E69"/>
    <mergeCell ref="S120:U120"/>
    <mergeCell ref="P130:R130"/>
    <mergeCell ref="S191:U191"/>
    <mergeCell ref="S181:U181"/>
    <mergeCell ref="P111:R111"/>
    <mergeCell ref="B150:C150"/>
    <mergeCell ref="S160:U160"/>
    <mergeCell ref="V83:X83"/>
    <mergeCell ref="S131:U131"/>
    <mergeCell ref="P86:R86"/>
    <mergeCell ref="P61:R61"/>
    <mergeCell ref="G87:L87"/>
    <mergeCell ref="V119:X119"/>
    <mergeCell ref="M187:O187"/>
    <mergeCell ref="S97:U97"/>
    <mergeCell ref="B152:C152"/>
    <mergeCell ref="S195:U195"/>
    <mergeCell ref="P150:R150"/>
    <mergeCell ref="G95:L95"/>
    <mergeCell ref="P125:R125"/>
    <mergeCell ref="G89:L89"/>
    <mergeCell ref="M189:O189"/>
    <mergeCell ref="M116:O116"/>
    <mergeCell ref="B145:C145"/>
    <mergeCell ref="G64:L64"/>
    <mergeCell ref="D145:E145"/>
    <mergeCell ref="B181:C181"/>
    <mergeCell ref="G88:L88"/>
    <mergeCell ref="M91:O91"/>
    <mergeCell ref="D210:E210"/>
    <mergeCell ref="P152:R152"/>
    <mergeCell ref="G153:L153"/>
    <mergeCell ref="B87:C87"/>
    <mergeCell ref="B147:C147"/>
    <mergeCell ref="D87:E87"/>
    <mergeCell ref="V208:X208"/>
    <mergeCell ref="D147:E147"/>
    <mergeCell ref="D209:E209"/>
    <mergeCell ref="M155:O155"/>
    <mergeCell ref="G90:L90"/>
    <mergeCell ref="M93:O93"/>
    <mergeCell ref="V109:X109"/>
    <mergeCell ref="G164:L164"/>
    <mergeCell ref="D122:E122"/>
    <mergeCell ref="S113:U113"/>
    <mergeCell ref="V145:X145"/>
    <mergeCell ref="R32:V32"/>
    <mergeCell ref="S100:U100"/>
    <mergeCell ref="V210:X210"/>
    <mergeCell ref="D211:E211"/>
    <mergeCell ref="M205:O205"/>
    <mergeCell ref="P176:R176"/>
    <mergeCell ref="P114:R114"/>
    <mergeCell ref="V76:X76"/>
    <mergeCell ref="S115:U115"/>
    <mergeCell ref="V147:X147"/>
    <mergeCell ref="M180:O180"/>
    <mergeCell ref="D82:E82"/>
    <mergeCell ref="S102:U102"/>
    <mergeCell ref="V203:X203"/>
    <mergeCell ref="V209:X209"/>
    <mergeCell ref="W23:X23"/>
    <mergeCell ref="B207:C207"/>
    <mergeCell ref="B163:C163"/>
    <mergeCell ref="P178:R178"/>
    <mergeCell ref="V140:X140"/>
    <mergeCell ref="S179:U179"/>
    <mergeCell ref="M182:O182"/>
    <mergeCell ref="P105:R105"/>
    <mergeCell ref="B41:F41"/>
    <mergeCell ref="P99:R99"/>
    <mergeCell ref="B113:C113"/>
    <mergeCell ref="S166:U166"/>
    <mergeCell ref="V63:X63"/>
    <mergeCell ref="M169:O169"/>
    <mergeCell ref="B100:C100"/>
    <mergeCell ref="G141:L141"/>
    <mergeCell ref="D100:E100"/>
    <mergeCell ref="G190:L190"/>
    <mergeCell ref="B165:C165"/>
    <mergeCell ref="S208:U208"/>
    <mergeCell ref="N7:R7"/>
    <mergeCell ref="P107:R107"/>
    <mergeCell ref="P101:R101"/>
    <mergeCell ref="B115:C115"/>
    <mergeCell ref="G83:L83"/>
    <mergeCell ref="B102:C102"/>
    <mergeCell ref="M183:O183"/>
    <mergeCell ref="D158:E158"/>
    <mergeCell ref="B77:C77"/>
    <mergeCell ref="M104:O104"/>
    <mergeCell ref="D77:E77"/>
    <mergeCell ref="M164:O164"/>
    <mergeCell ref="D108:E108"/>
    <mergeCell ref="S128:U128"/>
    <mergeCell ref="D160:E160"/>
    <mergeCell ref="P102:R102"/>
    <mergeCell ref="V66:X66"/>
    <mergeCell ref="M106:O106"/>
    <mergeCell ref="D141:E141"/>
    <mergeCell ref="D135:E135"/>
    <mergeCell ref="T9:X9"/>
    <mergeCell ref="S157:U157"/>
    <mergeCell ref="V158:X158"/>
    <mergeCell ref="P196:R196"/>
    <mergeCell ref="P183:R183"/>
    <mergeCell ref="B191:C191"/>
    <mergeCell ref="V193:X193"/>
    <mergeCell ref="D72:E72"/>
    <mergeCell ref="P62:R62"/>
    <mergeCell ref="S63:U63"/>
    <mergeCell ref="P133:R133"/>
    <mergeCell ref="M66:O66"/>
    <mergeCell ref="V95:X95"/>
    <mergeCell ref="P127:R127"/>
    <mergeCell ref="G159:L159"/>
    <mergeCell ref="B178:C178"/>
    <mergeCell ref="V160:X160"/>
    <mergeCell ref="M197:O197"/>
    <mergeCell ref="S197:U197"/>
    <mergeCell ref="P198:R198"/>
    <mergeCell ref="V135:X135"/>
    <mergeCell ref="V61:X61"/>
    <mergeCell ref="G96:L96"/>
    <mergeCell ref="M130:O130"/>
    <mergeCell ref="V122:X122"/>
    <mergeCell ref="M68:O68"/>
    <mergeCell ref="P135:R135"/>
    <mergeCell ref="G161:L161"/>
    <mergeCell ref="P191:R191"/>
    <mergeCell ref="M117:O117"/>
    <mergeCell ref="M188:O188"/>
    <mergeCell ref="M67:O67"/>
    <mergeCell ref="M5:O5"/>
    <mergeCell ref="G98:L98"/>
    <mergeCell ref="D113:E113"/>
    <mergeCell ref="M132:O132"/>
    <mergeCell ref="B63:C63"/>
    <mergeCell ref="M119:O119"/>
    <mergeCell ref="D88:E88"/>
    <mergeCell ref="B197:C197"/>
    <mergeCell ref="D148:E148"/>
    <mergeCell ref="M69:O69"/>
    <mergeCell ref="G156:L156"/>
    <mergeCell ref="D115:E115"/>
    <mergeCell ref="B90:C90"/>
    <mergeCell ref="V211:X211"/>
    <mergeCell ref="D90:E90"/>
    <mergeCell ref="P67:R67"/>
    <mergeCell ref="S116:U116"/>
    <mergeCell ref="P186:R186"/>
    <mergeCell ref="V148:X148"/>
    <mergeCell ref="G187:L187"/>
    <mergeCell ref="S103:U103"/>
    <mergeCell ref="S152:U152"/>
    <mergeCell ref="P82:R82"/>
    <mergeCell ref="G108:L108"/>
    <mergeCell ref="S205:U205"/>
    <mergeCell ref="M208:O208"/>
    <mergeCell ref="S118:U118"/>
    <mergeCell ref="B214:X214"/>
    <mergeCell ref="V146:X146"/>
    <mergeCell ref="P171:R171"/>
    <mergeCell ref="P146:R146"/>
    <mergeCell ref="S210:U210"/>
    <mergeCell ref="W32:X32"/>
    <mergeCell ref="B179:C179"/>
    <mergeCell ref="M210:O210"/>
    <mergeCell ref="D179:E179"/>
    <mergeCell ref="G91:L91"/>
    <mergeCell ref="P121:R121"/>
    <mergeCell ref="B166:C166"/>
    <mergeCell ref="P181:R181"/>
    <mergeCell ref="D166:E166"/>
    <mergeCell ref="N8:R8"/>
    <mergeCell ref="S147:U147"/>
    <mergeCell ref="M185:O185"/>
    <mergeCell ref="G109:L109"/>
    <mergeCell ref="B116:C116"/>
    <mergeCell ref="G84:L84"/>
    <mergeCell ref="B103:C103"/>
    <mergeCell ref="B174:C174"/>
    <mergeCell ref="D103:E103"/>
    <mergeCell ref="M122:O122"/>
    <mergeCell ref="P123:R123"/>
    <mergeCell ref="B168:C168"/>
    <mergeCell ref="G193:L193"/>
    <mergeCell ref="D168:E168"/>
    <mergeCell ref="P110:R110"/>
    <mergeCell ref="G111:L111"/>
    <mergeCell ref="B118:C118"/>
    <mergeCell ref="V130:X130"/>
    <mergeCell ref="V68:X68"/>
    <mergeCell ref="B9:F9"/>
    <mergeCell ref="D118:E118"/>
    <mergeCell ref="S134:U134"/>
    <mergeCell ref="G86:L86"/>
    <mergeCell ref="D167:E167"/>
    <mergeCell ref="D180:E180"/>
    <mergeCell ref="M186:O186"/>
    <mergeCell ref="D161:E161"/>
    <mergeCell ref="G151:L151"/>
    <mergeCell ref="G178:L178"/>
    <mergeCell ref="V67:X67"/>
    <mergeCell ref="M107:O107"/>
    <mergeCell ref="V5:X5"/>
    <mergeCell ref="S71:U71"/>
    <mergeCell ref="V159:X159"/>
    <mergeCell ref="V97:X97"/>
    <mergeCell ref="B169:C169"/>
    <mergeCell ref="M201:O201"/>
    <mergeCell ref="D169:E169"/>
    <mergeCell ref="V72:X72"/>
    <mergeCell ref="V69:X69"/>
    <mergeCell ref="G209:L209"/>
    <mergeCell ref="P72:R72"/>
    <mergeCell ref="S73:U73"/>
    <mergeCell ref="M138:O138"/>
    <mergeCell ref="P199:R199"/>
    <mergeCell ref="V161:X161"/>
    <mergeCell ref="M203:O203"/>
    <mergeCell ref="B134:C134"/>
    <mergeCell ref="D63:E63"/>
    <mergeCell ref="V136:X136"/>
    <mergeCell ref="G175:L175"/>
    <mergeCell ref="B194:C194"/>
    <mergeCell ref="S66:U66"/>
    <mergeCell ref="B121:C121"/>
    <mergeCell ref="P136:R136"/>
    <mergeCell ref="P70:R70"/>
    <mergeCell ref="G162:L162"/>
    <mergeCell ref="M140:O140"/>
    <mergeCell ref="M196:O196"/>
    <mergeCell ref="B96:C96"/>
    <mergeCell ref="B71:C71"/>
    <mergeCell ref="D96:E96"/>
    <mergeCell ref="G177:L177"/>
    <mergeCell ref="G148:L148"/>
    <mergeCell ref="G204:L204"/>
    <mergeCell ref="S68:U68"/>
    <mergeCell ref="M77:O77"/>
    <mergeCell ref="G104:L104"/>
    <mergeCell ref="M133:O133"/>
    <mergeCell ref="P134:R134"/>
    <mergeCell ref="P200:R200"/>
    <mergeCell ref="M198:O198"/>
    <mergeCell ref="M204:O204"/>
    <mergeCell ref="B98:C98"/>
    <mergeCell ref="G114:L114"/>
    <mergeCell ref="S141:U141"/>
    <mergeCell ref="G206:L206"/>
    <mergeCell ref="D116:E116"/>
    <mergeCell ref="M135:O135"/>
    <mergeCell ref="S124:U124"/>
    <mergeCell ref="M62:O62"/>
    <mergeCell ref="B162:C162"/>
    <mergeCell ref="D91:E91"/>
    <mergeCell ref="D162:E162"/>
    <mergeCell ref="D156:E156"/>
    <mergeCell ref="G99:L99"/>
    <mergeCell ref="V62:X62"/>
    <mergeCell ref="S178:U178"/>
    <mergeCell ref="V179:X179"/>
    <mergeCell ref="D106:E106"/>
    <mergeCell ref="R41:V41"/>
    <mergeCell ref="D93:E93"/>
    <mergeCell ref="P83:R83"/>
    <mergeCell ref="J41:N41"/>
    <mergeCell ref="M87:O87"/>
    <mergeCell ref="V116:X116"/>
    <mergeCell ref="B187:C187"/>
    <mergeCell ref="S119:U119"/>
    <mergeCell ref="V91:X91"/>
    <mergeCell ref="P129:R129"/>
    <mergeCell ref="G130:L130"/>
    <mergeCell ref="V85:X85"/>
    <mergeCell ref="T7:X7"/>
    <mergeCell ref="M193:O193"/>
    <mergeCell ref="V82:X82"/>
    <mergeCell ref="G117:L117"/>
    <mergeCell ref="D157:E157"/>
    <mergeCell ref="P85:R85"/>
    <mergeCell ref="B124:C124"/>
    <mergeCell ref="B217:X217"/>
    <mergeCell ref="B189:C189"/>
    <mergeCell ref="G41:H41"/>
    <mergeCell ref="G67:L67"/>
    <mergeCell ref="G61:L61"/>
    <mergeCell ref="P131:R131"/>
    <mergeCell ref="G132:L132"/>
    <mergeCell ref="P187:R187"/>
    <mergeCell ref="G122:L122"/>
    <mergeCell ref="M88:O88"/>
    <mergeCell ref="B50:F50"/>
    <mergeCell ref="P149:R149"/>
    <mergeCell ref="M82:O82"/>
    <mergeCell ref="B126:C126"/>
    <mergeCell ref="M153:O153"/>
    <mergeCell ref="P174:R174"/>
    <mergeCell ref="B188:C188"/>
    <mergeCell ref="D182:E182"/>
    <mergeCell ref="B109:C109"/>
    <mergeCell ref="P124:R124"/>
    <mergeCell ref="D109:E109"/>
    <mergeCell ref="G125:L125"/>
    <mergeCell ref="P189:R189"/>
    <mergeCell ref="V151:X151"/>
    <mergeCell ref="G186:L186"/>
    <mergeCell ref="M90:O90"/>
    <mergeCell ref="P151:R151"/>
    <mergeCell ref="D119:E119"/>
    <mergeCell ref="B190:C190"/>
    <mergeCell ref="D190:E190"/>
    <mergeCell ref="V167:X167"/>
    <mergeCell ref="B60:Y60"/>
    <mergeCell ref="M65:O65"/>
    <mergeCell ref="P126:R126"/>
    <mergeCell ref="G152:L152"/>
    <mergeCell ref="D111:E111"/>
    <mergeCell ref="G127:L127"/>
    <mergeCell ref="H9:L9"/>
    <mergeCell ref="V182:X182"/>
    <mergeCell ref="D183:E183"/>
    <mergeCell ref="B12:F12"/>
    <mergeCell ref="S137:U137"/>
    <mergeCell ref="V169:X169"/>
    <mergeCell ref="D104:E104"/>
    <mergeCell ref="S74:U74"/>
    <mergeCell ref="V75:X75"/>
    <mergeCell ref="P78:R78"/>
    <mergeCell ref="V162:X162"/>
    <mergeCell ref="S139:U139"/>
    <mergeCell ref="D185:E185"/>
    <mergeCell ref="M179:O179"/>
    <mergeCell ref="S201:U201"/>
    <mergeCell ref="B73:C73"/>
    <mergeCell ref="S5:U5"/>
    <mergeCell ref="P71:R71"/>
    <mergeCell ref="S76:U76"/>
    <mergeCell ref="S138:U138"/>
    <mergeCell ref="M141:O141"/>
    <mergeCell ref="P142:R142"/>
    <mergeCell ref="V164:X164"/>
    <mergeCell ref="V177:X177"/>
    <mergeCell ref="P202:R202"/>
    <mergeCell ref="S168:U168"/>
    <mergeCell ref="M206:O206"/>
    <mergeCell ref="B137:C137"/>
    <mergeCell ref="D137:E137"/>
    <mergeCell ref="P79:R79"/>
    <mergeCell ref="G105:L105"/>
    <mergeCell ref="S140:U140"/>
    <mergeCell ref="P73:R73"/>
    <mergeCell ref="M83:O83"/>
    <mergeCell ref="M143:O143"/>
    <mergeCell ref="P144:R144"/>
    <mergeCell ref="S167:U167"/>
    <mergeCell ref="B74:C74"/>
    <mergeCell ref="G4:H4"/>
    <mergeCell ref="B68:C68"/>
    <mergeCell ref="D74:E74"/>
    <mergeCell ref="G120:L120"/>
    <mergeCell ref="D68:E68"/>
    <mergeCell ref="D130:E130"/>
    <mergeCell ref="B139:C139"/>
    <mergeCell ref="B201:C201"/>
    <mergeCell ref="D201:E201"/>
    <mergeCell ref="G107:L107"/>
    <mergeCell ref="D188:E188"/>
    <mergeCell ref="B114:C114"/>
    <mergeCell ref="S169:U169"/>
    <mergeCell ref="M207:O207"/>
    <mergeCell ref="S165:U165"/>
    <mergeCell ref="V88:X88"/>
    <mergeCell ref="B203:C203"/>
    <mergeCell ref="D132:E132"/>
    <mergeCell ref="V180:X180"/>
    <mergeCell ref="M78:O78"/>
    <mergeCell ref="D178:E178"/>
    <mergeCell ref="V155:X155"/>
    <mergeCell ref="B7:F7"/>
    <mergeCell ref="V93:X93"/>
    <mergeCell ref="D172:E172"/>
    <mergeCell ref="S200:U200"/>
    <mergeCell ref="P155:R155"/>
    <mergeCell ref="V117:X117"/>
    <mergeCell ref="S194:U194"/>
    <mergeCell ref="G69:L69"/>
    <mergeCell ref="V157:X157"/>
    <mergeCell ref="V132:X132"/>
    <mergeCell ref="G196:L196"/>
    <mergeCell ref="S87:U87"/>
    <mergeCell ref="P157:R157"/>
    <mergeCell ref="G133:L133"/>
    <mergeCell ref="B223:X223"/>
    <mergeCell ref="P172:R172"/>
    <mergeCell ref="B220:X220"/>
    <mergeCell ref="B67:C67"/>
    <mergeCell ref="S89:U89"/>
    <mergeCell ref="B61:C61"/>
    <mergeCell ref="M154:O154"/>
    <mergeCell ref="D61:E61"/>
    <mergeCell ref="O41:P41"/>
    <mergeCell ref="S64:U64"/>
    <mergeCell ref="G200:L200"/>
    <mergeCell ref="G135:L135"/>
    <mergeCell ref="S162:U162"/>
    <mergeCell ref="P165:R165"/>
    <mergeCell ref="B69:C69"/>
    <mergeCell ref="M156:O156"/>
    <mergeCell ref="D125:E125"/>
    <mergeCell ref="B112:C112"/>
    <mergeCell ref="P5:R5"/>
    <mergeCell ref="G202:L202"/>
    <mergeCell ref="D112:E112"/>
    <mergeCell ref="M131:O131"/>
    <mergeCell ref="V183:X183"/>
    <mergeCell ref="D62:E62"/>
    <mergeCell ref="B127:C127"/>
    <mergeCell ref="S187:U187"/>
    <mergeCell ref="D193:E193"/>
    <mergeCell ref="D127:E127"/>
    <mergeCell ref="S184:U184"/>
    <mergeCell ref="S174:U174"/>
    <mergeCell ref="D176:E176"/>
    <mergeCell ref="D114:E114"/>
    <mergeCell ref="P104:R104"/>
    <mergeCell ref="J50:N50"/>
    <mergeCell ref="B64:C64"/>
    <mergeCell ref="V185:X185"/>
    <mergeCell ref="D64:E64"/>
    <mergeCell ref="S189:U189"/>
    <mergeCell ref="V112:X112"/>
    <mergeCell ref="V106:X106"/>
    <mergeCell ref="S77:U77"/>
    <mergeCell ref="V78:X78"/>
    <mergeCell ref="V105:X105"/>
    <mergeCell ref="P81:R81"/>
    <mergeCell ref="S182:U182"/>
    <mergeCell ref="G82:L82"/>
    <mergeCell ref="G12:H12"/>
    <mergeCell ref="M109:O109"/>
    <mergeCell ref="B138:C138"/>
    <mergeCell ref="D138:E138"/>
    <mergeCell ref="P170:R170"/>
    <mergeCell ref="B209:C209"/>
    <mergeCell ref="S190:U190"/>
    <mergeCell ref="M84:O84"/>
    <mergeCell ref="V197:X197"/>
    <mergeCell ref="P145:R145"/>
    <mergeCell ref="V107:X107"/>
    <mergeCell ref="G146:L146"/>
    <mergeCell ref="G171:L171"/>
    <mergeCell ref="M75:O75"/>
    <mergeCell ref="V171:X171"/>
    <mergeCell ref="D203:E203"/>
    <mergeCell ref="G121:L121"/>
    <mergeCell ref="B140:C140"/>
    <mergeCell ref="V201:X201"/>
    <mergeCell ref="D140:E140"/>
    <mergeCell ref="P160:R160"/>
    <mergeCell ref="M86:O86"/>
    <mergeCell ref="P209:R209"/>
    <mergeCell ref="P147:R147"/>
    <mergeCell ref="M80:O80"/>
    <mergeCell ref="V138:X138"/>
    <mergeCell ref="G123:L123"/>
    <mergeCell ref="D204:E204"/>
    <mergeCell ref="S158:U158"/>
    <mergeCell ref="D198:E198"/>
    <mergeCell ref="G110:L110"/>
    <mergeCell ref="V104:X104"/>
    <mergeCell ref="B8:F8"/>
    <mergeCell ref="S108:U108"/>
    <mergeCell ref="V196:X196"/>
    <mergeCell ref="D75:E75"/>
    <mergeCell ref="S95:U95"/>
    <mergeCell ref="D206:E206"/>
    <mergeCell ref="H7:L7"/>
    <mergeCell ref="D181:E181"/>
    <mergeCell ref="V133:X133"/>
    <mergeCell ref="S88:U88"/>
    <mergeCell ref="S159:U159"/>
    <mergeCell ref="P92:R92"/>
    <mergeCell ref="V198:X198"/>
    <mergeCell ref="S153:U153"/>
    <mergeCell ref="M162:O162"/>
    <mergeCell ref="P163:R163"/>
    <mergeCell ref="G72:L72"/>
    <mergeCell ref="B158:C158"/>
    <mergeCell ref="P173:R173"/>
    <mergeCell ref="J5:L5"/>
    <mergeCell ref="S90:U90"/>
    <mergeCell ref="P100:R100"/>
    <mergeCell ref="S161:U161"/>
    <mergeCell ref="P94:R94"/>
    <mergeCell ref="M177:O177"/>
    <mergeCell ref="S188:U188"/>
    <mergeCell ref="S126:U126"/>
    <mergeCell ref="B95:C95"/>
    <mergeCell ref="G136:L136"/>
    <mergeCell ref="G70:L70"/>
    <mergeCell ref="B89:C89"/>
    <mergeCell ref="B160:C160"/>
    <mergeCell ref="D89:E89"/>
    <mergeCell ref="M70:O70"/>
    <mergeCell ref="M170:O170"/>
    <mergeCell ref="M157:O157"/>
    <mergeCell ref="P158:R158"/>
    <mergeCell ref="S121:U121"/>
    <mergeCell ref="B97:C97"/>
    <mergeCell ref="B153:C153"/>
    <mergeCell ref="D153:E153"/>
    <mergeCell ref="M172:O172"/>
    <mergeCell ref="P95:R95"/>
    <mergeCell ref="B72:C72"/>
    <mergeCell ref="V84:X84"/>
    <mergeCell ref="M99:O99"/>
    <mergeCell ref="B199:C199"/>
    <mergeCell ref="D128:E128"/>
    <mergeCell ref="D199:E199"/>
    <mergeCell ref="D186:E186"/>
    <mergeCell ref="B184:C184"/>
    <mergeCell ref="V186:X186"/>
    <mergeCell ref="D65:E65"/>
    <mergeCell ref="P120:R120"/>
    <mergeCell ref="V153:X153"/>
    <mergeCell ref="G65:L65"/>
    <mergeCell ref="V128:X128"/>
    <mergeCell ref="D194:E194"/>
    <mergeCell ref="M61:O61"/>
    <mergeCell ref="B23:F23"/>
    <mergeCell ref="G154:L154"/>
    <mergeCell ref="P184:R184"/>
    <mergeCell ref="B88:C88"/>
    <mergeCell ref="G129:L129"/>
    <mergeCell ref="B82:C82"/>
    <mergeCell ref="B148:C148"/>
    <mergeCell ref="M175:O175"/>
    <mergeCell ref="S85:U85"/>
    <mergeCell ref="M150:O150"/>
    <mergeCell ref="G85:L85"/>
    <mergeCell ref="M125:O125"/>
    <mergeCell ref="P211:R211"/>
    <mergeCell ref="G183:L183"/>
    <mergeCell ref="M112:O112"/>
    <mergeCell ref="B146:C146"/>
    <mergeCell ref="G131:L131"/>
    <mergeCell ref="D146:E146"/>
    <mergeCell ref="S193:U193"/>
    <mergeCell ref="B108:C108"/>
    <mergeCell ref="P148:R148"/>
    <mergeCell ref="G149:L149"/>
    <mergeCell ref="S149:U149"/>
    <mergeCell ref="M127:O127"/>
    <mergeCell ref="M152:O152"/>
    <mergeCell ref="G198:L198"/>
    <mergeCell ref="B83:C83"/>
    <mergeCell ref="M176:O176"/>
    <mergeCell ref="M114:O114"/>
    <mergeCell ref="D83:E83"/>
    <mergeCell ref="B143:C143"/>
    <mergeCell ref="D143:E143"/>
    <mergeCell ref="G185:L185"/>
    <mergeCell ref="V204:X204"/>
    <mergeCell ref="S180:U180"/>
    <mergeCell ref="V141:X141"/>
    <mergeCell ref="S96:U96"/>
    <mergeCell ref="B85:C85"/>
    <mergeCell ref="G126:L126"/>
    <mergeCell ref="D85:E85"/>
    <mergeCell ref="V206:X206"/>
    <mergeCell ref="D207:E207"/>
    <mergeCell ref="H8:L8"/>
    <mergeCell ref="S111:U111"/>
    <mergeCell ref="P115:R115"/>
    <mergeCell ref="V143:X143"/>
    <mergeCell ref="V199:X199"/>
    <mergeCell ref="S98:U98"/>
    <mergeCell ref="V99:X99"/>
    <mergeCell ref="S203:U203"/>
    <mergeCell ref="S209:U209"/>
    <mergeCell ref="B159:C159"/>
    <mergeCell ref="S175:U175"/>
    <mergeCell ref="G78:L78"/>
    <mergeCell ref="D159:E159"/>
    <mergeCell ref="P179:R179"/>
    <mergeCell ref="S211:U211"/>
    <mergeCell ref="D80:E80"/>
    <mergeCell ref="M105:O105"/>
    <mergeCell ref="P166:R166"/>
    <mergeCell ref="S112:U112"/>
    <mergeCell ref="B167:C167"/>
    <mergeCell ref="P116:R116"/>
    <mergeCell ref="G142:L142"/>
    <mergeCell ref="B161:C161"/>
    <mergeCell ref="G80:L80"/>
    <mergeCell ref="M120:O120"/>
    <mergeCell ref="S204:U204"/>
    <mergeCell ref="P103:R103"/>
    <mergeCell ref="P97:R97"/>
    <mergeCell ref="B111:C111"/>
    <mergeCell ref="B136:C136"/>
    <mergeCell ref="M101:O101"/>
    <mergeCell ref="D136:E136"/>
    <mergeCell ref="M163:O163"/>
    <mergeCell ref="P168:R168"/>
    <mergeCell ref="G79:L79"/>
    <mergeCell ref="G73:L73"/>
    <mergeCell ref="D154:E154"/>
    <mergeCell ref="G144:L144"/>
    <mergeCell ref="S206:U206"/>
    <mergeCell ref="M100:O100"/>
    <mergeCell ref="B175:C175"/>
    <mergeCell ref="V125:X125"/>
    <mergeCell ref="M165:O165"/>
    <mergeCell ref="D200:E200"/>
    <mergeCell ref="V90:X90"/>
    <mergeCell ref="M115:O115"/>
    <mergeCell ref="V65:X65"/>
    <mergeCell ref="G173:L173"/>
    <mergeCell ref="M102:O102"/>
    <mergeCell ref="D202:E202"/>
    <mergeCell ref="P192:R192"/>
    <mergeCell ref="V154:X154"/>
    <mergeCell ref="S109:U109"/>
    <mergeCell ref="P113:R113"/>
    <mergeCell ref="V129:X129"/>
    <mergeCell ref="V200:X200"/>
    <mergeCell ref="O4:X4"/>
    <mergeCell ref="P63:R63"/>
    <mergeCell ref="G155:L155"/>
    <mergeCell ref="B226:X226"/>
    <mergeCell ref="P194:R194"/>
    <mergeCell ref="V156:X156"/>
    <mergeCell ref="V131:X131"/>
    <mergeCell ref="G170:L170"/>
    <mergeCell ref="S86:U86"/>
    <mergeCell ref="S61:U61"/>
    <mergeCell ref="B32:F32"/>
    <mergeCell ref="M64:O64"/>
    <mergeCell ref="J23:N23"/>
    <mergeCell ref="S122:U122"/>
    <mergeCell ref="G157:L157"/>
    <mergeCell ref="M191:O191"/>
    <mergeCell ref="B222:X222"/>
    <mergeCell ref="B91:C91"/>
    <mergeCell ref="M178:O178"/>
    <mergeCell ref="S101:U101"/>
    <mergeCell ref="G101:L101"/>
    <mergeCell ref="G172:L172"/>
    <mergeCell ref="G199:L199"/>
    <mergeCell ref="M128:O128"/>
    <mergeCell ref="S186:U186"/>
    <mergeCell ref="B155:C155"/>
    <mergeCell ref="D84:E84"/>
    <mergeCell ref="B93:C93"/>
    <mergeCell ref="G23:H23"/>
    <mergeCell ref="B149:C149"/>
    <mergeCell ref="D155:E155"/>
    <mergeCell ref="D149:E149"/>
    <mergeCell ref="M168:O168"/>
    <mergeCell ref="P91:R91"/>
    <mergeCell ref="B193:C193"/>
    <mergeCell ref="G92:L92"/>
    <mergeCell ref="M192:O192"/>
    <mergeCell ref="B86:C86"/>
    <mergeCell ref="V207:X207"/>
    <mergeCell ref="D86:E86"/>
    <mergeCell ref="B151:C151"/>
    <mergeCell ref="D151:E151"/>
    <mergeCell ref="B101:C101"/>
    <mergeCell ref="V113:X113"/>
    <mergeCell ref="S148:U148"/>
    <mergeCell ref="V149:X149"/>
    <mergeCell ref="D150:E150"/>
    <mergeCell ref="V205:X205"/>
    <mergeCell ref="P205:R205"/>
    <mergeCell ref="B182:C182"/>
    <mergeCell ref="S114:U114"/>
    <mergeCell ref="G150:L150"/>
    <mergeCell ref="P180:R180"/>
    <mergeCell ref="P118:R118"/>
    <mergeCell ref="V80:X80"/>
    <mergeCell ref="P167:R167"/>
    <mergeCell ref="G106:L106"/>
    <mergeCell ref="M146:O146"/>
    <mergeCell ref="D4:E4"/>
    <mergeCell ref="P117:R117"/>
    <mergeCell ref="B211:C211"/>
    <mergeCell ref="G81:L81"/>
    <mergeCell ref="M181:O181"/>
    <mergeCell ref="S105:U105"/>
    <mergeCell ref="S143:U143"/>
    <mergeCell ref="V144:X144"/>
    <mergeCell ref="P182:R182"/>
    <mergeCell ref="P169:R169"/>
    <mergeCell ref="B183:C183"/>
    <mergeCell ref="B177:C177"/>
    <mergeCell ref="D177:E177"/>
    <mergeCell ref="B104:C104"/>
    <mergeCell ref="P119:R119"/>
    <mergeCell ref="G145:L145"/>
    <mergeCell ref="B164:C164"/>
    <mergeCell ref="M123:O123"/>
    <mergeCell ref="D164:E164"/>
    <mergeCell ref="G194:L194"/>
    <mergeCell ref="G181:L181"/>
    <mergeCell ref="M110:O110"/>
    <mergeCell ref="V64:X64"/>
    <mergeCell ref="S130:U130"/>
    <mergeCell ref="G160:L160"/>
    <mergeCell ref="B206:C206"/>
    <mergeCell ref="B106:C106"/>
    <mergeCell ref="S117:U117"/>
    <mergeCell ref="G147:L147"/>
    <mergeCell ref="G174:L174"/>
    <mergeCell ref="M174:O174"/>
    <mergeCell ref="S67:U67"/>
    <mergeCell ref="S132:U132"/>
    <mergeCell ref="G189:L189"/>
    <mergeCell ref="D99:E99"/>
    <mergeCell ref="B66:C66"/>
    <mergeCell ref="V170:X170"/>
    <mergeCell ref="S69:U69"/>
    <mergeCell ref="B180:C180"/>
    <mergeCell ref="P195:R195"/>
    <mergeCell ref="S196:U196"/>
    <mergeCell ref="M199:O199"/>
    <mergeCell ref="D101:E101"/>
    <mergeCell ref="B130:C130"/>
    <mergeCell ref="S136:U136"/>
    <mergeCell ref="B117:C117"/>
    <mergeCell ref="D76:E76"/>
    <mergeCell ref="P66:R66"/>
    <mergeCell ref="S133:U133"/>
    <mergeCell ref="S127:U127"/>
    <mergeCell ref="M136:O136"/>
    <mergeCell ref="P137:R137"/>
    <mergeCell ref="G163:L163"/>
    <mergeCell ref="V172:X172"/>
    <mergeCell ref="P197:R197"/>
    <mergeCell ref="G207:L207"/>
    <mergeCell ref="B157:C157"/>
    <mergeCell ref="B2:X2"/>
    <mergeCell ref="W41:X41"/>
    <mergeCell ref="G113:L113"/>
    <mergeCell ref="B132:C132"/>
    <mergeCell ref="G100:L100"/>
    <mergeCell ref="B119:C119"/>
    <mergeCell ref="P68:R68"/>
    <mergeCell ref="G94:L94"/>
    <mergeCell ref="M134:O134"/>
    <mergeCell ref="G165:L165"/>
    <mergeCell ref="D175:E175"/>
    <mergeCell ref="M194:O194"/>
    <mergeCell ref="M200:O200"/>
    <mergeCell ref="M121:O121"/>
    <mergeCell ref="B196:C196"/>
    <mergeCell ref="B186:C186"/>
    <mergeCell ref="S202:U202"/>
    <mergeCell ref="M71:O71"/>
    <mergeCell ref="G102:L102"/>
    <mergeCell ref="P132:R132"/>
    <mergeCell ref="G158:L158"/>
    <mergeCell ref="M202:O202"/>
    <mergeCell ref="V86:X86"/>
    <mergeCell ref="T8:X8"/>
    <mergeCell ref="D165:E165"/>
    <mergeCell ref="D152:E152"/>
    <mergeCell ref="V175:X175"/>
    <mergeCell ref="P188:R188"/>
    <mergeCell ref="V150:X150"/>
    <mergeCell ref="G176:L176"/>
    <mergeCell ref="G97:L97"/>
    <mergeCell ref="V81:X81"/>
    <mergeCell ref="P190:R190"/>
    <mergeCell ref="V152:X152"/>
    <mergeCell ref="G191:L191"/>
    <mergeCell ref="B216:X216"/>
    <mergeCell ref="S107:U107"/>
    <mergeCell ref="S82:U82"/>
    <mergeCell ref="B125:C125"/>
    <mergeCell ref="P208:R208"/>
    <mergeCell ref="B185:C185"/>
    <mergeCell ref="G128:L128"/>
    <mergeCell ref="G184:L184"/>
    <mergeCell ref="B122:C122"/>
    <mergeCell ref="M149:O149"/>
    <mergeCell ref="P210:R210"/>
    <mergeCell ref="B105:C105"/>
    <mergeCell ref="B176:C176"/>
    <mergeCell ref="D105:E105"/>
    <mergeCell ref="M124:O124"/>
    <mergeCell ref="G195:L195"/>
    <mergeCell ref="P185:R185"/>
    <mergeCell ref="M195:O195"/>
    <mergeCell ref="D170:E170"/>
    <mergeCell ref="P112:R112"/>
    <mergeCell ref="S151:U151"/>
    <mergeCell ref="B120:C120"/>
    <mergeCell ref="V70:X70"/>
    <mergeCell ref="D120:E120"/>
    <mergeCell ref="M151:O151"/>
    <mergeCell ref="B107:C107"/>
    <mergeCell ref="P122:R122"/>
    <mergeCell ref="G197:L197"/>
    <mergeCell ref="D107:E107"/>
    <mergeCell ref="M126:O126"/>
    <mergeCell ref="D163:E163"/>
    <mergeCell ref="B219:X219"/>
    <mergeCell ref="V134:X134"/>
    <mergeCell ref="B171:C171"/>
    <mergeCell ref="D171:E171"/>
    <mergeCell ref="M190:O190"/>
    <mergeCell ref="V71:X71"/>
    <mergeCell ref="P74:R74"/>
    <mergeCell ref="J32:N32"/>
    <mergeCell ref="G75:L75"/>
    <mergeCell ref="S75:U75"/>
    <mergeCell ref="S135:U135"/>
    <mergeCell ref="P139:R139"/>
    <mergeCell ref="R50:V50"/>
    <mergeCell ref="V101:X101"/>
    <mergeCell ref="D102:E102"/>
    <mergeCell ref="V163:X163"/>
    <mergeCell ref="S110:U110"/>
    <mergeCell ref="P201:R201"/>
    <mergeCell ref="B10:X10"/>
    <mergeCell ref="G115:L115"/>
    <mergeCell ref="D196:E196"/>
    <mergeCell ref="S72:U72"/>
    <mergeCell ref="V73:X73"/>
    <mergeCell ref="V100:X100"/>
    <mergeCell ref="P76:R76"/>
    <mergeCell ref="P138:R138"/>
    <mergeCell ref="M142:O142"/>
    <mergeCell ref="S177:U177"/>
    <mergeCell ref="S164:U164"/>
    <mergeCell ref="V165:X165"/>
    <mergeCell ref="P203:R203"/>
    <mergeCell ref="G32:H32"/>
    <mergeCell ref="M129:O129"/>
    <mergeCell ref="B133:C133"/>
    <mergeCell ref="O23:P23"/>
    <mergeCell ref="D133:E133"/>
    <mergeCell ref="B204:C204"/>
    <mergeCell ref="G179:L179"/>
    <mergeCell ref="B198:C198"/>
    <mergeCell ref="G50:H50"/>
    <mergeCell ref="P69:R69"/>
    <mergeCell ref="S70:U70"/>
    <mergeCell ref="M79:O79"/>
    <mergeCell ref="M73:O73"/>
    <mergeCell ref="V102:X102"/>
    <mergeCell ref="P140:R140"/>
    <mergeCell ref="M144:O144"/>
    <mergeCell ref="G166:L166"/>
    <mergeCell ref="B4:C4"/>
    <mergeCell ref="B173:C173"/>
    <mergeCell ref="B75:C75"/>
    <mergeCell ref="V77:X77"/>
    <mergeCell ref="G116:L116"/>
    <mergeCell ref="B135:C135"/>
    <mergeCell ref="B62:C62"/>
    <mergeCell ref="D191:E191"/>
    <mergeCell ref="G103:L103"/>
    <mergeCell ref="M137:O137"/>
    <mergeCell ref="B202:C202"/>
    <mergeCell ref="V127:X127"/>
    <mergeCell ref="G118:L118"/>
    <mergeCell ref="V176:X176"/>
    <mergeCell ref="M74:O74"/>
    <mergeCell ref="G167:L167"/>
    <mergeCell ref="G210:L210"/>
    <mergeCell ref="M139:O139"/>
    <mergeCell ref="B70:C70"/>
    <mergeCell ref="D95:E95"/>
    <mergeCell ref="V191:X191"/>
    <mergeCell ref="S146:U146"/>
    <mergeCell ref="V178:X178"/>
    <mergeCell ref="S65:U65"/>
    <mergeCell ref="B21:X21"/>
    <mergeCell ref="G192:L192"/>
    <mergeCell ref="S83:U83"/>
    <mergeCell ref="D97:E97"/>
    <mergeCell ref="P87:R87"/>
    <mergeCell ref="S154:U154"/>
    <mergeCell ref="S129:U129"/>
    <mergeCell ref="G63:L63"/>
    <mergeCell ref="S123:U123"/>
    <mergeCell ref="G134:L134"/>
    <mergeCell ref="M63:O63"/>
    <mergeCell ref="O50:P50"/>
    <mergeCell ref="P89:R89"/>
    <mergeCell ref="B128:C128"/>
    <mergeCell ref="S183:U183"/>
    <mergeCell ref="D184:E184"/>
    <mergeCell ref="P64:R64"/>
    <mergeCell ref="P88:R88"/>
    <mergeCell ref="B65:C65"/>
    <mergeCell ref="M92:O92"/>
    <mergeCell ref="P153:R153"/>
    <mergeCell ref="D121:E121"/>
    <mergeCell ref="B192:C192"/>
    <mergeCell ref="D192:E192"/>
    <mergeCell ref="P128:R128"/>
    <mergeCell ref="D173:E173"/>
    <mergeCell ref="V79:X79"/>
    <mergeCell ref="B123:C123"/>
    <mergeCell ref="V184:X184"/>
    <mergeCell ref="D123:E123"/>
    <mergeCell ref="B110:C110"/>
    <mergeCell ref="D110:E110"/>
  </mergeCells>
  <conditionalFormatting sqref="B14:H19">
    <cfRule type="expression" priority="1" dxfId="15" stopIfTrue="0">
      <formula>AND(ISNUMBER(B14),COUNTIFS($B$62:$B$211,B14,$S$62:$S$211,"1 · Urgente",$V$62:$V$211,"&lt;&gt;4 · Cancelada")&gt;0)</formula>
    </cfRule>
    <cfRule type="expression" priority="2" dxfId="16" stopIfTrue="0">
      <formula>AND(ISNUMBER(B14),COUNTIFS($B$62:$B$211,B14,$S$62:$S$211,"2 · Alta",$V$62:$V$211,"&lt;&gt;4 · Cancelada")&gt;0)</formula>
    </cfRule>
    <cfRule type="expression" priority="3" dxfId="17" stopIfTrue="0">
      <formula>AND(ISNUMBER(B14),COUNTIFS($B$62:$B$211,B14,$S$62:$S$211,"3 · Media",$V$62:$V$211,"&lt;&gt;4 · Cancelada")&gt;0)</formula>
    </cfRule>
    <cfRule type="expression" priority="4" dxfId="18" stopIfTrue="0">
      <formula>AND(ISNUMBER(B14),COUNTIFS($B$62:$B$211,B14,$S$62:$S$211,"4 · Baja",$V$62:$V$211,"&lt;&gt;4 · Cancelada")&gt;0)</formula>
    </cfRule>
    <cfRule type="expression" priority="5" dxfId="19" stopIfTrue="0">
      <formula>AND(ISNUMBER(B14),COUNTIFS($B$62:$B$211,B14,$V$62:$V$211,"&lt;&gt;4 · Cancelada")&gt;0)</formula>
    </cfRule>
    <cfRule type="expression" priority="6" dxfId="20" stopIfTrue="0">
      <formula>AND(ISNUMBER(B14),B14=TODAY())</formula>
    </cfRule>
  </conditionalFormatting>
  <conditionalFormatting sqref="B25:H30">
    <cfRule type="expression" priority="7" dxfId="15" stopIfTrue="0">
      <formula>AND(ISNUMBER(B25),COUNTIFS($B$62:$B$211,B25,$S$62:$S$211,"1 · Urgente",$V$62:$V$211,"&lt;&gt;4 · Cancelada")&gt;0)</formula>
    </cfRule>
    <cfRule type="expression" priority="8" dxfId="16" stopIfTrue="0">
      <formula>AND(ISNUMBER(B25),COUNTIFS($B$62:$B$211,B25,$S$62:$S$211,"2 · Alta",$V$62:$V$211,"&lt;&gt;4 · Cancelada")&gt;0)</formula>
    </cfRule>
    <cfRule type="expression" priority="9" dxfId="17" stopIfTrue="0">
      <formula>AND(ISNUMBER(B25),COUNTIFS($B$62:$B$211,B25,$S$62:$S$211,"3 · Media",$V$62:$V$211,"&lt;&gt;4 · Cancelada")&gt;0)</formula>
    </cfRule>
    <cfRule type="expression" priority="10" dxfId="18" stopIfTrue="0">
      <formula>AND(ISNUMBER(B25),COUNTIFS($B$62:$B$211,B25,$S$62:$S$211,"4 · Baja",$V$62:$V$211,"&lt;&gt;4 · Cancelada")&gt;0)</formula>
    </cfRule>
    <cfRule type="expression" priority="11" dxfId="19" stopIfTrue="0">
      <formula>AND(ISNUMBER(B25),COUNTIFS($B$62:$B$211,B25,$V$62:$V$211,"&lt;&gt;4 · Cancelada")&gt;0)</formula>
    </cfRule>
    <cfRule type="expression" priority="12" dxfId="20" stopIfTrue="0">
      <formula>AND(ISNUMBER(B25),B25=TODAY())</formula>
    </cfRule>
  </conditionalFormatting>
  <conditionalFormatting sqref="J25:P30">
    <cfRule type="expression" priority="13" dxfId="15" stopIfTrue="0">
      <formula>AND(ISNUMBER(J25),COUNTIFS($B$62:$B$211,J25,$S$62:$S$211,"1 · Urgente",$V$62:$V$211,"&lt;&gt;4 · Cancelada")&gt;0)</formula>
    </cfRule>
    <cfRule type="expression" priority="14" dxfId="16" stopIfTrue="0">
      <formula>AND(ISNUMBER(J25),COUNTIFS($B$62:$B$211,J25,$S$62:$S$211,"2 · Alta",$V$62:$V$211,"&lt;&gt;4 · Cancelada")&gt;0)</formula>
    </cfRule>
    <cfRule type="expression" priority="15" dxfId="17" stopIfTrue="0">
      <formula>AND(ISNUMBER(J25),COUNTIFS($B$62:$B$211,J25,$S$62:$S$211,"3 · Media",$V$62:$V$211,"&lt;&gt;4 · Cancelada")&gt;0)</formula>
    </cfRule>
    <cfRule type="expression" priority="16" dxfId="18" stopIfTrue="0">
      <formula>AND(ISNUMBER(J25),COUNTIFS($B$62:$B$211,J25,$S$62:$S$211,"4 · Baja",$V$62:$V$211,"&lt;&gt;4 · Cancelada")&gt;0)</formula>
    </cfRule>
    <cfRule type="expression" priority="17" dxfId="19" stopIfTrue="0">
      <formula>AND(ISNUMBER(J25),COUNTIFS($B$62:$B$211,J25,$V$62:$V$211,"&lt;&gt;4 · Cancelada")&gt;0)</formula>
    </cfRule>
    <cfRule type="expression" priority="18" dxfId="20" stopIfTrue="0">
      <formula>AND(ISNUMBER(J25),J25=TODAY())</formula>
    </cfRule>
  </conditionalFormatting>
  <conditionalFormatting sqref="R25:X30">
    <cfRule type="expression" priority="19" dxfId="15" stopIfTrue="0">
      <formula>AND(ISNUMBER(R25),COUNTIFS($B$62:$B$211,R25,$S$62:$S$211,"1 · Urgente",$V$62:$V$211,"&lt;&gt;4 · Cancelada")&gt;0)</formula>
    </cfRule>
    <cfRule type="expression" priority="20" dxfId="16" stopIfTrue="0">
      <formula>AND(ISNUMBER(R25),COUNTIFS($B$62:$B$211,R25,$S$62:$S$211,"2 · Alta",$V$62:$V$211,"&lt;&gt;4 · Cancelada")&gt;0)</formula>
    </cfRule>
    <cfRule type="expression" priority="21" dxfId="17" stopIfTrue="0">
      <formula>AND(ISNUMBER(R25),COUNTIFS($B$62:$B$211,R25,$S$62:$S$211,"3 · Media",$V$62:$V$211,"&lt;&gt;4 · Cancelada")&gt;0)</formula>
    </cfRule>
    <cfRule type="expression" priority="22" dxfId="18" stopIfTrue="0">
      <formula>AND(ISNUMBER(R25),COUNTIFS($B$62:$B$211,R25,$S$62:$S$211,"4 · Baja",$V$62:$V$211,"&lt;&gt;4 · Cancelada")&gt;0)</formula>
    </cfRule>
    <cfRule type="expression" priority="23" dxfId="19" stopIfTrue="0">
      <formula>AND(ISNUMBER(R25),COUNTIFS($B$62:$B$211,R25,$V$62:$V$211,"&lt;&gt;4 · Cancelada")&gt;0)</formula>
    </cfRule>
    <cfRule type="expression" priority="24" dxfId="20" stopIfTrue="0">
      <formula>AND(ISNUMBER(R25),R25=TODAY())</formula>
    </cfRule>
  </conditionalFormatting>
  <conditionalFormatting sqref="B34:H39">
    <cfRule type="expression" priority="25" dxfId="15" stopIfTrue="0">
      <formula>AND(ISNUMBER(B34),COUNTIFS($B$62:$B$211,B34,$S$62:$S$211,"1 · Urgente",$V$62:$V$211,"&lt;&gt;4 · Cancelada")&gt;0)</formula>
    </cfRule>
    <cfRule type="expression" priority="26" dxfId="16" stopIfTrue="0">
      <formula>AND(ISNUMBER(B34),COUNTIFS($B$62:$B$211,B34,$S$62:$S$211,"2 · Alta",$V$62:$V$211,"&lt;&gt;4 · Cancelada")&gt;0)</formula>
    </cfRule>
    <cfRule type="expression" priority="27" dxfId="17" stopIfTrue="0">
      <formula>AND(ISNUMBER(B34),COUNTIFS($B$62:$B$211,B34,$S$62:$S$211,"3 · Media",$V$62:$V$211,"&lt;&gt;4 · Cancelada")&gt;0)</formula>
    </cfRule>
    <cfRule type="expression" priority="28" dxfId="18" stopIfTrue="0">
      <formula>AND(ISNUMBER(B34),COUNTIFS($B$62:$B$211,B34,$S$62:$S$211,"4 · Baja",$V$62:$V$211,"&lt;&gt;4 · Cancelada")&gt;0)</formula>
    </cfRule>
    <cfRule type="expression" priority="29" dxfId="19" stopIfTrue="0">
      <formula>AND(ISNUMBER(B34),COUNTIFS($B$62:$B$211,B34,$V$62:$V$211,"&lt;&gt;4 · Cancelada")&gt;0)</formula>
    </cfRule>
    <cfRule type="expression" priority="30" dxfId="20" stopIfTrue="0">
      <formula>AND(ISNUMBER(B34),B34=TODAY())</formula>
    </cfRule>
  </conditionalFormatting>
  <conditionalFormatting sqref="J34:P39">
    <cfRule type="expression" priority="31" dxfId="15" stopIfTrue="0">
      <formula>AND(ISNUMBER(J34),COUNTIFS($B$62:$B$211,J34,$S$62:$S$211,"1 · Urgente",$V$62:$V$211,"&lt;&gt;4 · Cancelada")&gt;0)</formula>
    </cfRule>
    <cfRule type="expression" priority="32" dxfId="16" stopIfTrue="0">
      <formula>AND(ISNUMBER(J34),COUNTIFS($B$62:$B$211,J34,$S$62:$S$211,"2 · Alta",$V$62:$V$211,"&lt;&gt;4 · Cancelada")&gt;0)</formula>
    </cfRule>
    <cfRule type="expression" priority="33" dxfId="17" stopIfTrue="0">
      <formula>AND(ISNUMBER(J34),COUNTIFS($B$62:$B$211,J34,$S$62:$S$211,"3 · Media",$V$62:$V$211,"&lt;&gt;4 · Cancelada")&gt;0)</formula>
    </cfRule>
    <cfRule type="expression" priority="34" dxfId="18" stopIfTrue="0">
      <formula>AND(ISNUMBER(J34),COUNTIFS($B$62:$B$211,J34,$S$62:$S$211,"4 · Baja",$V$62:$V$211,"&lt;&gt;4 · Cancelada")&gt;0)</formula>
    </cfRule>
    <cfRule type="expression" priority="35" dxfId="19" stopIfTrue="0">
      <formula>AND(ISNUMBER(J34),COUNTIFS($B$62:$B$211,J34,$V$62:$V$211,"&lt;&gt;4 · Cancelada")&gt;0)</formula>
    </cfRule>
    <cfRule type="expression" priority="36" dxfId="20" stopIfTrue="0">
      <formula>AND(ISNUMBER(J34),J34=TODAY())</formula>
    </cfRule>
  </conditionalFormatting>
  <conditionalFormatting sqref="R34:X39">
    <cfRule type="expression" priority="37" dxfId="15" stopIfTrue="0">
      <formula>AND(ISNUMBER(R34),COUNTIFS($B$62:$B$211,R34,$S$62:$S$211,"1 · Urgente",$V$62:$V$211,"&lt;&gt;4 · Cancelada")&gt;0)</formula>
    </cfRule>
    <cfRule type="expression" priority="38" dxfId="16" stopIfTrue="0">
      <formula>AND(ISNUMBER(R34),COUNTIFS($B$62:$B$211,R34,$S$62:$S$211,"2 · Alta",$V$62:$V$211,"&lt;&gt;4 · Cancelada")&gt;0)</formula>
    </cfRule>
    <cfRule type="expression" priority="39" dxfId="17" stopIfTrue="0">
      <formula>AND(ISNUMBER(R34),COUNTIFS($B$62:$B$211,R34,$S$62:$S$211,"3 · Media",$V$62:$V$211,"&lt;&gt;4 · Cancelada")&gt;0)</formula>
    </cfRule>
    <cfRule type="expression" priority="40" dxfId="18" stopIfTrue="0">
      <formula>AND(ISNUMBER(R34),COUNTIFS($B$62:$B$211,R34,$S$62:$S$211,"4 · Baja",$V$62:$V$211,"&lt;&gt;4 · Cancelada")&gt;0)</formula>
    </cfRule>
    <cfRule type="expression" priority="41" dxfId="19" stopIfTrue="0">
      <formula>AND(ISNUMBER(R34),COUNTIFS($B$62:$B$211,R34,$V$62:$V$211,"&lt;&gt;4 · Cancelada")&gt;0)</formula>
    </cfRule>
    <cfRule type="expression" priority="42" dxfId="20" stopIfTrue="0">
      <formula>AND(ISNUMBER(R34),R34=TODAY())</formula>
    </cfRule>
  </conditionalFormatting>
  <conditionalFormatting sqref="B43:H48">
    <cfRule type="expression" priority="43" dxfId="15" stopIfTrue="0">
      <formula>AND(ISNUMBER(B43),COUNTIFS($B$62:$B$211,B43,$S$62:$S$211,"1 · Urgente",$V$62:$V$211,"&lt;&gt;4 · Cancelada")&gt;0)</formula>
    </cfRule>
    <cfRule type="expression" priority="44" dxfId="16" stopIfTrue="0">
      <formula>AND(ISNUMBER(B43),COUNTIFS($B$62:$B$211,B43,$S$62:$S$211,"2 · Alta",$V$62:$V$211,"&lt;&gt;4 · Cancelada")&gt;0)</formula>
    </cfRule>
    <cfRule type="expression" priority="45" dxfId="17" stopIfTrue="0">
      <formula>AND(ISNUMBER(B43),COUNTIFS($B$62:$B$211,B43,$S$62:$S$211,"3 · Media",$V$62:$V$211,"&lt;&gt;4 · Cancelada")&gt;0)</formula>
    </cfRule>
    <cfRule type="expression" priority="46" dxfId="18" stopIfTrue="0">
      <formula>AND(ISNUMBER(B43),COUNTIFS($B$62:$B$211,B43,$S$62:$S$211,"4 · Baja",$V$62:$V$211,"&lt;&gt;4 · Cancelada")&gt;0)</formula>
    </cfRule>
    <cfRule type="expression" priority="47" dxfId="19" stopIfTrue="0">
      <formula>AND(ISNUMBER(B43),COUNTIFS($B$62:$B$211,B43,$V$62:$V$211,"&lt;&gt;4 · Cancelada")&gt;0)</formula>
    </cfRule>
    <cfRule type="expression" priority="48" dxfId="20" stopIfTrue="0">
      <formula>AND(ISNUMBER(B43),B43=TODAY())</formula>
    </cfRule>
  </conditionalFormatting>
  <conditionalFormatting sqref="J43:P48">
    <cfRule type="expression" priority="49" dxfId="15" stopIfTrue="0">
      <formula>AND(ISNUMBER(J43),COUNTIFS($B$62:$B$211,J43,$S$62:$S$211,"1 · Urgente",$V$62:$V$211,"&lt;&gt;4 · Cancelada")&gt;0)</formula>
    </cfRule>
    <cfRule type="expression" priority="50" dxfId="16" stopIfTrue="0">
      <formula>AND(ISNUMBER(J43),COUNTIFS($B$62:$B$211,J43,$S$62:$S$211,"2 · Alta",$V$62:$V$211,"&lt;&gt;4 · Cancelada")&gt;0)</formula>
    </cfRule>
    <cfRule type="expression" priority="51" dxfId="17" stopIfTrue="0">
      <formula>AND(ISNUMBER(J43),COUNTIFS($B$62:$B$211,J43,$S$62:$S$211,"3 · Media",$V$62:$V$211,"&lt;&gt;4 · Cancelada")&gt;0)</formula>
    </cfRule>
    <cfRule type="expression" priority="52" dxfId="18" stopIfTrue="0">
      <formula>AND(ISNUMBER(J43),COUNTIFS($B$62:$B$211,J43,$S$62:$S$211,"4 · Baja",$V$62:$V$211,"&lt;&gt;4 · Cancelada")&gt;0)</formula>
    </cfRule>
    <cfRule type="expression" priority="53" dxfId="19" stopIfTrue="0">
      <formula>AND(ISNUMBER(J43),COUNTIFS($B$62:$B$211,J43,$V$62:$V$211,"&lt;&gt;4 · Cancelada")&gt;0)</formula>
    </cfRule>
    <cfRule type="expression" priority="54" dxfId="20" stopIfTrue="0">
      <formula>AND(ISNUMBER(J43),J43=TODAY())</formula>
    </cfRule>
  </conditionalFormatting>
  <conditionalFormatting sqref="R43:X48">
    <cfRule type="expression" priority="55" dxfId="15" stopIfTrue="0">
      <formula>AND(ISNUMBER(R43),COUNTIFS($B$62:$B$211,R43,$S$62:$S$211,"1 · Urgente",$V$62:$V$211,"&lt;&gt;4 · Cancelada")&gt;0)</formula>
    </cfRule>
    <cfRule type="expression" priority="56" dxfId="16" stopIfTrue="0">
      <formula>AND(ISNUMBER(R43),COUNTIFS($B$62:$B$211,R43,$S$62:$S$211,"2 · Alta",$V$62:$V$211,"&lt;&gt;4 · Cancelada")&gt;0)</formula>
    </cfRule>
    <cfRule type="expression" priority="57" dxfId="17" stopIfTrue="0">
      <formula>AND(ISNUMBER(R43),COUNTIFS($B$62:$B$211,R43,$S$62:$S$211,"3 · Media",$V$62:$V$211,"&lt;&gt;4 · Cancelada")&gt;0)</formula>
    </cfRule>
    <cfRule type="expression" priority="58" dxfId="18" stopIfTrue="0">
      <formula>AND(ISNUMBER(R43),COUNTIFS($B$62:$B$211,R43,$S$62:$S$211,"4 · Baja",$V$62:$V$211,"&lt;&gt;4 · Cancelada")&gt;0)</formula>
    </cfRule>
    <cfRule type="expression" priority="59" dxfId="19" stopIfTrue="0">
      <formula>AND(ISNUMBER(R43),COUNTIFS($B$62:$B$211,R43,$V$62:$V$211,"&lt;&gt;4 · Cancelada")&gt;0)</formula>
    </cfRule>
    <cfRule type="expression" priority="60" dxfId="20" stopIfTrue="0">
      <formula>AND(ISNUMBER(R43),R43=TODAY())</formula>
    </cfRule>
  </conditionalFormatting>
  <conditionalFormatting sqref="B52:H57">
    <cfRule type="expression" priority="61" dxfId="15" stopIfTrue="0">
      <formula>AND(ISNUMBER(B52),COUNTIFS($B$62:$B$211,B52,$S$62:$S$211,"1 · Urgente",$V$62:$V$211,"&lt;&gt;4 · Cancelada")&gt;0)</formula>
    </cfRule>
    <cfRule type="expression" priority="62" dxfId="16" stopIfTrue="0">
      <formula>AND(ISNUMBER(B52),COUNTIFS($B$62:$B$211,B52,$S$62:$S$211,"2 · Alta",$V$62:$V$211,"&lt;&gt;4 · Cancelada")&gt;0)</formula>
    </cfRule>
    <cfRule type="expression" priority="63" dxfId="17" stopIfTrue="0">
      <formula>AND(ISNUMBER(B52),COUNTIFS($B$62:$B$211,B52,$S$62:$S$211,"3 · Media",$V$62:$V$211,"&lt;&gt;4 · Cancelada")&gt;0)</formula>
    </cfRule>
    <cfRule type="expression" priority="64" dxfId="18" stopIfTrue="0">
      <formula>AND(ISNUMBER(B52),COUNTIFS($B$62:$B$211,B52,$S$62:$S$211,"4 · Baja",$V$62:$V$211,"&lt;&gt;4 · Cancelada")&gt;0)</formula>
    </cfRule>
    <cfRule type="expression" priority="65" dxfId="19" stopIfTrue="0">
      <formula>AND(ISNUMBER(B52),COUNTIFS($B$62:$B$211,B52,$V$62:$V$211,"&lt;&gt;4 · Cancelada")&gt;0)</formula>
    </cfRule>
    <cfRule type="expression" priority="66" dxfId="20" stopIfTrue="0">
      <formula>AND(ISNUMBER(B52),B52=TODAY())</formula>
    </cfRule>
  </conditionalFormatting>
  <conditionalFormatting sqref="J52:P57">
    <cfRule type="expression" priority="67" dxfId="15" stopIfTrue="0">
      <formula>AND(ISNUMBER(J52),COUNTIFS($B$62:$B$211,J52,$S$62:$S$211,"1 · Urgente",$V$62:$V$211,"&lt;&gt;4 · Cancelada")&gt;0)</formula>
    </cfRule>
    <cfRule type="expression" priority="68" dxfId="16" stopIfTrue="0">
      <formula>AND(ISNUMBER(J52),COUNTIFS($B$62:$B$211,J52,$S$62:$S$211,"2 · Alta",$V$62:$V$211,"&lt;&gt;4 · Cancelada")&gt;0)</formula>
    </cfRule>
    <cfRule type="expression" priority="69" dxfId="17" stopIfTrue="0">
      <formula>AND(ISNUMBER(J52),COUNTIFS($B$62:$B$211,J52,$S$62:$S$211,"3 · Media",$V$62:$V$211,"&lt;&gt;4 · Cancelada")&gt;0)</formula>
    </cfRule>
    <cfRule type="expression" priority="70" dxfId="18" stopIfTrue="0">
      <formula>AND(ISNUMBER(J52),COUNTIFS($B$62:$B$211,J52,$S$62:$S$211,"4 · Baja",$V$62:$V$211,"&lt;&gt;4 · Cancelada")&gt;0)</formula>
    </cfRule>
    <cfRule type="expression" priority="71" dxfId="19" stopIfTrue="0">
      <formula>AND(ISNUMBER(J52),COUNTIFS($B$62:$B$211,J52,$V$62:$V$211,"&lt;&gt;4 · Cancelada")&gt;0)</formula>
    </cfRule>
    <cfRule type="expression" priority="72" dxfId="20" stopIfTrue="0">
      <formula>AND(ISNUMBER(J52),J52=TODAY())</formula>
    </cfRule>
  </conditionalFormatting>
  <conditionalFormatting sqref="R52:X57">
    <cfRule type="expression" priority="73" dxfId="15" stopIfTrue="0">
      <formula>AND(ISNUMBER(R52),COUNTIFS($B$62:$B$211,R52,$S$62:$S$211,"1 · Urgente",$V$62:$V$211,"&lt;&gt;4 · Cancelada")&gt;0)</formula>
    </cfRule>
    <cfRule type="expression" priority="74" dxfId="16" stopIfTrue="0">
      <formula>AND(ISNUMBER(R52),COUNTIFS($B$62:$B$211,R52,$S$62:$S$211,"2 · Alta",$V$62:$V$211,"&lt;&gt;4 · Cancelada")&gt;0)</formula>
    </cfRule>
    <cfRule type="expression" priority="75" dxfId="17" stopIfTrue="0">
      <formula>AND(ISNUMBER(R52),COUNTIFS($B$62:$B$211,R52,$S$62:$S$211,"3 · Media",$V$62:$V$211,"&lt;&gt;4 · Cancelada")&gt;0)</formula>
    </cfRule>
    <cfRule type="expression" priority="76" dxfId="18" stopIfTrue="0">
      <formula>AND(ISNUMBER(R52),COUNTIFS($B$62:$B$211,R52,$S$62:$S$211,"4 · Baja",$V$62:$V$211,"&lt;&gt;4 · Cancelada")&gt;0)</formula>
    </cfRule>
    <cfRule type="expression" priority="77" dxfId="19" stopIfTrue="0">
      <formula>AND(ISNUMBER(R52),COUNTIFS($B$62:$B$211,R52,$V$62:$V$211,"&lt;&gt;4 · Cancelada")&gt;0)</formula>
    </cfRule>
    <cfRule type="expression" priority="78" dxfId="20" stopIfTrue="0">
      <formula>AND(ISNUMBER(R52),R52=TODAY())</formula>
    </cfRule>
  </conditionalFormatting>
  <conditionalFormatting sqref="S62:U211">
    <cfRule type="expression" priority="79" dxfId="21" stopIfTrue="0">
      <formula>$S62="1 · Urgente"</formula>
    </cfRule>
    <cfRule type="expression" priority="80" dxfId="22" stopIfTrue="0">
      <formula>$S62="2 · Alta"</formula>
    </cfRule>
    <cfRule type="expression" priority="81" dxfId="23" stopIfTrue="0">
      <formula>$S62="3 · Media"</formula>
    </cfRule>
    <cfRule type="expression" priority="82" dxfId="24" stopIfTrue="0">
      <formula>$S62="4 · Baja"</formula>
    </cfRule>
  </conditionalFormatting>
  <conditionalFormatting sqref="B62:Y211">
    <cfRule type="expression" priority="83" dxfId="25" stopIfTrue="0">
      <formula>$V62="4 · Cancelada"</formula>
    </cfRule>
    <cfRule type="expression" priority="84" dxfId="26" stopIfTrue="0">
      <formula>AND($B62&lt;&gt;"",$B62&lt;TODAY(),$V62&lt;&gt;"3 · Hecha",$V62&lt;&gt;"4 · Cancelada")</formula>
    </cfRule>
  </conditionalFormatting>
  <dataValidations count="4">
    <dataValidation sqref="S62:S211" showDropDown="0" showInputMessage="0" showErrorMessage="0" allowBlank="1" type="list">
      <formula1>"1 · Urgente,2 · Alta,3 · Media,4 · Baja"</formula1>
    </dataValidation>
    <dataValidation sqref="V62:V211" showDropDown="0" showInputMessage="0" showErrorMessage="0" allowBlank="1" type="list">
      <formula1>"1 · Pendiente,2 · Confirmada,3 · Hecha,4 · Cancelada"</formula1>
    </dataValidation>
    <dataValidation sqref="D4" showDropDown="0" showInputMessage="0" showErrorMessage="0" allowBlank="0" type="list">
      <formula1>"2024,2025,2026,2027,2028,2029,2030"</formula1>
    </dataValidation>
    <dataValidation sqref="I4" showDropDown="0" showInputMessage="0" showErrorMessage="0" allowBlank="0" type="list">
      <formula1>"Actual (hoy),Enero,Febrero,Marzo,Abril,Mayo,Junio,Julio,Agosto,Septiembre,Octubre,Noviembre,Diciembre"</formula1>
    </dataValidation>
  </dataValidations>
  <pageMargins left="0.75" right="0.75" top="1" bottom="1" header="0.5" footer="0.5"/>
</worksheet>
</file>

<file path=xl/worksheets/sheet3.xml><?xml version="1.0" encoding="utf-8"?>
<worksheet xmlns="http://schemas.openxmlformats.org/spreadsheetml/2006/main">
  <sheetPr>
    <tabColor rgb="FF24457A"/>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11" min="1" max="1"/>
    <col width="70.14" customWidth="1" style="311" min="2" max="2"/>
    <col width="16" customWidth="1" style="311" min="3" max="4"/>
    <col width="18" customWidth="1" style="311" min="5" max="5"/>
    <col width="11" customWidth="1" style="311" min="6" max="6"/>
    <col width="60" customWidth="1" style="311" min="7" max="7"/>
    <col width="14" customWidth="1" style="311" min="8" max="8"/>
    <col width="52" customWidth="1" style="311" min="9" max="9"/>
    <col width="15" customWidth="1" style="311" min="10" max="10"/>
  </cols>
  <sheetData>
    <row r="1" ht="21.75" customHeight="1" s="311">
      <c r="A1" s="145" t="n"/>
      <c r="B1" s="19" t="inlineStr">
        <is>
          <t>BALANCE GENERAL</t>
        </is>
      </c>
      <c r="C1" s="145" t="n"/>
      <c r="D1" s="145" t="n"/>
      <c r="E1" s="145" t="n"/>
      <c r="F1" s="145" t="n"/>
      <c r="G1" s="145" t="n"/>
      <c r="H1" s="145" t="n"/>
      <c r="I1" s="145" t="n"/>
      <c r="J1" s="145" t="n"/>
      <c r="K1" s="1" t="n"/>
      <c r="L1" s="1" t="n"/>
      <c r="M1" s="1" t="n"/>
      <c r="N1" s="1" t="n"/>
      <c r="O1" s="1" t="n"/>
      <c r="P1" s="1" t="n"/>
      <c r="Q1" s="1" t="n"/>
      <c r="R1" s="1" t="n"/>
      <c r="S1" s="1" t="n"/>
      <c r="T1" s="1" t="n"/>
      <c r="U1" s="1" t="n"/>
      <c r="V1" s="1" t="n"/>
      <c r="W1" s="1" t="n"/>
      <c r="X1" s="1" t="n"/>
      <c r="Y1" s="1" t="n"/>
      <c r="Z1" s="1" t="n"/>
    </row>
    <row r="2" ht="42.75" customHeight="1" s="311">
      <c r="A2" s="145" t="n"/>
      <c r="B2" s="20" t="inlineStr">
        <is>
          <t>Foto de hoy: lo que tienes menos lo que debes. Los saldos y las líneas de crédito se reparten entre tu economía y la del hogar según la columna Ámbito de la hoja Disponibilidad; las facturas heredan el ámbito de la cuenta desde la que se pagan.</t>
        </is>
      </c>
      <c r="F2" s="145" t="n"/>
      <c r="G2" s="145" t="n"/>
      <c r="H2" s="145" t="n"/>
      <c r="I2" s="145" t="n"/>
      <c r="J2" s="145" t="n"/>
      <c r="K2" s="1" t="n"/>
      <c r="L2" s="1" t="n"/>
      <c r="M2" s="1" t="n"/>
      <c r="N2" s="1" t="n"/>
      <c r="O2" s="1" t="n"/>
      <c r="P2" s="1" t="n"/>
      <c r="Q2" s="1" t="n"/>
      <c r="R2" s="1" t="n"/>
      <c r="S2" s="1" t="n"/>
      <c r="T2" s="1" t="n"/>
      <c r="U2" s="1" t="n"/>
      <c r="V2" s="1" t="n"/>
      <c r="W2" s="1" t="n"/>
      <c r="X2" s="1" t="n"/>
      <c r="Y2" s="1" t="n"/>
      <c r="Z2" s="1" t="n"/>
    </row>
    <row r="3">
      <c r="A3" s="145" t="n"/>
      <c r="B3" s="145" t="n"/>
      <c r="C3" s="145" t="n"/>
      <c r="D3" s="145" t="n"/>
      <c r="E3" s="145" t="n"/>
      <c r="F3" s="145" t="n"/>
      <c r="G3" s="145" t="n"/>
      <c r="H3" s="145" t="n"/>
      <c r="I3" s="145" t="n"/>
      <c r="J3" s="145" t="n"/>
      <c r="K3" s="1" t="n"/>
      <c r="L3" s="1" t="n"/>
      <c r="M3" s="1" t="n"/>
      <c r="N3" s="1" t="n"/>
      <c r="O3" s="1" t="n"/>
      <c r="P3" s="1" t="n"/>
      <c r="Q3" s="1" t="n"/>
      <c r="R3" s="1" t="n"/>
      <c r="S3" s="1" t="n"/>
      <c r="T3" s="1" t="n"/>
      <c r="U3" s="1" t="n"/>
      <c r="V3" s="1" t="n"/>
      <c r="W3" s="1" t="n"/>
      <c r="X3" s="1" t="n"/>
      <c r="Y3" s="1" t="n"/>
      <c r="Z3" s="1" t="n"/>
    </row>
    <row r="4" ht="24" customHeight="1" s="311">
      <c r="A4" s="145" t="n"/>
      <c r="B4" s="23" t="inlineStr">
        <is>
          <t>Balance a fin del periodo seleccionado</t>
        </is>
      </c>
      <c r="C4" s="25">
        <f>EOMONTH(Panel!$H$5,0)</f>
        <v/>
      </c>
      <c r="D4" s="28">
        <f>Panel!$I$4</f>
        <v/>
      </c>
      <c r="E4" s="20" t="inlineStr">
        <is>
          <t>Los pasivos por facturas se filtran a esa fecha. Los saldos bancarios usan el histórico de cierres si lo has rellenado; si no, los de hoy.</t>
        </is>
      </c>
      <c r="H4" s="145" t="n"/>
      <c r="I4" s="145" t="n"/>
      <c r="J4" s="145" t="n"/>
      <c r="K4" s="1" t="n"/>
      <c r="L4" s="1" t="n"/>
      <c r="M4" s="1" t="n"/>
      <c r="N4" s="1" t="n"/>
      <c r="O4" s="1" t="n"/>
      <c r="P4" s="1" t="n"/>
      <c r="Q4" s="1" t="n"/>
      <c r="R4" s="1" t="n"/>
      <c r="S4" s="1" t="n"/>
      <c r="T4" s="1" t="n"/>
      <c r="U4" s="1" t="n"/>
      <c r="V4" s="1" t="n"/>
      <c r="W4" s="1" t="n"/>
      <c r="X4" s="1" t="n"/>
      <c r="Y4" s="1" t="n"/>
      <c r="Z4" s="1" t="n"/>
    </row>
    <row r="5">
      <c r="A5" s="145" t="n"/>
      <c r="B5" s="145" t="n"/>
      <c r="C5" s="145" t="n"/>
      <c r="D5" s="145" t="n"/>
      <c r="E5" s="145" t="n"/>
      <c r="F5" s="145" t="n"/>
      <c r="G5" s="145" t="n"/>
      <c r="H5" s="145" t="n"/>
      <c r="I5" s="145" t="n"/>
      <c r="J5" s="145" t="n"/>
      <c r="K5" s="1" t="n"/>
      <c r="L5" s="1" t="n"/>
      <c r="M5" s="1" t="n"/>
      <c r="N5" s="1" t="n"/>
      <c r="O5" s="1" t="n"/>
      <c r="P5" s="1" t="n"/>
      <c r="Q5" s="1" t="n"/>
      <c r="R5" s="1" t="n"/>
      <c r="S5" s="1" t="n"/>
      <c r="T5" s="1" t="n"/>
      <c r="U5" s="1" t="n"/>
      <c r="V5" s="1" t="n"/>
      <c r="W5" s="1" t="n"/>
      <c r="X5" s="1" t="n"/>
      <c r="Y5" s="1" t="n"/>
      <c r="Z5" s="1" t="n"/>
    </row>
    <row r="6" ht="30" customHeight="1" s="311">
      <c r="A6" s="145" t="n"/>
      <c r="B6" s="33" t="inlineStr">
        <is>
          <t>Concepto</t>
        </is>
      </c>
      <c r="C6" s="33" t="inlineStr">
        <is>
          <t>Tú (€)</t>
        </is>
      </c>
      <c r="D6" s="33" t="inlineStr">
        <is>
          <t>Hogar (€)</t>
        </is>
      </c>
      <c r="E6" s="33" t="inlineStr">
        <is>
          <t>CONSOLIDADO (€)</t>
        </is>
      </c>
      <c r="F6" s="33" t="inlineStr">
        <is>
          <t>% s/activo</t>
        </is>
      </c>
      <c r="G6" s="33" t="inlineStr">
        <is>
          <t>Notas</t>
        </is>
      </c>
      <c r="H6" s="145" t="n"/>
      <c r="I6" s="31" t="inlineStr">
        <is>
          <t>Datos para los gráficos</t>
        </is>
      </c>
      <c r="J6" s="145" t="n"/>
      <c r="K6" s="1" t="n"/>
      <c r="L6" s="1" t="n"/>
      <c r="M6" s="1" t="n"/>
      <c r="N6" s="1" t="n"/>
      <c r="O6" s="1" t="n"/>
      <c r="P6" s="1" t="n"/>
      <c r="Q6" s="1" t="n"/>
      <c r="R6" s="1" t="n"/>
      <c r="S6" s="1" t="n"/>
      <c r="T6" s="1" t="n"/>
      <c r="U6" s="1" t="n"/>
      <c r="V6" s="1" t="n"/>
      <c r="W6" s="1" t="n"/>
      <c r="X6" s="1" t="n"/>
      <c r="Y6" s="1" t="n"/>
      <c r="Z6" s="1" t="n"/>
    </row>
    <row r="7" ht="19.5" customHeight="1" s="311">
      <c r="A7" s="145" t="n"/>
      <c r="B7" s="21" t="inlineStr">
        <is>
          <t>ACTIVO</t>
        </is>
      </c>
      <c r="C7" s="22" t="n"/>
      <c r="D7" s="22" t="n"/>
      <c r="E7" s="22" t="n"/>
      <c r="F7" s="22" t="n"/>
      <c r="G7" s="22" t="n"/>
      <c r="H7" s="145" t="n"/>
      <c r="I7" s="33" t="inlineStr">
        <is>
          <t>Concepto</t>
        </is>
      </c>
      <c r="J7" s="33" t="inlineStr">
        <is>
          <t>€</t>
        </is>
      </c>
      <c r="K7" s="1" t="n"/>
      <c r="L7" s="1" t="n"/>
      <c r="M7" s="1" t="n"/>
      <c r="N7" s="1" t="n"/>
      <c r="O7" s="1" t="n"/>
      <c r="P7" s="1" t="n"/>
      <c r="Q7" s="1" t="n"/>
      <c r="R7" s="1" t="n"/>
      <c r="S7" s="1" t="n"/>
      <c r="T7" s="1" t="n"/>
      <c r="U7" s="1" t="n"/>
      <c r="V7" s="1" t="n"/>
      <c r="W7" s="1" t="n"/>
      <c r="X7" s="1" t="n"/>
      <c r="Y7" s="1" t="n"/>
      <c r="Z7" s="1" t="n"/>
    </row>
    <row r="8" ht="15" customHeight="1" s="311">
      <c r="A8" s="145" t="n"/>
      <c r="B8" s="38" t="inlineStr">
        <is>
          <t>Activo corriente  (lo que es dinero o se convierte en dinero en menos de un año)</t>
        </is>
      </c>
      <c r="C8" s="39" t="n"/>
      <c r="D8" s="39" t="n"/>
      <c r="E8" s="39" t="n"/>
      <c r="F8" s="39" t="n"/>
      <c r="G8" s="145" t="n"/>
      <c r="H8" s="145" t="n"/>
      <c r="I8" s="40" t="inlineStr">
        <is>
          <t>Activo corriente</t>
        </is>
      </c>
      <c r="J8" s="42">
        <f>$E$13</f>
        <v/>
      </c>
      <c r="K8" s="1" t="n"/>
      <c r="L8" s="1" t="n"/>
      <c r="M8" s="1" t="n"/>
      <c r="N8" s="1" t="n"/>
      <c r="O8" s="1" t="n"/>
      <c r="P8" s="1" t="n"/>
      <c r="Q8" s="1" t="n"/>
      <c r="R8" s="1" t="n"/>
      <c r="S8" s="1" t="n"/>
      <c r="T8" s="1" t="n"/>
      <c r="U8" s="1" t="n"/>
      <c r="V8" s="1" t="n"/>
      <c r="W8" s="1" t="n"/>
      <c r="X8" s="1" t="n"/>
      <c r="Y8" s="1" t="n"/>
      <c r="Z8" s="1" t="n"/>
    </row>
    <row r="9" ht="15" customHeight="1" s="311">
      <c r="A9" s="145" t="n"/>
      <c r="B9" s="46" t="inlineStr">
        <is>
          <t>Efectivo y saldos bancarios disponibles</t>
        </is>
      </c>
      <c r="C9" s="61">
        <f t="array" ref="C9">IFERROR(INDEX($C$58:$C$72,MATCH(Panel!$I$4,$B$58:$B$72,0)),SUMIFS(Disponibilidad!$J$6:$J$18,Disponibilidad!$O$6:$O$18,"Tú"))</f>
        <v/>
      </c>
      <c r="D9" s="61">
        <f t="array" ref="D9">IFERROR(INDEX($D$58:$D$72,MATCH(Panel!$I$4,$B$58:$B$72,0)),SUMIFS(Disponibilidad!$J$6:$J$18,Disponibilidad!$O$6:$O$18,"Hogar"))</f>
        <v/>
      </c>
      <c r="E9" s="68">
        <f>N($C9)+N($D9)</f>
        <v/>
      </c>
      <c r="F9" s="71">
        <f>IFERROR($E9/$E$22,"")</f>
        <v/>
      </c>
      <c r="G9" s="145" t="n"/>
      <c r="H9" s="145" t="n"/>
      <c r="I9" s="40" t="inlineStr">
        <is>
          <t>Activo no corriente</t>
        </is>
      </c>
      <c r="J9" s="42">
        <f>$E$20</f>
        <v/>
      </c>
      <c r="K9" s="1" t="n"/>
      <c r="L9" s="1" t="n"/>
      <c r="M9" s="1" t="n"/>
      <c r="N9" s="1" t="n"/>
      <c r="O9" s="1" t="n"/>
      <c r="P9" s="1" t="n"/>
      <c r="Q9" s="1" t="n"/>
      <c r="R9" s="1" t="n"/>
      <c r="S9" s="1" t="n"/>
      <c r="T9" s="1" t="n"/>
      <c r="U9" s="1" t="n"/>
      <c r="V9" s="1" t="n"/>
      <c r="W9" s="1" t="n"/>
      <c r="X9" s="1" t="n"/>
      <c r="Y9" s="1" t="n"/>
      <c r="Z9" s="1" t="n"/>
    </row>
    <row r="10" ht="15" customHeight="1" s="311">
      <c r="A10" s="145" t="n"/>
      <c r="B10" s="46" t="inlineStr">
        <is>
          <t>Saldos retenidos o bloqueados</t>
        </is>
      </c>
      <c r="C10" s="61">
        <f>SUMIFS(Disponibilidad!$I$6:$I$18,Disponibilidad!$O$6:$O$18,"Tú")</f>
        <v/>
      </c>
      <c r="D10" s="61">
        <f>SUMIFS(Disponibilidad!$I$6:$I$18,Disponibilidad!$O$6:$O$18,"Hogar")</f>
        <v/>
      </c>
      <c r="E10" s="68">
        <f>N($C10)+N($D10)</f>
        <v/>
      </c>
      <c r="F10" s="71">
        <f>IFERROR($E10/$E$22,"")</f>
        <v/>
      </c>
      <c r="G10" s="145" t="n"/>
      <c r="H10" s="145" t="n"/>
      <c r="I10" s="40" t="inlineStr">
        <is>
          <t>Pasivo corriente</t>
        </is>
      </c>
      <c r="J10" s="42">
        <f>$E$32</f>
        <v/>
      </c>
      <c r="K10" s="1" t="n"/>
      <c r="L10" s="1" t="n"/>
      <c r="M10" s="1" t="n"/>
      <c r="N10" s="1" t="n"/>
      <c r="O10" s="1" t="n"/>
      <c r="P10" s="1" t="n"/>
      <c r="Q10" s="1" t="n"/>
      <c r="R10" s="1" t="n"/>
      <c r="S10" s="1" t="n"/>
      <c r="T10" s="1" t="n"/>
      <c r="U10" s="1" t="n"/>
      <c r="V10" s="1" t="n"/>
      <c r="W10" s="1" t="n"/>
      <c r="X10" s="1" t="n"/>
      <c r="Y10" s="1" t="n"/>
      <c r="Z10" s="1" t="n"/>
    </row>
    <row r="11" ht="21.75" customHeight="1" s="311">
      <c r="A11" s="145" t="n"/>
      <c r="B11" s="46" t="inlineStr">
        <is>
          <t>Fondos comprometidos (no disponibles)</t>
        </is>
      </c>
      <c r="C11" s="61">
        <f>SUMIFS(Disponibilidad!$G$6:$G$18,Disponibilidad!$H$6:$H$18,"No",Disponibilidad!$O$6:$O$18,"Tú")</f>
        <v/>
      </c>
      <c r="D11" s="61">
        <f>SUMIFS(Disponibilidad!$G$6:$G$18,Disponibilidad!$H$6:$H$18,"No",Disponibilidad!$O$6:$O$18,"Hogar")</f>
        <v/>
      </c>
      <c r="E11" s="68">
        <f>N($C11)+N($D11)</f>
        <v/>
      </c>
      <c r="F11" s="71">
        <f>IFERROR($E11/$E$22,"")</f>
        <v/>
      </c>
      <c r="G11" s="20" t="inlineStr">
        <is>
          <t>Sobre todo ABANCA: es tuyo y suma patrimonio, pero no lo puedes usar para pagar facturas.</t>
        </is>
      </c>
      <c r="H11" s="145" t="n"/>
      <c r="I11" s="40" t="inlineStr">
        <is>
          <t>Pasivo no corriente</t>
        </is>
      </c>
      <c r="J11" s="42">
        <f>$E$37</f>
        <v/>
      </c>
      <c r="K11" s="1" t="n"/>
      <c r="L11" s="1" t="n"/>
      <c r="M11" s="1" t="n"/>
      <c r="N11" s="1" t="n"/>
      <c r="O11" s="1" t="n"/>
      <c r="P11" s="1" t="n"/>
      <c r="Q11" s="1" t="n"/>
      <c r="R11" s="1" t="n"/>
      <c r="S11" s="1" t="n"/>
      <c r="T11" s="1" t="n"/>
      <c r="U11" s="1" t="n"/>
      <c r="V11" s="1" t="n"/>
      <c r="W11" s="1" t="n"/>
      <c r="X11" s="1" t="n"/>
      <c r="Y11" s="1" t="n"/>
      <c r="Z11" s="1" t="n"/>
    </row>
    <row r="12" ht="15" customHeight="1" s="311">
      <c r="A12" s="145" t="n"/>
      <c r="B12" s="46" t="inlineStr">
        <is>
          <t>Facturas por cobrar / dinero que te deben</t>
        </is>
      </c>
      <c r="C12" s="61" t="n">
        <v>0</v>
      </c>
      <c r="D12" s="61" t="n">
        <v>0</v>
      </c>
      <c r="E12" s="68">
        <f>N($C12)+N($D12)</f>
        <v/>
      </c>
      <c r="F12" s="71">
        <f>IFERROR($E12/$E$22,"")</f>
        <v/>
      </c>
      <c r="G12" s="145" t="n"/>
      <c r="H12" s="145" t="n"/>
      <c r="I12" s="40" t="inlineStr">
        <is>
          <t>Patrimonio neto</t>
        </is>
      </c>
      <c r="J12" s="42">
        <f>$E$41</f>
        <v/>
      </c>
      <c r="K12" s="1" t="n"/>
      <c r="L12" s="1" t="n"/>
      <c r="M12" s="1" t="n"/>
      <c r="N12" s="1" t="n"/>
      <c r="O12" s="1" t="n"/>
      <c r="P12" s="1" t="n"/>
      <c r="Q12" s="1" t="n"/>
      <c r="R12" s="1" t="n"/>
      <c r="S12" s="1" t="n"/>
      <c r="T12" s="1" t="n"/>
      <c r="U12" s="1" t="n"/>
      <c r="V12" s="1" t="n"/>
      <c r="W12" s="1" t="n"/>
      <c r="X12" s="1" t="n"/>
      <c r="Y12" s="1" t="n"/>
      <c r="Z12" s="1" t="n"/>
    </row>
    <row r="13" ht="15" customHeight="1" s="311">
      <c r="A13" s="145" t="n"/>
      <c r="B13" s="38" t="inlineStr">
        <is>
          <t>Total activo corriente</t>
        </is>
      </c>
      <c r="C13" s="68">
        <f>SUM(C9:C12)</f>
        <v/>
      </c>
      <c r="D13" s="68">
        <f>SUM(D9:D12)</f>
        <v/>
      </c>
      <c r="E13" s="68">
        <f>SUM(E9:E12)</f>
        <v/>
      </c>
      <c r="F13" s="77">
        <f>IFERROR($E13/$E$22,"")</f>
        <v/>
      </c>
      <c r="G13" s="145" t="n"/>
      <c r="H13" s="145" t="n"/>
      <c r="I13" s="145" t="n"/>
      <c r="J13" s="145" t="n"/>
      <c r="K13" s="1" t="n"/>
      <c r="L13" s="1" t="n"/>
      <c r="M13" s="1" t="n"/>
      <c r="N13" s="1" t="n"/>
      <c r="O13" s="1" t="n"/>
      <c r="P13" s="1" t="n"/>
      <c r="Q13" s="1" t="n"/>
      <c r="R13" s="1" t="n"/>
      <c r="S13" s="1" t="n"/>
      <c r="T13" s="1" t="n"/>
      <c r="U13" s="1" t="n"/>
      <c r="V13" s="1" t="n"/>
      <c r="W13" s="1" t="n"/>
      <c r="X13" s="1" t="n"/>
      <c r="Y13" s="1" t="n"/>
      <c r="Z13" s="1" t="n"/>
    </row>
    <row r="14">
      <c r="A14" s="145" t="n"/>
      <c r="B14" s="145" t="n"/>
      <c r="C14" s="145" t="n"/>
      <c r="D14" s="145" t="n"/>
      <c r="E14" s="145" t="n"/>
      <c r="F14" s="145" t="n"/>
      <c r="G14" s="145" t="n"/>
      <c r="H14" s="145" t="n"/>
      <c r="I14" s="145" t="n"/>
      <c r="J14" s="145" t="n"/>
      <c r="K14" s="1" t="n"/>
      <c r="L14" s="1" t="n"/>
      <c r="M14" s="1" t="n"/>
      <c r="N14" s="1" t="n"/>
      <c r="O14" s="1" t="n"/>
      <c r="P14" s="1" t="n"/>
      <c r="Q14" s="1" t="n"/>
      <c r="R14" s="1" t="n"/>
      <c r="S14" s="1" t="n"/>
      <c r="T14" s="1" t="n"/>
      <c r="U14" s="1" t="n"/>
      <c r="V14" s="1" t="n"/>
      <c r="W14" s="1" t="n"/>
      <c r="X14" s="1" t="n"/>
      <c r="Y14" s="1" t="n"/>
      <c r="Z14" s="1" t="n"/>
    </row>
    <row r="15" ht="15" customHeight="1" s="311">
      <c r="A15" s="145" t="n"/>
      <c r="B15" s="38" t="inlineStr">
        <is>
          <t>Activo no corriente  (lo que no piensas convertir en dinero este año)</t>
        </is>
      </c>
      <c r="C15" s="39" t="n"/>
      <c r="D15" s="39" t="n"/>
      <c r="E15" s="39" t="n"/>
      <c r="F15" s="39" t="n"/>
      <c r="G15" s="145" t="n"/>
      <c r="H15" s="145" t="n"/>
      <c r="I15" s="145" t="n"/>
      <c r="J15" s="145" t="n"/>
      <c r="K15" s="1" t="n"/>
      <c r="L15" s="1" t="n"/>
      <c r="M15" s="1" t="n"/>
      <c r="N15" s="1" t="n"/>
      <c r="O15" s="1" t="n"/>
      <c r="P15" s="1" t="n"/>
      <c r="Q15" s="1" t="n"/>
      <c r="R15" s="1" t="n"/>
      <c r="S15" s="1" t="n"/>
      <c r="T15" s="1" t="n"/>
      <c r="U15" s="1" t="n"/>
      <c r="V15" s="1" t="n"/>
      <c r="W15" s="1" t="n"/>
      <c r="X15" s="1" t="n"/>
      <c r="Y15" s="1" t="n"/>
      <c r="Z15" s="1" t="n"/>
    </row>
    <row r="16" ht="27.75" customHeight="1" s="311">
      <c r="A16" s="145" t="n"/>
      <c r="B16" s="46" t="inlineStr">
        <is>
          <t>Cartera de inversión</t>
        </is>
      </c>
      <c r="C16" s="61">
        <f>SUMIFS(Inversiones!$L$7:$L$47,Inversiones!$X$7:$X$47,"Sí")</f>
        <v/>
      </c>
      <c r="D16" s="61" t="n"/>
      <c r="E16" s="68">
        <f>N($C16)+N($D16)</f>
        <v/>
      </c>
      <c r="F16" s="71">
        <f>IFERROR($E16/$E$22,"")</f>
        <v/>
      </c>
      <c r="G16" s="20" t="inlineStr">
        <is>
          <t>Valor actual total de la hoja Inversiones. Toda la cartera se imputa a la columna "Tú": la hoja Inversiones no tiene columna de Ámbito.</t>
        </is>
      </c>
      <c r="I16" s="145" t="n"/>
      <c r="J16" s="145" t="n"/>
      <c r="K16" s="1" t="n"/>
      <c r="L16" s="1" t="n"/>
      <c r="M16" s="1" t="n"/>
      <c r="N16" s="1" t="n"/>
      <c r="O16" s="1" t="n"/>
      <c r="P16" s="1" t="n"/>
      <c r="Q16" s="1" t="n"/>
      <c r="R16" s="1" t="n"/>
      <c r="S16" s="1" t="n"/>
      <c r="T16" s="1" t="n"/>
      <c r="U16" s="1" t="n"/>
      <c r="V16" s="1" t="n"/>
      <c r="W16" s="1" t="n"/>
      <c r="X16" s="1" t="n"/>
      <c r="Y16" s="1" t="n"/>
      <c r="Z16" s="1" t="n"/>
    </row>
    <row r="17" ht="21.75" customHeight="1" s="311">
      <c r="A17" s="145" t="n"/>
      <c r="B17" s="46" t="inlineStr">
        <is>
          <t>Inmuebles (viviendas)</t>
        </is>
      </c>
      <c r="C17" s="61">
        <f>SUMIFS($E$80:$E$88,$G$80:$G$88,"Inmueble",$H$80:$H$88,"Tú")</f>
        <v/>
      </c>
      <c r="D17" s="61">
        <f>SUMIFS($E$80:$E$88,$G$80:$G$88,"Inmueble",$H$80:$H$88,"Hogar")</f>
        <v/>
      </c>
      <c r="E17" s="68">
        <f>N($C17)+N($D17)</f>
        <v/>
      </c>
      <c r="F17" s="71">
        <f>IFERROR($E17/$E$22,"")</f>
        <v/>
      </c>
      <c r="G17" s="20" t="inlineStr">
        <is>
          <t>Suma de la tabla de detalle de abajo. España 117.000 € + República Dominicana 85.250 € (5.500.000 DOP).</t>
        </is>
      </c>
      <c r="H17" s="145" t="n"/>
      <c r="I17" s="145" t="n"/>
      <c r="J17" s="145" t="n"/>
      <c r="K17" s="1" t="n"/>
      <c r="L17" s="1" t="n"/>
      <c r="M17" s="1" t="n"/>
      <c r="N17" s="1" t="n"/>
      <c r="O17" s="1" t="n"/>
      <c r="P17" s="1" t="n"/>
      <c r="Q17" s="1" t="n"/>
      <c r="R17" s="1" t="n"/>
      <c r="S17" s="1" t="n"/>
      <c r="T17" s="1" t="n"/>
      <c r="U17" s="1" t="n"/>
      <c r="V17" s="1" t="n"/>
      <c r="W17" s="1" t="n"/>
      <c r="X17" s="1" t="n"/>
      <c r="Y17" s="1" t="n"/>
      <c r="Z17" s="1" t="n"/>
    </row>
    <row r="18" ht="21" customHeight="1" s="311">
      <c r="A18" s="145" t="n"/>
      <c r="B18" s="46" t="inlineStr">
        <is>
          <t>Bienes duraderos (vehículo, informática, mobiliario, oro)</t>
        </is>
      </c>
      <c r="C18" s="61">
        <f>SUMIFS($E$80:$E$88,$G$80:$G$88,"Bien duradero",$H$80:$H$88,"Tú")</f>
        <v/>
      </c>
      <c r="D18" s="61">
        <f>SUMIFS($E$80:$E$88,$G$80:$G$88,"Bien duradero",$H$80:$H$88,"Hogar")</f>
        <v/>
      </c>
      <c r="E18" s="68">
        <f>N($C18)+N($D18)</f>
        <v/>
      </c>
      <c r="F18" s="71">
        <f>IFERROR($E18/$E$22,"")</f>
        <v/>
      </c>
      <c r="G18" s="20" t="inlineStr">
        <is>
          <t>Vehículo 1.000 € + equipos informáticos 950 € + muebles y electrodomésticos 1.500 €.</t>
        </is>
      </c>
      <c r="H18" s="145" t="n"/>
      <c r="I18" s="145" t="n"/>
      <c r="J18" s="145" t="n"/>
      <c r="K18" s="1" t="n"/>
      <c r="L18" s="1" t="n"/>
      <c r="M18" s="1" t="n"/>
      <c r="N18" s="1" t="n"/>
      <c r="O18" s="1" t="n"/>
      <c r="P18" s="1" t="n"/>
      <c r="Q18" s="1" t="n"/>
      <c r="R18" s="1" t="n"/>
      <c r="S18" s="1" t="n"/>
      <c r="T18" s="1" t="n"/>
      <c r="U18" s="1" t="n"/>
      <c r="V18" s="1" t="n"/>
      <c r="W18" s="1" t="n"/>
      <c r="X18" s="1" t="n"/>
      <c r="Y18" s="1" t="n"/>
      <c r="Z18" s="1" t="n"/>
    </row>
    <row r="19" ht="15" customHeight="1" s="311">
      <c r="A19" s="145" t="n"/>
      <c r="B19" s="46" t="inlineStr">
        <is>
          <t>Otros activos</t>
        </is>
      </c>
      <c r="C19" s="61">
        <f>SUMIFS($E$80:$E$88,$G$80:$G$88,"Otro activo",$H$80:$H$88,"Tú")</f>
        <v/>
      </c>
      <c r="D19" s="61">
        <f>SUMIFS($E$80:$E$88,$G$80:$G$88,"Otro activo",$H$80:$H$88,"Hogar")</f>
        <v/>
      </c>
      <c r="E19" s="68">
        <f>N($C19)+N($D19)</f>
        <v/>
      </c>
      <c r="F19" s="71">
        <f>IFERROR($E19/$E$22,"")</f>
        <v/>
      </c>
      <c r="G19" s="20" t="inlineStr">
        <is>
          <t>Detállalos en la tabla de abajo cuando puedas.</t>
        </is>
      </c>
      <c r="H19" s="145" t="n"/>
      <c r="I19" s="145" t="n"/>
      <c r="J19" s="145" t="n"/>
      <c r="K19" s="1" t="n"/>
      <c r="L19" s="1" t="n"/>
      <c r="M19" s="1" t="n"/>
      <c r="N19" s="1" t="n"/>
      <c r="O19" s="1" t="n"/>
      <c r="P19" s="1" t="n"/>
      <c r="Q19" s="1" t="n"/>
      <c r="R19" s="1" t="n"/>
      <c r="S19" s="1" t="n"/>
      <c r="T19" s="1" t="n"/>
      <c r="U19" s="1" t="n"/>
      <c r="V19" s="1" t="n"/>
      <c r="W19" s="1" t="n"/>
      <c r="X19" s="1" t="n"/>
      <c r="Y19" s="1" t="n"/>
      <c r="Z19" s="1" t="n"/>
    </row>
    <row r="20" ht="15" customHeight="1" s="311">
      <c r="A20" s="145" t="n"/>
      <c r="B20" s="38" t="inlineStr">
        <is>
          <t>Total activo no corriente</t>
        </is>
      </c>
      <c r="C20" s="68">
        <f>SUM(C16:C19)</f>
        <v/>
      </c>
      <c r="D20" s="68">
        <f>SUM(D16:D19)</f>
        <v/>
      </c>
      <c r="E20" s="68">
        <f>SUM(E16:E19)</f>
        <v/>
      </c>
      <c r="F20" s="77">
        <f>IFERROR($E20/$E$22,"")</f>
        <v/>
      </c>
      <c r="G20" s="145" t="n"/>
      <c r="H20" s="145" t="n"/>
      <c r="I20" s="145" t="n"/>
      <c r="J20" s="145" t="n"/>
      <c r="K20" s="1" t="n"/>
      <c r="L20" s="1" t="n"/>
      <c r="M20" s="1" t="n"/>
      <c r="N20" s="1" t="n"/>
      <c r="O20" s="1" t="n"/>
      <c r="P20" s="1" t="n"/>
      <c r="Q20" s="1" t="n"/>
      <c r="R20" s="1" t="n"/>
      <c r="S20" s="1" t="n"/>
      <c r="T20" s="1" t="n"/>
      <c r="U20" s="1" t="n"/>
      <c r="V20" s="1" t="n"/>
      <c r="W20" s="1" t="n"/>
      <c r="X20" s="1" t="n"/>
      <c r="Y20" s="1" t="n"/>
      <c r="Z20" s="1" t="n"/>
    </row>
    <row r="21" ht="15.75" customHeight="1" s="311">
      <c r="A21" s="145" t="n"/>
      <c r="B21" s="145" t="n"/>
      <c r="C21" s="145" t="n"/>
      <c r="D21" s="145" t="n"/>
      <c r="E21" s="145" t="n"/>
      <c r="F21" s="145" t="n"/>
      <c r="G21" s="145" t="n"/>
      <c r="H21" s="145" t="n"/>
      <c r="I21" s="145" t="n"/>
      <c r="J21" s="145" t="n"/>
      <c r="K21" s="1" t="n"/>
      <c r="L21" s="1" t="n"/>
      <c r="M21" s="1" t="n"/>
      <c r="N21" s="1" t="n"/>
      <c r="O21" s="1" t="n"/>
      <c r="P21" s="1" t="n"/>
      <c r="Q21" s="1" t="n"/>
      <c r="R21" s="1" t="n"/>
      <c r="S21" s="1" t="n"/>
      <c r="T21" s="1" t="n"/>
      <c r="U21" s="1" t="n"/>
      <c r="V21" s="1" t="n"/>
      <c r="W21" s="1" t="n"/>
      <c r="X21" s="1" t="n"/>
      <c r="Y21" s="1" t="n"/>
      <c r="Z21" s="1" t="n"/>
    </row>
    <row r="22" ht="15" customHeight="1" s="311">
      <c r="A22" s="145" t="n"/>
      <c r="B22" s="81" t="inlineStr">
        <is>
          <t>TOTAL ACTIVO</t>
        </is>
      </c>
      <c r="C22" s="82">
        <f>C13+C20</f>
        <v/>
      </c>
      <c r="D22" s="82">
        <f>D13+D20</f>
        <v/>
      </c>
      <c r="E22" s="84">
        <f>E13+E20</f>
        <v/>
      </c>
      <c r="F22" s="85">
        <f>IF($E$22=0,"",1)</f>
        <v/>
      </c>
      <c r="G22" s="145" t="n"/>
      <c r="H22" s="145" t="n"/>
      <c r="I22" s="145" t="n"/>
      <c r="J22" s="145" t="n"/>
      <c r="K22" s="1" t="n"/>
      <c r="L22" s="1" t="n"/>
      <c r="M22" s="1" t="n"/>
      <c r="N22" s="1" t="n"/>
      <c r="O22" s="1" t="n"/>
      <c r="P22" s="1" t="n"/>
      <c r="Q22" s="1" t="n"/>
      <c r="R22" s="1" t="n"/>
      <c r="S22" s="1" t="n"/>
      <c r="T22" s="1" t="n"/>
      <c r="U22" s="1" t="n"/>
      <c r="V22" s="1" t="n"/>
      <c r="W22" s="1" t="n"/>
      <c r="X22" s="1" t="n"/>
      <c r="Y22" s="1" t="n"/>
      <c r="Z22" s="1" t="n"/>
    </row>
    <row r="23" ht="15.75" customHeight="1" s="311">
      <c r="A23" s="145" t="n"/>
      <c r="B23" s="145" t="n"/>
      <c r="C23" s="145" t="n"/>
      <c r="D23" s="145" t="n"/>
      <c r="E23" s="145" t="n"/>
      <c r="F23" s="145" t="n"/>
      <c r="G23" s="145" t="n"/>
      <c r="H23" s="145" t="n"/>
      <c r="I23" s="145" t="n"/>
      <c r="J23" s="145" t="n"/>
      <c r="K23" s="1" t="n"/>
      <c r="L23" s="1" t="n"/>
      <c r="M23" s="1" t="n"/>
      <c r="N23" s="1" t="n"/>
      <c r="O23" s="1" t="n"/>
      <c r="P23" s="1" t="n"/>
      <c r="Q23" s="1" t="n"/>
      <c r="R23" s="1" t="n"/>
      <c r="S23" s="1" t="n"/>
      <c r="T23" s="1" t="n"/>
      <c r="U23" s="1" t="n"/>
      <c r="V23" s="1" t="n"/>
      <c r="W23" s="1" t="n"/>
      <c r="X23" s="1" t="n"/>
      <c r="Y23" s="1" t="n"/>
      <c r="Z23" s="1" t="n"/>
    </row>
    <row r="24" ht="21.75" customHeight="1" s="311">
      <c r="A24" s="145" t="n"/>
      <c r="B24" s="21" t="inlineStr">
        <is>
          <t>PASIVO</t>
        </is>
      </c>
      <c r="C24" s="22" t="n"/>
      <c r="D24" s="22" t="n"/>
      <c r="E24" s="22" t="n"/>
      <c r="F24" s="22" t="n"/>
      <c r="G24" s="22" t="n"/>
      <c r="H24" s="145" t="n"/>
      <c r="I24" s="145" t="n"/>
      <c r="J24" s="145" t="n"/>
      <c r="K24" s="1" t="n"/>
      <c r="L24" s="1" t="n"/>
      <c r="M24" s="1" t="n"/>
      <c r="N24" s="1" t="n"/>
      <c r="O24" s="1" t="n"/>
      <c r="P24" s="1" t="n"/>
      <c r="Q24" s="1" t="n"/>
      <c r="R24" s="1" t="n"/>
      <c r="S24" s="1" t="n"/>
      <c r="T24" s="1" t="n"/>
      <c r="U24" s="1" t="n"/>
      <c r="V24" s="1" t="n"/>
      <c r="W24" s="1" t="n"/>
      <c r="X24" s="1" t="n"/>
      <c r="Y24" s="1" t="n"/>
      <c r="Z24" s="1" t="n"/>
    </row>
    <row r="25" ht="15" customHeight="1" s="311">
      <c r="A25" s="145" t="n"/>
      <c r="B25" s="38" t="inlineStr">
        <is>
          <t>Pasivo corriente  (lo que debes pagar en menos de un año)</t>
        </is>
      </c>
      <c r="C25" s="39" t="n"/>
      <c r="D25" s="39" t="n"/>
      <c r="E25" s="39" t="n"/>
      <c r="F25" s="39" t="n"/>
      <c r="G25" s="145" t="n"/>
      <c r="H25" s="145" t="n"/>
      <c r="I25" s="145" t="n"/>
      <c r="J25" s="145" t="n"/>
      <c r="K25" s="1" t="n"/>
      <c r="L25" s="1" t="n"/>
      <c r="M25" s="1" t="n"/>
      <c r="N25" s="1" t="n"/>
      <c r="O25" s="1" t="n"/>
      <c r="P25" s="1" t="n"/>
      <c r="Q25" s="1" t="n"/>
      <c r="R25" s="1" t="n"/>
      <c r="S25" s="1" t="n"/>
      <c r="T25" s="1" t="n"/>
      <c r="U25" s="1" t="n"/>
      <c r="V25" s="1" t="n"/>
      <c r="W25" s="1" t="n"/>
      <c r="X25" s="1" t="n"/>
      <c r="Y25" s="1" t="n"/>
      <c r="Z25" s="1" t="n"/>
    </row>
    <row r="26" ht="32.25" customHeight="1" s="311">
      <c r="A26" s="145" t="n"/>
      <c r="B26" s="46" t="inlineStr">
        <is>
          <t>Facturas pendientes (excluida la deuda financiera)</t>
        </is>
      </c>
      <c r="C26" s="61">
        <f>SUMIFS(Facturas!$K$6:$K$205,Facturas!$AC$6:$AC$205,"Tú",Facturas!$AE$6:$AE$205,"&lt;="&amp;$C$4)-SUMIFS(Facturas!$K$6:$K$205,Facturas!$AC$6:$AC$205,"Tú",Facturas!$D$6:$D$205,"Tarjeta de crédito",Facturas!$AE$6:$AE$205,"&lt;="&amp;$C$4)-SUMIFS(Facturas!$K$6:$K$205,Facturas!$AC$6:$AC$205,"Tú",Facturas!$D$6:$D$205,"Empeño",Facturas!$AE$6:$AE$205,"&lt;="&amp;$C$4)-SUMIFS(Facturas!$K$6:$K$205,Facturas!$AC$6:$AC$205,"Tú",Facturas!$D$6:$D$205,"Préstamo particular",Facturas!$AE$6:$AE$205,"&lt;="&amp;$C$4)-SUMIFS(Facturas!$K$6:$K$205,Facturas!$AC$6:$AC$205,"Tú",Facturas!$D$6:$D$205,"Crédito comercial",Facturas!$AE$6:$AE$205,"&lt;="&amp;$C$4)</f>
        <v/>
      </c>
      <c r="D26" s="61">
        <f>SUMIFS(Facturas!$K$6:$K$205,Facturas!$AC$6:$AC$205,"Hogar",Facturas!$AE$6:$AE$205,"&lt;="&amp;$C$4)-SUMIFS(Facturas!$K$6:$K$205,Facturas!$AC$6:$AC$205,"Hogar",Facturas!$D$6:$D$205,"Tarjeta de crédito",Facturas!$AE$6:$AE$205,"&lt;="&amp;$C$4)-SUMIFS(Facturas!$K$6:$K$205,Facturas!$AC$6:$AC$205,"Hogar",Facturas!$D$6:$D$205,"Empeño",Facturas!$AE$6:$AE$205,"&lt;="&amp;$C$4)-SUMIFS(Facturas!$K$6:$K$205,Facturas!$AC$6:$AC$205,"Hogar",Facturas!$D$6:$D$205,"Préstamo particular",Facturas!$AE$6:$AE$205,"&lt;="&amp;$C$4)-SUMIFS(Facturas!$K$6:$K$205,Facturas!$AC$6:$AC$205,"Hogar",Facturas!$D$6:$D$205,"Crédito comercial",Facturas!$AE$6:$AE$205,"&lt;="&amp;$C$4)</f>
        <v/>
      </c>
      <c r="E26" s="68">
        <f>N($C26)+N($D26)</f>
        <v/>
      </c>
      <c r="F26" s="71">
        <f>IFERROR($E26/$E$22,"")</f>
        <v/>
      </c>
      <c r="G26" s="20" t="inlineStr">
        <is>
          <t>Saldo vivo de la hoja Facturas a la fecha del balance, usando el VENCIMIENTO EFECTIVO (si aplazas una factura, cuenta la fecha nueva). Se descuentan "Tarjeta de crédito", "Empeño", "Préstamo particular" y "Crédito comercial" porque cada una tiene su propia fila más abajo. Los "Intereses de empeño" sí se quedan aquí: son una obligación adicional al capital.</t>
        </is>
      </c>
      <c r="H26" s="145" t="n"/>
      <c r="I26" s="145" t="n"/>
      <c r="J26" s="145" t="n"/>
      <c r="K26" s="1" t="n"/>
      <c r="L26" s="1" t="n"/>
      <c r="M26" s="1" t="n"/>
      <c r="N26" s="1" t="n"/>
      <c r="O26" s="1" t="n"/>
      <c r="P26" s="1" t="n"/>
      <c r="Q26" s="1" t="n"/>
      <c r="R26" s="1" t="n"/>
      <c r="S26" s="1" t="n"/>
      <c r="T26" s="1" t="n"/>
      <c r="U26" s="1" t="n"/>
      <c r="V26" s="1" t="n"/>
      <c r="W26" s="1" t="n"/>
      <c r="X26" s="1" t="n"/>
      <c r="Y26" s="1" t="n"/>
      <c r="Z26" s="1" t="n"/>
    </row>
    <row r="27" ht="15" customHeight="1" s="311">
      <c r="A27" s="145" t="n"/>
      <c r="B27" s="46" t="inlineStr">
        <is>
          <t>Saldo dispuesto en tarjetas y líneas de crédito</t>
        </is>
      </c>
      <c r="C27" s="61">
        <f>SUMIFS(Disponibilidad!$G$23:$G$26,Disponibilidad!$O$23:$O$26,"Tú")</f>
        <v/>
      </c>
      <c r="D27" s="61">
        <f>SUMIFS(Disponibilidad!$G$23:$G$26,Disponibilidad!$O$23:$O$26,"Hogar")</f>
        <v/>
      </c>
      <c r="E27" s="68">
        <f>N($C27)+N($D27)</f>
        <v/>
      </c>
      <c r="F27" s="71">
        <f>IFERROR($E27/$E$22,"")</f>
        <v/>
      </c>
      <c r="G27" s="20" t="inlineStr">
        <is>
          <t>Lo dispuesto, no el límite. Un límite sin usar no es deuda.</t>
        </is>
      </c>
      <c r="H27" s="145" t="n"/>
      <c r="I27" s="145" t="n"/>
      <c r="J27" s="145" t="n"/>
      <c r="K27" s="1" t="n"/>
      <c r="L27" s="1" t="n"/>
      <c r="M27" s="1" t="n"/>
      <c r="N27" s="1" t="n"/>
      <c r="O27" s="1" t="n"/>
      <c r="P27" s="1" t="n"/>
      <c r="Q27" s="1" t="n"/>
      <c r="R27" s="1" t="n"/>
      <c r="S27" s="1" t="n"/>
      <c r="T27" s="1" t="n"/>
      <c r="U27" s="1" t="n"/>
      <c r="V27" s="1" t="n"/>
      <c r="W27" s="1" t="n"/>
      <c r="X27" s="1" t="n"/>
      <c r="Y27" s="1" t="n"/>
      <c r="Z27" s="1" t="n"/>
    </row>
    <row r="28" ht="19.5" customHeight="1" s="311">
      <c r="A28" s="145" t="n"/>
      <c r="B28" s="46" t="inlineStr">
        <is>
          <t>Empeños — capital pendiente de las prendas</t>
        </is>
      </c>
      <c r="C28" s="61">
        <f>SUMIFS($D$105:$D$114,$H$105:$H$114,"Tú")</f>
        <v/>
      </c>
      <c r="D28" s="61">
        <f>SUMIFS($D$105:$D$114,$H$105:$H$114,"Hogar")</f>
        <v/>
      </c>
      <c r="E28" s="68">
        <f>N($C28)+N($D28)</f>
        <v/>
      </c>
      <c r="F28" s="71">
        <f>IFERROR($E28/$E$22,"")</f>
        <v/>
      </c>
      <c r="G28" s="20" t="inlineStr">
        <is>
          <t>Suma del detalle de PRENDAS de abajo (bloque A). Solo empeños: los préstamos de particulares tienen ahora su propia fila.</t>
        </is>
      </c>
      <c r="H28" s="145" t="n"/>
      <c r="I28" s="33" t="inlineStr">
        <is>
          <t>Composición del activo</t>
        </is>
      </c>
      <c r="J28" s="33" t="inlineStr">
        <is>
          <t>€</t>
        </is>
      </c>
      <c r="K28" s="1" t="n"/>
      <c r="L28" s="1" t="n"/>
      <c r="M28" s="1" t="n"/>
      <c r="N28" s="1" t="n"/>
      <c r="O28" s="1" t="n"/>
      <c r="P28" s="1" t="n"/>
      <c r="Q28" s="1" t="n"/>
      <c r="R28" s="1" t="n"/>
      <c r="S28" s="1" t="n"/>
      <c r="T28" s="1" t="n"/>
      <c r="U28" s="1" t="n"/>
      <c r="V28" s="1" t="n"/>
      <c r="W28" s="1" t="n"/>
      <c r="X28" s="1" t="n"/>
      <c r="Y28" s="1" t="n"/>
      <c r="Z28" s="1" t="n"/>
    </row>
    <row r="29" ht="21.75" customHeight="1" s="311">
      <c r="A29" s="145" t="n"/>
      <c r="B29" s="46" t="inlineStr">
        <is>
          <t>Parte de la hipoteca a pagar en 12 meses</t>
        </is>
      </c>
      <c r="C29" s="61" t="n">
        <v>0</v>
      </c>
      <c r="D29" s="61">
        <f>$C$96</f>
        <v/>
      </c>
      <c r="E29" s="68">
        <f>N($C29)+N($D29)</f>
        <v/>
      </c>
      <c r="F29" s="71">
        <f>IFERROR($E29/$E$22,"")</f>
        <v/>
      </c>
      <c r="G29" s="20" t="inlineStr">
        <is>
          <t>La hipoteca es del ámbito Hogar: por eso la columna "Tú" va a cero.</t>
        </is>
      </c>
      <c r="H29" s="145" t="n"/>
      <c r="I29" s="40" t="inlineStr">
        <is>
          <t>Efectivo disponible</t>
        </is>
      </c>
      <c r="J29" s="42">
        <f>$E$9</f>
        <v/>
      </c>
      <c r="K29" s="1" t="n"/>
      <c r="L29" s="1" t="n"/>
      <c r="M29" s="1" t="n"/>
      <c r="N29" s="1" t="n"/>
      <c r="O29" s="1" t="n"/>
      <c r="P29" s="1" t="n"/>
      <c r="Q29" s="1" t="n"/>
      <c r="R29" s="1" t="n"/>
      <c r="S29" s="1" t="n"/>
      <c r="T29" s="1" t="n"/>
      <c r="U29" s="1" t="n"/>
      <c r="V29" s="1" t="n"/>
      <c r="W29" s="1" t="n"/>
      <c r="X29" s="1" t="n"/>
      <c r="Y29" s="1" t="n"/>
      <c r="Z29" s="1" t="n"/>
    </row>
    <row r="30" ht="23.25" customHeight="1" s="311">
      <c r="A30" s="145" t="n"/>
      <c r="B30" s="46" t="inlineStr">
        <is>
          <t>Préstamos de particulares (Jose Antonio, Fulgencia, …)</t>
        </is>
      </c>
      <c r="C30" s="61">
        <f>SUMIFS(Facturas!$K$6:$K$205,Facturas!$AC$6:$AC$205,"Tú",Facturas!$D$6:$D$205,"Préstamo particular",Facturas!$AE$6:$AE$205,"&lt;="&amp;$C$4)</f>
        <v/>
      </c>
      <c r="D30" s="61">
        <f>SUMIFS(Facturas!$K$6:$K$205,Facturas!$AC$6:$AC$205,"Hogar",Facturas!$D$6:$D$205,"Préstamo particular",Facturas!$AE$6:$AE$205,"&lt;="&amp;$C$4)</f>
        <v/>
      </c>
      <c r="E30" s="68">
        <f>N($C30)+N($D30)</f>
        <v/>
      </c>
      <c r="F30" s="71">
        <f>IFERROR($E30/$E$22,"")</f>
        <v/>
      </c>
      <c r="G30" s="20" t="inlineStr">
        <is>
          <t>Se alimenta SOLA de la hoja Facturas: todas las facturas con categoría "Préstamo particular". Cuando registres un pago en Caja enlazado a esa factura, baja aquí y baja la caja. El desglose por prestamista está en el bloque B del final de esta hoja.</t>
        </is>
      </c>
      <c r="H30" s="145" t="n"/>
      <c r="I30" s="40" t="n"/>
      <c r="J30" s="42" t="n"/>
      <c r="K30" s="1" t="n"/>
      <c r="L30" s="1" t="n"/>
      <c r="M30" s="1" t="n"/>
      <c r="N30" s="1" t="n"/>
      <c r="O30" s="1" t="n"/>
      <c r="P30" s="1" t="n"/>
      <c r="Q30" s="1" t="n"/>
      <c r="R30" s="1" t="n"/>
      <c r="S30" s="1" t="n"/>
      <c r="T30" s="1" t="n"/>
      <c r="U30" s="1" t="n"/>
      <c r="V30" s="1" t="n"/>
      <c r="W30" s="1" t="n"/>
      <c r="X30" s="1" t="n"/>
      <c r="Y30" s="1" t="n"/>
      <c r="Z30" s="1" t="n"/>
    </row>
    <row r="31" ht="15" customHeight="1" s="311">
      <c r="A31" s="145" t="n"/>
      <c r="B31" s="46" t="inlineStr">
        <is>
          <t>Crédito comercial y otras deudas a corto plazo</t>
        </is>
      </c>
      <c r="C31" s="61">
        <f>SUMIFS(Facturas!$K$6:$K$205,Facturas!$AC$6:$AC$205,"Tú",Facturas!$D$6:$D$205,"Crédito comercial")+N($C$143)</f>
        <v/>
      </c>
      <c r="D31" s="61">
        <f>SUMIFS(Facturas!$K$6:$K$205,Facturas!$AC$6:$AC$205,"Hogar",Facturas!$D$6:$D$205,"Crédito comercial")+N($D$143)</f>
        <v/>
      </c>
      <c r="E31" s="68">
        <f>N($C31)+N($D31)</f>
        <v/>
      </c>
      <c r="F31" s="71">
        <f>IFERROR($E31/$E$22,"")</f>
        <v/>
      </c>
      <c r="G31" s="145" t="inlineStr">
        <is>
          <t>Compras aplazadas a proveedores y microcréditos: todas las facturas con categoría "Crédito comercial" (Karma Market, Vivus, Imagin…). Se toma el saldo vivo COMPLETO, sin filtrar por fecha de vencimiento: la deuda existe hoy aunque la cuota venza el mes que viene. El desglose por proveedor está en la sección C). En la fila 143 puedes añadir a mano cualquier otra deuda a corto plazo que no esté en Facturas.</t>
        </is>
      </c>
      <c r="H31" s="145" t="n"/>
      <c r="I31" s="40" t="inlineStr">
        <is>
          <t>Retenido o comprometido</t>
        </is>
      </c>
      <c r="J31" s="42">
        <f>$E$10+$E$11</f>
        <v/>
      </c>
      <c r="K31" s="1" t="n"/>
      <c r="L31" s="1" t="n"/>
      <c r="M31" s="1" t="n"/>
      <c r="N31" s="1" t="n"/>
      <c r="O31" s="1" t="n"/>
      <c r="P31" s="1" t="n"/>
      <c r="Q31" s="1" t="n"/>
      <c r="R31" s="1" t="n"/>
      <c r="S31" s="1" t="n"/>
      <c r="T31" s="1" t="n"/>
      <c r="U31" s="1" t="n"/>
      <c r="V31" s="1" t="n"/>
      <c r="W31" s="1" t="n"/>
      <c r="X31" s="1" t="n"/>
      <c r="Y31" s="1" t="n"/>
      <c r="Z31" s="1" t="n"/>
    </row>
    <row r="32" ht="15" customHeight="1" s="311">
      <c r="A32" s="145" t="n"/>
      <c r="B32" s="38" t="inlineStr">
        <is>
          <t>Total pasivo corriente</t>
        </is>
      </c>
      <c r="C32" s="68">
        <f>SUM(C26:C31)</f>
        <v/>
      </c>
      <c r="D32" s="68">
        <f>SUM(D26:D31)</f>
        <v/>
      </c>
      <c r="E32" s="68">
        <f>SUM(E26:E31)</f>
        <v/>
      </c>
      <c r="F32" s="77">
        <f>IFERROR($E32/$E$22,"")</f>
        <v/>
      </c>
      <c r="G32" s="145" t="n"/>
      <c r="H32" s="145" t="n"/>
      <c r="I32" s="40" t="inlineStr">
        <is>
          <t>Cartera de inversión</t>
        </is>
      </c>
      <c r="J32" s="42">
        <f>$E$16</f>
        <v/>
      </c>
      <c r="K32" s="1" t="n"/>
      <c r="L32" s="1" t="n"/>
      <c r="M32" s="1" t="n"/>
      <c r="N32" s="1" t="n"/>
      <c r="O32" s="1" t="n"/>
      <c r="P32" s="1" t="n"/>
      <c r="Q32" s="1" t="n"/>
      <c r="R32" s="1" t="n"/>
      <c r="S32" s="1" t="n"/>
      <c r="T32" s="1" t="n"/>
      <c r="U32" s="1" t="n"/>
      <c r="V32" s="1" t="n"/>
      <c r="W32" s="1" t="n"/>
      <c r="X32" s="1" t="n"/>
      <c r="Y32" s="1" t="n"/>
      <c r="Z32" s="1" t="n"/>
    </row>
    <row r="33" ht="15" customHeight="1" s="311">
      <c r="A33" s="145" t="n"/>
      <c r="B33" s="145" t="n"/>
      <c r="C33" s="145" t="n"/>
      <c r="D33" s="145" t="n"/>
      <c r="E33" s="145" t="n"/>
      <c r="F33" s="145" t="n"/>
      <c r="G33" s="145" t="n"/>
      <c r="H33" s="145" t="n"/>
      <c r="I33" s="40" t="inlineStr">
        <is>
          <t>Vivienda</t>
        </is>
      </c>
      <c r="J33" s="42">
        <f>$E$17</f>
        <v/>
      </c>
      <c r="K33" s="1" t="n"/>
      <c r="L33" s="1" t="n"/>
      <c r="M33" s="1" t="n"/>
      <c r="N33" s="1" t="n"/>
      <c r="O33" s="1" t="n"/>
      <c r="P33" s="1" t="n"/>
      <c r="Q33" s="1" t="n"/>
      <c r="R33" s="1" t="n"/>
      <c r="S33" s="1" t="n"/>
      <c r="T33" s="1" t="n"/>
      <c r="U33" s="1" t="n"/>
      <c r="V33" s="1" t="n"/>
      <c r="W33" s="1" t="n"/>
      <c r="X33" s="1" t="n"/>
      <c r="Y33" s="1" t="n"/>
      <c r="Z33" s="1" t="n"/>
    </row>
    <row r="34" ht="15" customHeight="1" s="311">
      <c r="A34" s="145" t="n"/>
      <c r="B34" s="38" t="inlineStr">
        <is>
          <t>Pasivo no corriente</t>
        </is>
      </c>
      <c r="C34" s="39" t="n"/>
      <c r="D34" s="39" t="n"/>
      <c r="E34" s="39" t="n"/>
      <c r="F34" s="39" t="n"/>
      <c r="G34" s="145" t="n"/>
      <c r="H34" s="145" t="n"/>
      <c r="I34" s="40" t="inlineStr">
        <is>
          <t>Otros bienes</t>
        </is>
      </c>
      <c r="J34" s="42">
        <f>$E$18+$E$19</f>
        <v/>
      </c>
      <c r="K34" s="1" t="n"/>
      <c r="L34" s="1" t="n"/>
      <c r="M34" s="1" t="n"/>
      <c r="N34" s="1" t="n"/>
      <c r="O34" s="1" t="n"/>
      <c r="P34" s="1" t="n"/>
      <c r="Q34" s="1" t="n"/>
      <c r="R34" s="1" t="n"/>
      <c r="S34" s="1" t="n"/>
      <c r="T34" s="1" t="n"/>
      <c r="U34" s="1" t="n"/>
      <c r="V34" s="1" t="n"/>
      <c r="W34" s="1" t="n"/>
      <c r="X34" s="1" t="n"/>
      <c r="Y34" s="1" t="n"/>
      <c r="Z34" s="1" t="n"/>
    </row>
    <row r="35" ht="15" customHeight="1" s="311">
      <c r="A35" s="145" t="n"/>
      <c r="B35" s="46" t="inlineStr">
        <is>
          <t>Hipoteca pendiente (más allá de 12 meses)</t>
        </is>
      </c>
      <c r="C35" s="61" t="n"/>
      <c r="D35" s="61">
        <f>$C$97</f>
        <v/>
      </c>
      <c r="E35" s="68">
        <f>N($C35)+N($D35)</f>
        <v/>
      </c>
      <c r="F35" s="71">
        <f>IFERROR($E35/$E$22,"")</f>
        <v/>
      </c>
      <c r="G35" s="20" t="inlineStr">
        <is>
          <t>El resto del capital vivo.</t>
        </is>
      </c>
      <c r="H35" s="145" t="n"/>
      <c r="I35" s="145" t="n"/>
      <c r="J35" s="145" t="n"/>
      <c r="K35" s="1" t="n"/>
      <c r="L35" s="1" t="n"/>
      <c r="M35" s="1" t="n"/>
      <c r="N35" s="1" t="n"/>
      <c r="O35" s="1" t="n"/>
      <c r="P35" s="1" t="n"/>
      <c r="Q35" s="1" t="n"/>
      <c r="R35" s="1" t="n"/>
      <c r="S35" s="1" t="n"/>
      <c r="T35" s="1" t="n"/>
      <c r="U35" s="1" t="n"/>
      <c r="V35" s="1" t="n"/>
      <c r="W35" s="1" t="n"/>
      <c r="X35" s="1" t="n"/>
      <c r="Y35" s="1" t="n"/>
      <c r="Z35" s="1" t="n"/>
    </row>
    <row r="36" ht="15" customHeight="1" s="311">
      <c r="A36" s="145" t="n"/>
      <c r="B36" s="46" t="inlineStr">
        <is>
          <t>Otras deudas a largo plazo</t>
        </is>
      </c>
      <c r="C36" s="61" t="n">
        <v>0</v>
      </c>
      <c r="D36" s="61" t="n">
        <v>0</v>
      </c>
      <c r="E36" s="68">
        <f>N($C36)+N($D36)</f>
        <v/>
      </c>
      <c r="F36" s="71">
        <f>IFERROR($E36/$E$22,"")</f>
        <v/>
      </c>
      <c r="G36" s="145" t="n"/>
      <c r="H36" s="145" t="n"/>
      <c r="I36" s="145" t="n"/>
      <c r="J36" s="145" t="n"/>
      <c r="K36" s="1" t="n"/>
      <c r="L36" s="1" t="n"/>
      <c r="M36" s="1" t="n"/>
      <c r="N36" s="1" t="n"/>
      <c r="O36" s="1" t="n"/>
      <c r="P36" s="1" t="n"/>
      <c r="Q36" s="1" t="n"/>
      <c r="R36" s="1" t="n"/>
      <c r="S36" s="1" t="n"/>
      <c r="T36" s="1" t="n"/>
      <c r="U36" s="1" t="n"/>
      <c r="V36" s="1" t="n"/>
      <c r="W36" s="1" t="n"/>
      <c r="X36" s="1" t="n"/>
      <c r="Y36" s="1" t="n"/>
      <c r="Z36" s="1" t="n"/>
    </row>
    <row r="37" ht="15" customHeight="1" s="311">
      <c r="A37" s="145" t="n"/>
      <c r="B37" s="38" t="inlineStr">
        <is>
          <t>Total pasivo no corriente</t>
        </is>
      </c>
      <c r="C37" s="68">
        <f>SUM(C35:C36)</f>
        <v/>
      </c>
      <c r="D37" s="68">
        <f>SUM(D35:D36)</f>
        <v/>
      </c>
      <c r="E37" s="68">
        <f>SUM(E35:E36)</f>
        <v/>
      </c>
      <c r="F37" s="77">
        <f>IFERROR($E37/$E$22,"")</f>
        <v/>
      </c>
      <c r="G37" s="145" t="n"/>
      <c r="H37" s="145" t="n"/>
      <c r="I37" s="145" t="n"/>
      <c r="J37" s="145" t="n"/>
      <c r="K37" s="1" t="n"/>
      <c r="L37" s="1" t="n"/>
      <c r="M37" s="1" t="n"/>
      <c r="N37" s="1" t="n"/>
      <c r="O37" s="1" t="n"/>
      <c r="P37" s="1" t="n"/>
      <c r="Q37" s="1" t="n"/>
      <c r="R37" s="1" t="n"/>
      <c r="S37" s="1" t="n"/>
      <c r="T37" s="1" t="n"/>
      <c r="U37" s="1" t="n"/>
      <c r="V37" s="1" t="n"/>
      <c r="W37" s="1" t="n"/>
      <c r="X37" s="1" t="n"/>
      <c r="Y37" s="1" t="n"/>
      <c r="Z37" s="1" t="n"/>
    </row>
    <row r="38" ht="15.75" customHeight="1" s="311">
      <c r="A38" s="145" t="n"/>
      <c r="B38" s="145" t="n"/>
      <c r="C38" s="145" t="n"/>
      <c r="D38" s="145" t="n"/>
      <c r="E38" s="145" t="n"/>
      <c r="F38" s="145" t="n"/>
      <c r="G38" s="145" t="n"/>
      <c r="H38" s="145" t="n"/>
      <c r="I38" s="145" t="n"/>
      <c r="J38" s="145" t="n"/>
      <c r="K38" s="1" t="n"/>
      <c r="L38" s="1" t="n"/>
      <c r="M38" s="1" t="n"/>
      <c r="N38" s="1" t="n"/>
      <c r="O38" s="1" t="n"/>
      <c r="P38" s="1" t="n"/>
      <c r="Q38" s="1" t="n"/>
      <c r="R38" s="1" t="n"/>
      <c r="S38" s="1" t="n"/>
      <c r="T38" s="1" t="n"/>
      <c r="U38" s="1" t="n"/>
      <c r="V38" s="1" t="n"/>
      <c r="W38" s="1" t="n"/>
      <c r="X38" s="1" t="n"/>
      <c r="Y38" s="1" t="n"/>
      <c r="Z38" s="1" t="n"/>
    </row>
    <row r="39" ht="15" customHeight="1" s="311">
      <c r="A39" s="145" t="n"/>
      <c r="B39" s="90" t="inlineStr">
        <is>
          <t>TOTAL PASIVO</t>
        </is>
      </c>
      <c r="C39" s="91">
        <f>C32+C37</f>
        <v/>
      </c>
      <c r="D39" s="91">
        <f>D32+D37</f>
        <v/>
      </c>
      <c r="E39" s="91">
        <f>E32+E37</f>
        <v/>
      </c>
      <c r="F39" s="92">
        <f>IFERROR($E$39/$E$22,"")</f>
        <v/>
      </c>
      <c r="G39" s="145" t="n"/>
      <c r="H39" s="145" t="n"/>
      <c r="I39" s="145" t="n"/>
      <c r="J39" s="145" t="n"/>
      <c r="K39" s="1" t="n"/>
      <c r="L39" s="1" t="n"/>
      <c r="M39" s="1" t="n"/>
      <c r="N39" s="1" t="n"/>
      <c r="O39" s="1" t="n"/>
      <c r="P39" s="1" t="n"/>
      <c r="Q39" s="1" t="n"/>
      <c r="R39" s="1" t="n"/>
      <c r="S39" s="1" t="n"/>
      <c r="T39" s="1" t="n"/>
      <c r="U39" s="1" t="n"/>
      <c r="V39" s="1" t="n"/>
      <c r="W39" s="1" t="n"/>
      <c r="X39" s="1" t="n"/>
      <c r="Y39" s="1" t="n"/>
      <c r="Z39" s="1" t="n"/>
    </row>
    <row r="40" ht="15.75" customHeight="1" s="311">
      <c r="A40" s="145" t="n"/>
      <c r="B40" s="145" t="n"/>
      <c r="C40" s="145" t="n"/>
      <c r="D40" s="145" t="n"/>
      <c r="E40" s="145" t="n"/>
      <c r="F40" s="145" t="n"/>
      <c r="G40" s="145" t="n"/>
      <c r="H40" s="145" t="n"/>
      <c r="I40" s="145" t="n"/>
      <c r="J40" s="145" t="n"/>
      <c r="K40" s="1" t="n"/>
      <c r="L40" s="1" t="n"/>
      <c r="M40" s="1" t="n"/>
      <c r="N40" s="1" t="n"/>
      <c r="O40" s="1" t="n"/>
      <c r="P40" s="1" t="n"/>
      <c r="Q40" s="1" t="n"/>
      <c r="R40" s="1" t="n"/>
      <c r="S40" s="1" t="n"/>
      <c r="T40" s="1" t="n"/>
      <c r="U40" s="1" t="n"/>
      <c r="V40" s="1" t="n"/>
      <c r="W40" s="1" t="n"/>
      <c r="X40" s="1" t="n"/>
      <c r="Y40" s="1" t="n"/>
      <c r="Z40" s="1" t="n"/>
    </row>
    <row r="41" ht="21.75" customHeight="1" s="311">
      <c r="A41" s="145" t="n"/>
      <c r="B41" s="94" t="inlineStr">
        <is>
          <t>TOTAL PATRIMONIO NETO   (Activo − Pasivo)</t>
        </is>
      </c>
      <c r="C41" s="82">
        <f>C22-C39</f>
        <v/>
      </c>
      <c r="D41" s="82">
        <f>D22-D39</f>
        <v/>
      </c>
      <c r="E41" s="95">
        <f>E22-E39</f>
        <v/>
      </c>
      <c r="F41" s="85">
        <f>IFERROR($E$41/$E$22,"")</f>
        <v/>
      </c>
      <c r="G41" s="20" t="inlineStr">
        <is>
          <t>No es una lista de cosas: es una resta. Es el único número que resume si vas hacia arriba o hacia abajo.</t>
        </is>
      </c>
      <c r="H41" s="145" t="n"/>
      <c r="I41" s="145" t="n"/>
      <c r="J41" s="145" t="n"/>
      <c r="K41" s="1" t="n"/>
      <c r="L41" s="1" t="n"/>
      <c r="M41" s="1" t="n"/>
      <c r="N41" s="1" t="n"/>
      <c r="O41" s="1" t="n"/>
      <c r="P41" s="1" t="n"/>
      <c r="Q41" s="1" t="n"/>
      <c r="R41" s="1" t="n"/>
      <c r="S41" s="1" t="n"/>
      <c r="T41" s="1" t="n"/>
      <c r="U41" s="1" t="n"/>
      <c r="V41" s="1" t="n"/>
      <c r="W41" s="1" t="n"/>
      <c r="X41" s="1" t="n"/>
      <c r="Y41" s="1" t="n"/>
      <c r="Z41" s="1" t="n"/>
    </row>
    <row r="42" ht="15" customHeight="1" s="311">
      <c r="A42" s="145" t="n"/>
      <c r="B42" s="94" t="inlineStr">
        <is>
          <t>TOTAL PASIVO + PATRIMONIO NETO</t>
        </is>
      </c>
      <c r="C42" s="82">
        <f>C39+C41</f>
        <v/>
      </c>
      <c r="D42" s="82">
        <f>D39+D41</f>
        <v/>
      </c>
      <c r="E42" s="95">
        <f>E39+E41</f>
        <v/>
      </c>
      <c r="F42" s="85">
        <f>IF($E$22=0,"",1)</f>
        <v/>
      </c>
      <c r="G42" s="20" t="inlineStr">
        <is>
          <t>Debe dar exactamente el mismo número que TOTAL ACTIVO (fila 22). Es la ecuación contable básica.</t>
        </is>
      </c>
      <c r="H42" s="145" t="n"/>
      <c r="I42" s="145" t="n"/>
      <c r="J42" s="145" t="n"/>
      <c r="K42" s="1" t="n"/>
      <c r="L42" s="1" t="n"/>
      <c r="M42" s="1" t="n"/>
      <c r="N42" s="1" t="n"/>
      <c r="O42" s="1" t="n"/>
      <c r="P42" s="1" t="n"/>
      <c r="Q42" s="1" t="n"/>
      <c r="R42" s="1" t="n"/>
      <c r="S42" s="1" t="n"/>
      <c r="T42" s="1" t="n"/>
      <c r="U42" s="1" t="n"/>
      <c r="V42" s="1" t="n"/>
      <c r="W42" s="1" t="n"/>
      <c r="X42" s="1" t="n"/>
      <c r="Y42" s="1" t="n"/>
      <c r="Z42" s="1" t="n"/>
    </row>
    <row r="43" ht="15" customHeight="1" s="311">
      <c r="A43" s="145" t="n"/>
      <c r="B43" s="98" t="inlineStr">
        <is>
          <t>✔️ COMPROBACIÓN DEL BALANCE   (Activo − Pasivo − Patrimonio = 0)</t>
        </is>
      </c>
      <c r="C43" s="82">
        <f>ROUND(C22-C42,2)</f>
        <v/>
      </c>
      <c r="D43" s="82">
        <f>ROUND(D22-D42,2)</f>
        <v/>
      </c>
      <c r="E43" s="95">
        <f>ROUND(E22-E42,2)</f>
        <v/>
      </c>
      <c r="F43" s="145" t="n"/>
      <c r="G43" s="100">
        <f>IF(ROUND($E$43,2)=0,"✅ CUADRA: el activo es igual al pasivo más el patrimonio","🔴 NO CUADRA: faltan "&amp;TEXT(ABS($E$43),"#,##0.00")&amp;" € por explicar")</f>
        <v/>
      </c>
      <c r="H43" s="145" t="n"/>
      <c r="I43" s="145" t="n"/>
      <c r="J43" s="145" t="n"/>
      <c r="K43" s="1" t="n"/>
      <c r="L43" s="1" t="n"/>
      <c r="M43" s="1" t="n"/>
      <c r="N43" s="1" t="n"/>
      <c r="O43" s="1" t="n"/>
      <c r="P43" s="1" t="n"/>
      <c r="Q43" s="1" t="n"/>
      <c r="R43" s="1" t="n"/>
      <c r="S43" s="1" t="n"/>
      <c r="T43" s="1" t="n"/>
      <c r="U43" s="1" t="n"/>
      <c r="V43" s="1" t="n"/>
      <c r="W43" s="1" t="n"/>
      <c r="X43" s="1" t="n"/>
      <c r="Y43" s="1" t="n"/>
      <c r="Z43" s="1" t="n"/>
    </row>
    <row r="44" ht="15.75" customHeight="1" s="311">
      <c r="A44" s="145" t="n"/>
      <c r="B44" s="101" t="inlineStr">
        <is>
          <t>Estado de los datos</t>
        </is>
      </c>
      <c r="C44" s="393">
        <f>IF(AND($E$17=0,$C$92=0),"⚠️ Balance incompleto: falta el valor de la vivienda y el capital vivo de la hipoteca","✅ Datos principales cargados")</f>
        <v/>
      </c>
      <c r="D44" s="313" t="n"/>
      <c r="E44" s="313" t="n"/>
      <c r="F44" s="313" t="n"/>
      <c r="G44" s="314" t="n"/>
      <c r="H44" s="145" t="n"/>
      <c r="I44" s="145" t="n"/>
      <c r="J44" s="145" t="n"/>
      <c r="K44" s="1" t="n"/>
      <c r="L44" s="1" t="n"/>
      <c r="M44" s="1" t="n"/>
      <c r="N44" s="1" t="n"/>
      <c r="O44" s="1" t="n"/>
      <c r="P44" s="1" t="n"/>
      <c r="Q44" s="1" t="n"/>
      <c r="R44" s="1" t="n"/>
      <c r="S44" s="1" t="n"/>
      <c r="T44" s="1" t="n"/>
      <c r="U44" s="1" t="n"/>
      <c r="V44" s="1" t="n"/>
      <c r="W44" s="1" t="n"/>
      <c r="X44" s="1" t="n"/>
      <c r="Y44" s="1" t="n"/>
      <c r="Z44" s="1" t="n"/>
    </row>
    <row r="45" ht="21.75" customHeight="1" s="311">
      <c r="A45" s="145" t="n"/>
      <c r="B45" s="21" t="inlineStr">
        <is>
          <t>RATIOS DEL BALANCE</t>
        </is>
      </c>
      <c r="C45" s="22" t="n"/>
      <c r="D45" s="22" t="n"/>
      <c r="E45" s="22" t="n"/>
      <c r="F45" s="22" t="n"/>
      <c r="G45" s="22" t="n"/>
      <c r="H45" s="145" t="n"/>
      <c r="I45" s="145" t="n"/>
      <c r="J45" s="145" t="n"/>
      <c r="K45" s="1" t="n"/>
      <c r="L45" s="1" t="n"/>
      <c r="M45" s="1" t="n"/>
      <c r="N45" s="1" t="n"/>
      <c r="O45" s="1" t="n"/>
      <c r="P45" s="1" t="n"/>
      <c r="Q45" s="1" t="n"/>
      <c r="R45" s="1" t="n"/>
      <c r="S45" s="1" t="n"/>
      <c r="T45" s="1" t="n"/>
      <c r="U45" s="1" t="n"/>
      <c r="V45" s="1" t="n"/>
      <c r="W45" s="1" t="n"/>
      <c r="X45" s="1" t="n"/>
      <c r="Y45" s="1" t="n"/>
      <c r="Z45" s="1" t="n"/>
    </row>
    <row r="46" ht="25.5" customHeight="1" s="311">
      <c r="A46" s="145" t="n"/>
      <c r="B46" s="33" t="inlineStr">
        <is>
          <t>Ratio</t>
        </is>
      </c>
      <c r="C46" s="33" t="inlineStr">
        <is>
          <t>Valor</t>
        </is>
      </c>
      <c r="D46" s="33" t="inlineStr">
        <is>
          <t>Referencia</t>
        </is>
      </c>
      <c r="E46" s="33" t="inlineStr">
        <is>
          <t>Estado</t>
        </is>
      </c>
      <c r="F46" s="33" t="n"/>
      <c r="G46" s="33" t="inlineStr">
        <is>
          <t>Qué significa</t>
        </is>
      </c>
      <c r="H46" s="145" t="n"/>
      <c r="I46" s="145" t="n"/>
      <c r="J46" s="145" t="n"/>
      <c r="K46" s="1" t="n"/>
      <c r="L46" s="1" t="n"/>
      <c r="M46" s="1" t="n"/>
      <c r="N46" s="1" t="n"/>
      <c r="O46" s="1" t="n"/>
      <c r="P46" s="1" t="n"/>
      <c r="Q46" s="1" t="n"/>
      <c r="R46" s="1" t="n"/>
      <c r="S46" s="1" t="n"/>
      <c r="T46" s="1" t="n"/>
      <c r="U46" s="1" t="n"/>
      <c r="V46" s="1" t="n"/>
      <c r="W46" s="1" t="n"/>
      <c r="X46" s="1" t="n"/>
      <c r="Y46" s="1" t="n"/>
      <c r="Z46" s="1" t="n"/>
    </row>
    <row r="47" ht="21.75" customHeight="1" s="311">
      <c r="A47" s="145" t="n"/>
      <c r="B47" s="46" t="inlineStr">
        <is>
          <t>Fondo de maniobra (activo corriente − pasivo corriente)</t>
        </is>
      </c>
      <c r="C47" s="80">
        <f>$E$13-$E$32</f>
        <v/>
      </c>
      <c r="D47" s="41" t="inlineStr">
        <is>
          <t>&gt; 0</t>
        </is>
      </c>
      <c r="E47" s="62">
        <f>IF($C47&gt;0,"✅","🔴")</f>
        <v/>
      </c>
      <c r="F47" s="145" t="n"/>
      <c r="G47" s="20" t="inlineStr">
        <is>
          <t>Si es negativo, tus deudas a corto superan lo que puedes convertir en dinero: es la definición de tensión de tesorería.</t>
        </is>
      </c>
      <c r="H47" s="145" t="n"/>
      <c r="I47" s="145" t="n"/>
      <c r="J47" s="145" t="n"/>
      <c r="K47" s="1" t="n"/>
      <c r="L47" s="1" t="n"/>
      <c r="M47" s="1" t="n"/>
      <c r="N47" s="1" t="n"/>
      <c r="O47" s="1" t="n"/>
      <c r="P47" s="1" t="n"/>
      <c r="Q47" s="1" t="n"/>
      <c r="R47" s="1" t="n"/>
      <c r="S47" s="1" t="n"/>
      <c r="T47" s="1" t="n"/>
      <c r="U47" s="1" t="n"/>
      <c r="V47" s="1" t="n"/>
      <c r="W47" s="1" t="n"/>
      <c r="X47" s="1" t="n"/>
      <c r="Y47" s="1" t="n"/>
      <c r="Z47" s="1" t="n"/>
    </row>
    <row r="48" ht="15" customHeight="1" s="311">
      <c r="A48" s="145" t="n"/>
      <c r="B48" s="46" t="inlineStr">
        <is>
          <t>Ratio de liquidez (activo corriente / pasivo corriente)</t>
        </is>
      </c>
      <c r="C48" s="106">
        <f>IFERROR($E$13/$E$32,"")</f>
        <v/>
      </c>
      <c r="D48" s="41" t="inlineStr">
        <is>
          <t>entre 1,2 y 2</t>
        </is>
      </c>
      <c r="E48" s="62">
        <f>IF(N($C48)=0,"—",IF($C48&gt;=1.2,"✅",IF($C48&gt;=1,"🟡","🔴")))</f>
        <v/>
      </c>
      <c r="F48" s="145" t="n"/>
      <c r="G48" s="20" t="inlineStr">
        <is>
          <t>Cuántas veces cubres con dinero disponible lo que debes pagar este año.</t>
        </is>
      </c>
      <c r="H48" s="145" t="n"/>
      <c r="I48" s="145" t="n"/>
      <c r="J48" s="145" t="n"/>
      <c r="K48" s="1" t="n"/>
      <c r="L48" s="1" t="n"/>
      <c r="M48" s="1" t="n"/>
      <c r="N48" s="1" t="n"/>
      <c r="O48" s="1" t="n"/>
      <c r="P48" s="1" t="n"/>
      <c r="Q48" s="1" t="n"/>
      <c r="R48" s="1" t="n"/>
      <c r="S48" s="1" t="n"/>
      <c r="T48" s="1" t="n"/>
      <c r="U48" s="1" t="n"/>
      <c r="V48" s="1" t="n"/>
      <c r="W48" s="1" t="n"/>
      <c r="X48" s="1" t="n"/>
      <c r="Y48" s="1" t="n"/>
      <c r="Z48" s="1" t="n"/>
    </row>
    <row r="49" ht="15" customHeight="1" s="311">
      <c r="A49" s="145" t="n"/>
      <c r="B49" s="46" t="inlineStr">
        <is>
          <t>Endeudamiento (pasivo / activo)</t>
        </is>
      </c>
      <c r="C49" s="107">
        <f>IFERROR($E$39/$E$22,"")</f>
        <v/>
      </c>
      <c r="D49" s="41" t="inlineStr">
        <is>
          <t>&lt; 50%</t>
        </is>
      </c>
      <c r="E49" s="62">
        <f>IF(N($C49)=0,"—",IF($C49&lt;0.5,"✅",IF($C49&lt;0.7,"🟡","🔴")))</f>
        <v/>
      </c>
      <c r="F49" s="145" t="n"/>
      <c r="G49" s="20" t="inlineStr">
        <is>
          <t>Qué parte de lo que posees es en realidad de otros.</t>
        </is>
      </c>
      <c r="H49" s="145" t="n"/>
      <c r="I49" s="145" t="n"/>
      <c r="J49" s="145" t="n"/>
      <c r="K49" s="1" t="n"/>
      <c r="L49" s="1" t="n"/>
      <c r="M49" s="1" t="n"/>
      <c r="N49" s="1" t="n"/>
      <c r="O49" s="1" t="n"/>
      <c r="P49" s="1" t="n"/>
      <c r="Q49" s="1" t="n"/>
      <c r="R49" s="1" t="n"/>
      <c r="S49" s="1" t="n"/>
      <c r="T49" s="1" t="n"/>
      <c r="U49" s="1" t="n"/>
      <c r="V49" s="1" t="n"/>
      <c r="W49" s="1" t="n"/>
      <c r="X49" s="1" t="n"/>
      <c r="Y49" s="1" t="n"/>
      <c r="Z49" s="1" t="n"/>
    </row>
    <row r="50" ht="15" customHeight="1" s="311">
      <c r="A50" s="145" t="n"/>
      <c r="B50" s="46" t="inlineStr">
        <is>
          <t>Deuda financiera / patrimonio neto</t>
        </is>
      </c>
      <c r="C50" s="106">
        <f>IFERROR(($E$27+$E$28+$E$29+$E$30+$E$35)/$E$41,"")</f>
        <v/>
      </c>
      <c r="D50" s="41" t="inlineStr">
        <is>
          <t>&lt; 1</t>
        </is>
      </c>
      <c r="E50" s="62">
        <f>IF(N($C50)=0,"—",IF(AND($C50&gt;0,$C50&lt;1),"✅","🔴"))</f>
        <v/>
      </c>
      <c r="F50" s="145" t="n"/>
      <c r="G50" s="20" t="inlineStr">
        <is>
          <t>Euros de deuda con interés por cada euro de patrimonio propio.</t>
        </is>
      </c>
      <c r="H50" s="145" t="n"/>
      <c r="I50" s="145" t="n"/>
      <c r="J50" s="145" t="n"/>
      <c r="K50" s="1" t="n"/>
      <c r="L50" s="1" t="n"/>
      <c r="M50" s="1" t="n"/>
      <c r="N50" s="1" t="n"/>
      <c r="O50" s="1" t="n"/>
      <c r="P50" s="1" t="n"/>
      <c r="Q50" s="1" t="n"/>
      <c r="R50" s="1" t="n"/>
      <c r="S50" s="1" t="n"/>
      <c r="T50" s="1" t="n"/>
      <c r="U50" s="1" t="n"/>
      <c r="V50" s="1" t="n"/>
      <c r="W50" s="1" t="n"/>
      <c r="X50" s="1" t="n"/>
      <c r="Y50" s="1" t="n"/>
      <c r="Z50" s="1" t="n"/>
    </row>
    <row r="51" ht="21.75" customHeight="1" s="311">
      <c r="A51" s="145" t="n"/>
      <c r="B51" s="46" t="inlineStr">
        <is>
          <t>Deuda vencida sobre el total de facturas</t>
        </is>
      </c>
      <c r="C51" s="107">
        <f>IFERROR(Facturas!$AG$24/Facturas!$AG$20,"")</f>
        <v/>
      </c>
      <c r="D51" s="41" t="inlineStr">
        <is>
          <t>0%</t>
        </is>
      </c>
      <c r="E51" s="62">
        <f>IF(N($C51)=0,"✅",IF($C51&lt;0.1,"🟡","🔴"))</f>
        <v/>
      </c>
      <c r="F51" s="145" t="n"/>
      <c r="G51" s="20" t="inlineStr">
        <is>
          <t>Parte de lo que debes que ya está fuera de plazo. Cualquier cifra distinta de cero encarece la deuda con recargos.</t>
        </is>
      </c>
      <c r="H51" s="145" t="n"/>
      <c r="I51" s="145" t="n"/>
      <c r="J51" s="145" t="n"/>
      <c r="K51" s="1" t="n"/>
      <c r="L51" s="1" t="n"/>
      <c r="M51" s="1" t="n"/>
      <c r="N51" s="1" t="n"/>
      <c r="O51" s="1" t="n"/>
      <c r="P51" s="1" t="n"/>
      <c r="Q51" s="1" t="n"/>
      <c r="R51" s="1" t="n"/>
      <c r="S51" s="1" t="n"/>
      <c r="T51" s="1" t="n"/>
      <c r="U51" s="1" t="n"/>
      <c r="V51" s="1" t="n"/>
      <c r="W51" s="1" t="n"/>
      <c r="X51" s="1" t="n"/>
      <c r="Y51" s="1" t="n"/>
      <c r="Z51" s="1" t="n"/>
    </row>
    <row r="52" ht="22.5" customHeight="1" s="311">
      <c r="A52" s="145" t="n"/>
      <c r="B52" s="46" t="inlineStr">
        <is>
          <t>Crédito disponible</t>
        </is>
      </c>
      <c r="C52" s="80">
        <f>Disponibilidad!$I$27</f>
        <v/>
      </c>
      <c r="D52" s="41" t="inlineStr">
        <is>
          <t>&gt; 1 mes de gastos</t>
        </is>
      </c>
      <c r="E52" s="62">
        <f>IF($C52&gt;Resultados!$F$41,"✅","🔴")</f>
        <v/>
      </c>
      <c r="F52" s="145" t="n"/>
      <c r="G52" s="20" t="inlineStr">
        <is>
          <t>Margen que te queda en las líneas de crédito. Es tu única red si algo se tuerce.</t>
        </is>
      </c>
      <c r="H52" s="145" t="n"/>
      <c r="I52" s="145" t="n"/>
      <c r="J52" s="145" t="n"/>
      <c r="K52" s="1" t="n"/>
      <c r="L52" s="1" t="n"/>
      <c r="M52" s="1" t="n"/>
      <c r="N52" s="1" t="n"/>
      <c r="O52" s="1" t="n"/>
      <c r="P52" s="1" t="n"/>
      <c r="Q52" s="1" t="n"/>
      <c r="R52" s="1" t="n"/>
      <c r="S52" s="1" t="n"/>
      <c r="T52" s="1" t="n"/>
      <c r="U52" s="1" t="n"/>
      <c r="V52" s="1" t="n"/>
      <c r="W52" s="1" t="n"/>
      <c r="X52" s="1" t="n"/>
      <c r="Y52" s="1" t="n"/>
      <c r="Z52" s="1" t="n"/>
    </row>
    <row r="53" ht="15.75" customHeight="1" s="311">
      <c r="A53" s="145" t="n"/>
      <c r="B53" s="145" t="n"/>
      <c r="C53" s="145" t="n"/>
      <c r="D53" s="145" t="n"/>
      <c r="E53" s="145" t="n"/>
      <c r="F53" s="145" t="n"/>
      <c r="G53" s="145" t="n"/>
      <c r="H53" s="145" t="n"/>
      <c r="I53" s="145" t="n"/>
      <c r="J53" s="145" t="n"/>
      <c r="K53" s="1" t="n"/>
      <c r="L53" s="1" t="n"/>
      <c r="M53" s="1" t="n"/>
      <c r="N53" s="1" t="n"/>
      <c r="O53" s="1" t="n"/>
      <c r="P53" s="1" t="n"/>
      <c r="Q53" s="1" t="n"/>
      <c r="R53" s="1" t="n"/>
      <c r="S53" s="1" t="n"/>
      <c r="T53" s="1" t="n"/>
      <c r="U53" s="1" t="n"/>
      <c r="V53" s="1" t="n"/>
      <c r="W53" s="1" t="n"/>
      <c r="X53" s="1" t="n"/>
      <c r="Y53" s="1" t="n"/>
      <c r="Z53" s="1" t="n"/>
    </row>
    <row r="54" ht="15.75" customHeight="1" s="311">
      <c r="A54" s="145" t="n"/>
      <c r="B54" s="145" t="n"/>
      <c r="C54" s="145" t="n"/>
      <c r="D54" s="145" t="n"/>
      <c r="E54" s="145" t="n"/>
      <c r="F54" s="145" t="n"/>
      <c r="G54" s="145" t="n"/>
      <c r="H54" s="145" t="n"/>
      <c r="I54" s="145" t="n"/>
      <c r="J54" s="145" t="n"/>
      <c r="K54" s="1" t="n"/>
      <c r="L54" s="1" t="n"/>
      <c r="M54" s="1" t="n"/>
      <c r="N54" s="1" t="n"/>
      <c r="O54" s="1" t="n"/>
      <c r="P54" s="1" t="n"/>
      <c r="Q54" s="1" t="n"/>
      <c r="R54" s="1" t="n"/>
      <c r="S54" s="1" t="n"/>
      <c r="T54" s="1" t="n"/>
      <c r="U54" s="1" t="n"/>
      <c r="V54" s="1" t="n"/>
      <c r="W54" s="1" t="n"/>
      <c r="X54" s="1" t="n"/>
      <c r="Y54" s="1" t="n"/>
      <c r="Z54" s="1" t="n"/>
    </row>
    <row r="55" ht="21.75" customHeight="1" s="311">
      <c r="A55" s="145" t="n"/>
      <c r="B55" s="21" t="inlineStr">
        <is>
          <t>HISTÓRICO DE SALDOS AL CIERRE DE CADA MES</t>
        </is>
      </c>
      <c r="C55" s="22" t="n"/>
      <c r="D55" s="22" t="n"/>
      <c r="E55" s="22" t="n"/>
      <c r="F55" s="22" t="n"/>
      <c r="G55" s="22" t="n"/>
      <c r="H55" s="145" t="n"/>
      <c r="I55" s="145" t="n"/>
      <c r="J55" s="145" t="n"/>
      <c r="K55" s="1" t="n"/>
      <c r="L55" s="1" t="n"/>
      <c r="M55" s="1" t="n"/>
      <c r="N55" s="1" t="n"/>
      <c r="O55" s="1" t="n"/>
      <c r="P55" s="1" t="n"/>
      <c r="Q55" s="1" t="n"/>
      <c r="R55" s="1" t="n"/>
      <c r="S55" s="1" t="n"/>
      <c r="T55" s="1" t="n"/>
      <c r="U55" s="1" t="n"/>
      <c r="V55" s="1" t="n"/>
      <c r="W55" s="1" t="n"/>
      <c r="X55" s="1" t="n"/>
      <c r="Y55" s="1" t="n"/>
      <c r="Z55" s="1" t="n"/>
    </row>
    <row r="56" ht="32.25" customHeight="1" s="311">
      <c r="A56" s="145" t="n"/>
      <c r="B56" s="20" t="inlineStr">
        <is>
          <t>Rellena el disponible real al último día de cada mes. El balance lo usará automáticamente para el periodo que elijas; si el mes no está, usa los saldos de hoy.</t>
        </is>
      </c>
      <c r="C56" s="145" t="n"/>
      <c r="D56" s="145" t="n"/>
      <c r="E56" s="145" t="n"/>
      <c r="F56" s="145" t="n"/>
      <c r="G56" s="145" t="n"/>
      <c r="H56" s="145" t="n"/>
      <c r="I56" s="145" t="n"/>
      <c r="J56" s="145" t="n"/>
      <c r="K56" s="1" t="n"/>
      <c r="L56" s="1" t="n"/>
      <c r="M56" s="1" t="n"/>
      <c r="N56" s="1" t="n"/>
      <c r="O56" s="1" t="n"/>
      <c r="P56" s="1" t="n"/>
      <c r="Q56" s="1" t="n"/>
      <c r="R56" s="1" t="n"/>
      <c r="S56" s="1" t="n"/>
      <c r="T56" s="1" t="n"/>
      <c r="U56" s="1" t="n"/>
      <c r="V56" s="1" t="n"/>
      <c r="W56" s="1" t="n"/>
      <c r="X56" s="1" t="n"/>
      <c r="Y56" s="1" t="n"/>
      <c r="Z56" s="1" t="n"/>
    </row>
    <row r="57" ht="24" customHeight="1" s="311">
      <c r="A57" s="145" t="n"/>
      <c r="B57" s="33" t="inlineStr">
        <is>
          <t>Mes</t>
        </is>
      </c>
      <c r="C57" s="33" t="inlineStr">
        <is>
          <t>Disponible tú (€)</t>
        </is>
      </c>
      <c r="D57" s="33" t="inlineStr">
        <is>
          <t>Disponible hogar (€)</t>
        </is>
      </c>
      <c r="E57" s="33" t="inlineStr">
        <is>
          <t>Total (€)</t>
        </is>
      </c>
      <c r="F57" s="33" t="n"/>
      <c r="G57" s="33" t="inlineStr">
        <is>
          <t>Notas</t>
        </is>
      </c>
      <c r="H57" s="145" t="n"/>
      <c r="I57" s="145" t="n"/>
      <c r="J57" s="145" t="n"/>
      <c r="K57" s="1" t="n"/>
      <c r="L57" s="1" t="n"/>
      <c r="M57" s="1" t="n"/>
      <c r="N57" s="1" t="n"/>
      <c r="O57" s="1" t="n"/>
      <c r="P57" s="1" t="n"/>
      <c r="Q57" s="1" t="n"/>
      <c r="R57" s="1" t="n"/>
      <c r="S57" s="1" t="n"/>
      <c r="T57" s="1" t="n"/>
      <c r="U57" s="1" t="n"/>
      <c r="V57" s="1" t="n"/>
      <c r="W57" s="1" t="n"/>
      <c r="X57" s="1" t="n"/>
      <c r="Y57" s="1" t="n"/>
      <c r="Z57" s="1" t="n"/>
    </row>
    <row r="58" ht="15" customHeight="1" s="311">
      <c r="A58" s="145" t="n"/>
      <c r="B58" s="83" t="n"/>
      <c r="C58" s="113" t="n"/>
      <c r="D58" s="113" t="n"/>
      <c r="E58" s="80">
        <f>IF($B58="","",N($C58)+N($D58))</f>
        <v/>
      </c>
      <c r="F58" s="145" t="n"/>
      <c r="G58" s="145" t="n"/>
      <c r="H58" s="145" t="n"/>
      <c r="I58" s="145" t="n"/>
      <c r="J58" s="145" t="n"/>
      <c r="K58" s="1" t="n"/>
      <c r="L58" s="1" t="n"/>
      <c r="M58" s="1" t="n"/>
      <c r="N58" s="1" t="n"/>
      <c r="O58" s="1" t="n"/>
      <c r="P58" s="1" t="n"/>
      <c r="Q58" s="1" t="n"/>
      <c r="R58" s="1" t="n"/>
      <c r="S58" s="1" t="n"/>
      <c r="T58" s="1" t="n"/>
      <c r="U58" s="1" t="n"/>
      <c r="V58" s="1" t="n"/>
      <c r="W58" s="1" t="n"/>
      <c r="X58" s="1" t="n"/>
      <c r="Y58" s="1" t="n"/>
      <c r="Z58" s="1" t="n"/>
    </row>
    <row r="59" ht="15" customHeight="1" s="311">
      <c r="A59" s="145" t="n"/>
      <c r="B59" s="83" t="n"/>
      <c r="C59" s="113" t="n"/>
      <c r="D59" s="113" t="n"/>
      <c r="E59" s="80">
        <f>IF($B59="","",N($C59)+N($D59))</f>
        <v/>
      </c>
      <c r="F59" s="145" t="n"/>
      <c r="G59" s="145" t="n"/>
      <c r="H59" s="145" t="n"/>
      <c r="I59" s="145" t="n"/>
      <c r="J59" s="145" t="n"/>
      <c r="K59" s="1" t="n"/>
      <c r="L59" s="1" t="n"/>
      <c r="M59" s="1" t="n"/>
      <c r="N59" s="1" t="n"/>
      <c r="O59" s="1" t="n"/>
      <c r="P59" s="1" t="n"/>
      <c r="Q59" s="1" t="n"/>
      <c r="R59" s="1" t="n"/>
      <c r="S59" s="1" t="n"/>
      <c r="T59" s="1" t="n"/>
      <c r="U59" s="1" t="n"/>
      <c r="V59" s="1" t="n"/>
      <c r="W59" s="1" t="n"/>
      <c r="X59" s="1" t="n"/>
      <c r="Y59" s="1" t="n"/>
      <c r="Z59" s="1" t="n"/>
    </row>
    <row r="60" ht="15" customHeight="1" s="311">
      <c r="A60" s="145" t="n"/>
      <c r="B60" s="83" t="n"/>
      <c r="C60" s="113" t="n"/>
      <c r="D60" s="113" t="n"/>
      <c r="E60" s="80">
        <f>IF($B60="","",N($C60)+N($D60))</f>
        <v/>
      </c>
      <c r="F60" s="145" t="n"/>
      <c r="G60" s="145" t="n"/>
      <c r="H60" s="145" t="n"/>
      <c r="I60" s="145" t="n"/>
      <c r="J60" s="145" t="n"/>
      <c r="K60" s="1" t="n"/>
      <c r="L60" s="1" t="n"/>
      <c r="M60" s="1" t="n"/>
      <c r="N60" s="1" t="n"/>
      <c r="O60" s="1" t="n"/>
      <c r="P60" s="1" t="n"/>
      <c r="Q60" s="1" t="n"/>
      <c r="R60" s="1" t="n"/>
      <c r="S60" s="1" t="n"/>
      <c r="T60" s="1" t="n"/>
      <c r="U60" s="1" t="n"/>
      <c r="V60" s="1" t="n"/>
      <c r="W60" s="1" t="n"/>
      <c r="X60" s="1" t="n"/>
      <c r="Y60" s="1" t="n"/>
      <c r="Z60" s="1" t="n"/>
    </row>
    <row r="61" ht="15" customHeight="1" s="311">
      <c r="A61" s="145" t="n"/>
      <c r="B61" s="83" t="n"/>
      <c r="C61" s="113" t="n"/>
      <c r="D61" s="113" t="n"/>
      <c r="E61" s="80">
        <f>IF($B61="","",N($C61)+N($D61))</f>
        <v/>
      </c>
      <c r="F61" s="145" t="n"/>
      <c r="G61" s="145" t="n"/>
      <c r="H61" s="145" t="n"/>
      <c r="I61" s="145" t="n"/>
      <c r="J61" s="145" t="n"/>
      <c r="K61" s="1" t="n"/>
      <c r="L61" s="1" t="n"/>
      <c r="M61" s="1" t="n"/>
      <c r="N61" s="1" t="n"/>
      <c r="O61" s="1" t="n"/>
      <c r="P61" s="1" t="n"/>
      <c r="Q61" s="1" t="n"/>
      <c r="R61" s="1" t="n"/>
      <c r="S61" s="1" t="n"/>
      <c r="T61" s="1" t="n"/>
      <c r="U61" s="1" t="n"/>
      <c r="V61" s="1" t="n"/>
      <c r="W61" s="1" t="n"/>
      <c r="X61" s="1" t="n"/>
      <c r="Y61" s="1" t="n"/>
      <c r="Z61" s="1" t="n"/>
    </row>
    <row r="62" ht="15" customHeight="1" s="311">
      <c r="A62" s="145" t="n"/>
      <c r="B62" s="83" t="n"/>
      <c r="C62" s="113" t="n"/>
      <c r="D62" s="113" t="n"/>
      <c r="E62" s="80">
        <f>IF($B62="","",N($C62)+N($D62))</f>
        <v/>
      </c>
      <c r="F62" s="145" t="n"/>
      <c r="G62" s="145" t="n"/>
      <c r="H62" s="145" t="n"/>
      <c r="I62" s="145" t="n"/>
      <c r="J62" s="145" t="n"/>
      <c r="K62" s="1" t="n"/>
      <c r="L62" s="1" t="n"/>
      <c r="M62" s="1" t="n"/>
      <c r="N62" s="1" t="n"/>
      <c r="O62" s="1" t="n"/>
      <c r="P62" s="1" t="n"/>
      <c r="Q62" s="1" t="n"/>
      <c r="R62" s="1" t="n"/>
      <c r="S62" s="1" t="n"/>
      <c r="T62" s="1" t="n"/>
      <c r="U62" s="1" t="n"/>
      <c r="V62" s="1" t="n"/>
      <c r="W62" s="1" t="n"/>
      <c r="X62" s="1" t="n"/>
      <c r="Y62" s="1" t="n"/>
      <c r="Z62" s="1" t="n"/>
    </row>
    <row r="63" ht="15" customHeight="1" s="311">
      <c r="A63" s="145" t="n"/>
      <c r="B63" s="83" t="n"/>
      <c r="C63" s="113" t="n"/>
      <c r="D63" s="113" t="n"/>
      <c r="E63" s="80">
        <f>IF($B63="","",N($C63)+N($D63))</f>
        <v/>
      </c>
      <c r="F63" s="145" t="n"/>
      <c r="G63" s="145" t="n"/>
      <c r="H63" s="145" t="n"/>
      <c r="I63" s="145" t="n"/>
      <c r="J63" s="145" t="n"/>
      <c r="K63" s="1" t="n"/>
      <c r="L63" s="1" t="n"/>
      <c r="M63" s="1" t="n"/>
      <c r="N63" s="1" t="n"/>
      <c r="O63" s="1" t="n"/>
      <c r="P63" s="1" t="n"/>
      <c r="Q63" s="1" t="n"/>
      <c r="R63" s="1" t="n"/>
      <c r="S63" s="1" t="n"/>
      <c r="T63" s="1" t="n"/>
      <c r="U63" s="1" t="n"/>
      <c r="V63" s="1" t="n"/>
      <c r="W63" s="1" t="n"/>
      <c r="X63" s="1" t="n"/>
      <c r="Y63" s="1" t="n"/>
      <c r="Z63" s="1" t="n"/>
    </row>
    <row r="64" ht="15" customHeight="1" s="311">
      <c r="A64" s="145" t="n"/>
      <c r="B64" s="83" t="n"/>
      <c r="C64" s="113" t="n"/>
      <c r="D64" s="113" t="n"/>
      <c r="E64" s="80">
        <f>IF($B64="","",N($C64)+N($D64))</f>
        <v/>
      </c>
      <c r="F64" s="145" t="n"/>
      <c r="G64" s="145" t="n"/>
      <c r="H64" s="145" t="n"/>
      <c r="I64" s="145" t="n"/>
      <c r="J64" s="145" t="n"/>
      <c r="K64" s="1" t="n"/>
      <c r="L64" s="1" t="n"/>
      <c r="M64" s="1" t="n"/>
      <c r="N64" s="1" t="n"/>
      <c r="O64" s="1" t="n"/>
      <c r="P64" s="1" t="n"/>
      <c r="Q64" s="1" t="n"/>
      <c r="R64" s="1" t="n"/>
      <c r="S64" s="1" t="n"/>
      <c r="T64" s="1" t="n"/>
      <c r="U64" s="1" t="n"/>
      <c r="V64" s="1" t="n"/>
      <c r="W64" s="1" t="n"/>
      <c r="X64" s="1" t="n"/>
      <c r="Y64" s="1" t="n"/>
      <c r="Z64" s="1" t="n"/>
    </row>
    <row r="65" ht="15" customHeight="1" s="311">
      <c r="A65" s="145" t="n"/>
      <c r="B65" s="83" t="n"/>
      <c r="C65" s="113" t="n"/>
      <c r="D65" s="113" t="n"/>
      <c r="E65" s="80">
        <f>IF($B65="","",N($C65)+N($D65))</f>
        <v/>
      </c>
      <c r="F65" s="145" t="n"/>
      <c r="G65" s="145" t="n"/>
      <c r="H65" s="145" t="n"/>
      <c r="I65" s="145" t="n"/>
      <c r="J65" s="145" t="n"/>
      <c r="K65" s="1" t="n"/>
      <c r="L65" s="1" t="n"/>
      <c r="M65" s="1" t="n"/>
      <c r="N65" s="1" t="n"/>
      <c r="O65" s="1" t="n"/>
      <c r="P65" s="1" t="n"/>
      <c r="Q65" s="1" t="n"/>
      <c r="R65" s="1" t="n"/>
      <c r="S65" s="1" t="n"/>
      <c r="T65" s="1" t="n"/>
      <c r="U65" s="1" t="n"/>
      <c r="V65" s="1" t="n"/>
      <c r="W65" s="1" t="n"/>
      <c r="X65" s="1" t="n"/>
      <c r="Y65" s="1" t="n"/>
      <c r="Z65" s="1" t="n"/>
    </row>
    <row r="66" ht="15" customHeight="1" s="311">
      <c r="A66" s="145" t="n"/>
      <c r="B66" s="83" t="n"/>
      <c r="C66" s="113" t="n"/>
      <c r="D66" s="113" t="n"/>
      <c r="E66" s="80">
        <f>IF($B66="","",N($C66)+N($D66))</f>
        <v/>
      </c>
      <c r="F66" s="145" t="n"/>
      <c r="G66" s="145" t="n"/>
      <c r="H66" s="145" t="n"/>
      <c r="I66" s="145" t="n"/>
      <c r="J66" s="145" t="n"/>
      <c r="K66" s="1" t="n"/>
      <c r="L66" s="1" t="n"/>
      <c r="M66" s="1" t="n"/>
      <c r="N66" s="1" t="n"/>
      <c r="O66" s="1" t="n"/>
      <c r="P66" s="1" t="n"/>
      <c r="Q66" s="1" t="n"/>
      <c r="R66" s="1" t="n"/>
      <c r="S66" s="1" t="n"/>
      <c r="T66" s="1" t="n"/>
      <c r="U66" s="1" t="n"/>
      <c r="V66" s="1" t="n"/>
      <c r="W66" s="1" t="n"/>
      <c r="X66" s="1" t="n"/>
      <c r="Y66" s="1" t="n"/>
      <c r="Z66" s="1" t="n"/>
    </row>
    <row r="67" ht="15" customHeight="1" s="311">
      <c r="A67" s="145" t="n"/>
      <c r="B67" s="83" t="n"/>
      <c r="C67" s="113" t="n"/>
      <c r="D67" s="113" t="n"/>
      <c r="E67" s="80">
        <f>IF($B67="","",N($C67)+N($D67))</f>
        <v/>
      </c>
      <c r="F67" s="145" t="n"/>
      <c r="G67" s="145" t="n"/>
      <c r="H67" s="145" t="n"/>
      <c r="I67" s="145" t="n"/>
      <c r="J67" s="145" t="n"/>
      <c r="K67" s="1" t="n"/>
      <c r="L67" s="1" t="n"/>
      <c r="M67" s="1" t="n"/>
      <c r="N67" s="1" t="n"/>
      <c r="O67" s="1" t="n"/>
      <c r="P67" s="1" t="n"/>
      <c r="Q67" s="1" t="n"/>
      <c r="R67" s="1" t="n"/>
      <c r="S67" s="1" t="n"/>
      <c r="T67" s="1" t="n"/>
      <c r="U67" s="1" t="n"/>
      <c r="V67" s="1" t="n"/>
      <c r="W67" s="1" t="n"/>
      <c r="X67" s="1" t="n"/>
      <c r="Y67" s="1" t="n"/>
      <c r="Z67" s="1" t="n"/>
    </row>
    <row r="68" ht="15" customHeight="1" s="311">
      <c r="A68" s="145" t="n"/>
      <c r="B68" s="83" t="n"/>
      <c r="C68" s="113" t="n"/>
      <c r="D68" s="113" t="n"/>
      <c r="E68" s="80">
        <f>IF($B68="","",N($C68)+N($D68))</f>
        <v/>
      </c>
      <c r="F68" s="145" t="n"/>
      <c r="G68" s="145" t="n"/>
      <c r="H68" s="145" t="n"/>
      <c r="I68" s="145" t="n"/>
      <c r="J68" s="145" t="n"/>
      <c r="K68" s="1" t="n"/>
      <c r="L68" s="1" t="n"/>
      <c r="M68" s="1" t="n"/>
      <c r="N68" s="1" t="n"/>
      <c r="O68" s="1" t="n"/>
      <c r="P68" s="1" t="n"/>
      <c r="Q68" s="1" t="n"/>
      <c r="R68" s="1" t="n"/>
      <c r="S68" s="1" t="n"/>
      <c r="T68" s="1" t="n"/>
      <c r="U68" s="1" t="n"/>
      <c r="V68" s="1" t="n"/>
      <c r="W68" s="1" t="n"/>
      <c r="X68" s="1" t="n"/>
      <c r="Y68" s="1" t="n"/>
      <c r="Z68" s="1" t="n"/>
    </row>
    <row r="69" ht="15" customHeight="1" s="311">
      <c r="A69" s="145" t="n"/>
      <c r="B69" s="83" t="n"/>
      <c r="C69" s="113" t="n"/>
      <c r="D69" s="113" t="n"/>
      <c r="E69" s="80">
        <f>IF($B69="","",N($C69)+N($D69))</f>
        <v/>
      </c>
      <c r="F69" s="145" t="n"/>
      <c r="G69" s="145" t="n"/>
      <c r="H69" s="145" t="n"/>
      <c r="I69" s="145" t="n"/>
      <c r="J69" s="145" t="n"/>
      <c r="K69" s="1" t="n"/>
      <c r="L69" s="1" t="n"/>
      <c r="M69" s="1" t="n"/>
      <c r="N69" s="1" t="n"/>
      <c r="O69" s="1" t="n"/>
      <c r="P69" s="1" t="n"/>
      <c r="Q69" s="1" t="n"/>
      <c r="R69" s="1" t="n"/>
      <c r="S69" s="1" t="n"/>
      <c r="T69" s="1" t="n"/>
      <c r="U69" s="1" t="n"/>
      <c r="V69" s="1" t="n"/>
      <c r="W69" s="1" t="n"/>
      <c r="X69" s="1" t="n"/>
      <c r="Y69" s="1" t="n"/>
      <c r="Z69" s="1" t="n"/>
    </row>
    <row r="70" ht="15" customHeight="1" s="311">
      <c r="A70" s="145" t="n"/>
      <c r="B70" s="83" t="n"/>
      <c r="C70" s="113" t="n"/>
      <c r="D70" s="113" t="n"/>
      <c r="E70" s="80">
        <f>IF($B70="","",N($C70)+N($D70))</f>
        <v/>
      </c>
      <c r="F70" s="145" t="n"/>
      <c r="G70" s="145" t="n"/>
      <c r="H70" s="145" t="n"/>
      <c r="I70" s="145" t="n"/>
      <c r="J70" s="145" t="n"/>
      <c r="K70" s="1" t="n"/>
      <c r="L70" s="1" t="n"/>
      <c r="M70" s="1" t="n"/>
      <c r="N70" s="1" t="n"/>
      <c r="O70" s="1" t="n"/>
      <c r="P70" s="1" t="n"/>
      <c r="Q70" s="1" t="n"/>
      <c r="R70" s="1" t="n"/>
      <c r="S70" s="1" t="n"/>
      <c r="T70" s="1" t="n"/>
      <c r="U70" s="1" t="n"/>
      <c r="V70" s="1" t="n"/>
      <c r="W70" s="1" t="n"/>
      <c r="X70" s="1" t="n"/>
      <c r="Y70" s="1" t="n"/>
      <c r="Z70" s="1" t="n"/>
    </row>
    <row r="71" ht="15" customHeight="1" s="311">
      <c r="A71" s="145" t="n"/>
      <c r="B71" s="83" t="n"/>
      <c r="C71" s="113" t="n"/>
      <c r="D71" s="113" t="n"/>
      <c r="E71" s="80">
        <f>IF($B71="","",N($C71)+N($D71))</f>
        <v/>
      </c>
      <c r="F71" s="145" t="n"/>
      <c r="G71" s="145" t="n"/>
      <c r="H71" s="145" t="n"/>
      <c r="I71" s="145" t="n"/>
      <c r="J71" s="145" t="n"/>
      <c r="K71" s="1" t="n"/>
      <c r="L71" s="1" t="n"/>
      <c r="M71" s="1" t="n"/>
      <c r="N71" s="1" t="n"/>
      <c r="O71" s="1" t="n"/>
      <c r="P71" s="1" t="n"/>
      <c r="Q71" s="1" t="n"/>
      <c r="R71" s="1" t="n"/>
      <c r="S71" s="1" t="n"/>
      <c r="T71" s="1" t="n"/>
      <c r="U71" s="1" t="n"/>
      <c r="V71" s="1" t="n"/>
      <c r="W71" s="1" t="n"/>
      <c r="X71" s="1" t="n"/>
      <c r="Y71" s="1" t="n"/>
      <c r="Z71" s="1" t="n"/>
    </row>
    <row r="72" ht="15" customHeight="1" s="311">
      <c r="A72" s="145" t="n"/>
      <c r="B72" s="83" t="n"/>
      <c r="C72" s="113" t="n"/>
      <c r="D72" s="113" t="n"/>
      <c r="E72" s="80">
        <f>IF($B72="","",N($C72)+N($D72))</f>
        <v/>
      </c>
      <c r="F72" s="145" t="n"/>
      <c r="G72" s="145" t="n"/>
      <c r="H72" s="145" t="n"/>
      <c r="I72" s="145" t="n"/>
      <c r="J72" s="145" t="n"/>
      <c r="K72" s="1" t="n"/>
      <c r="L72" s="1" t="n"/>
      <c r="M72" s="1" t="n"/>
      <c r="N72" s="1" t="n"/>
      <c r="O72" s="1" t="n"/>
      <c r="P72" s="1" t="n"/>
      <c r="Q72" s="1" t="n"/>
      <c r="R72" s="1" t="n"/>
      <c r="S72" s="1" t="n"/>
      <c r="T72" s="1" t="n"/>
      <c r="U72" s="1" t="n"/>
      <c r="V72" s="1" t="n"/>
      <c r="W72" s="1" t="n"/>
      <c r="X72" s="1" t="n"/>
      <c r="Y72" s="1" t="n"/>
      <c r="Z72" s="1" t="n"/>
    </row>
    <row r="73" ht="15.75" customHeight="1" s="311">
      <c r="A73" s="145" t="n"/>
      <c r="B73" s="145" t="n"/>
      <c r="C73" s="145" t="n"/>
      <c r="D73" s="145" t="n"/>
      <c r="E73" s="145" t="n"/>
      <c r="F73" s="145" t="n"/>
      <c r="G73" s="145" t="n"/>
      <c r="H73" s="145" t="n"/>
      <c r="I73" s="145" t="n"/>
      <c r="J73" s="145" t="n"/>
      <c r="K73" s="1" t="n"/>
      <c r="L73" s="1" t="n"/>
      <c r="M73" s="1" t="n"/>
      <c r="N73" s="1" t="n"/>
      <c r="O73" s="1" t="n"/>
      <c r="P73" s="1" t="n"/>
      <c r="Q73" s="1" t="n"/>
      <c r="R73" s="1" t="n"/>
      <c r="S73" s="1" t="n"/>
      <c r="T73" s="1" t="n"/>
      <c r="U73" s="1" t="n"/>
      <c r="V73" s="1" t="n"/>
      <c r="W73" s="1" t="n"/>
      <c r="X73" s="1" t="n"/>
      <c r="Y73" s="1" t="n"/>
      <c r="Z73" s="1" t="n"/>
    </row>
    <row r="74" ht="15" customHeight="1" s="311">
      <c r="A74" s="145" t="n"/>
      <c r="B74" s="23" t="inlineStr">
        <is>
          <t>Origen de los saldos de este balance</t>
        </is>
      </c>
      <c r="C74" s="394">
        <f>IF(ISNUMBER(MATCH(Panel!$I$4,$B$58:$B$72,0)),"📌 Cierre histórico de "&amp;Panel!$I$4,"🕐 Saldos de hoy (no hay cierre cargado para "&amp;Panel!$I$4&amp;")")</f>
        <v/>
      </c>
      <c r="D74" s="313" t="n"/>
      <c r="E74" s="313" t="n"/>
      <c r="F74" s="145" t="n"/>
      <c r="G74" s="145" t="n"/>
      <c r="H74" s="145" t="n"/>
      <c r="I74" s="145" t="n"/>
      <c r="J74" s="145" t="n"/>
      <c r="K74" s="1" t="n"/>
      <c r="L74" s="1" t="n"/>
      <c r="M74" s="1" t="n"/>
      <c r="N74" s="1" t="n"/>
      <c r="O74" s="1" t="n"/>
      <c r="P74" s="1" t="n"/>
      <c r="Q74" s="1" t="n"/>
      <c r="R74" s="1" t="n"/>
      <c r="S74" s="1" t="n"/>
      <c r="T74" s="1" t="n"/>
      <c r="U74" s="1" t="n"/>
      <c r="V74" s="1" t="n"/>
      <c r="W74" s="1" t="n"/>
      <c r="X74" s="1" t="n"/>
      <c r="Y74" s="1" t="n"/>
      <c r="Z74" s="1" t="n"/>
    </row>
    <row r="75" ht="15.75" customHeight="1" s="311">
      <c r="A75" s="145" t="n"/>
      <c r="B75" s="145" t="n"/>
      <c r="C75" s="145" t="n"/>
      <c r="D75" s="145" t="n"/>
      <c r="E75" s="145" t="n"/>
      <c r="F75" s="145" t="n"/>
      <c r="G75" s="145" t="n"/>
      <c r="H75" s="145" t="n"/>
      <c r="I75" s="145" t="n"/>
      <c r="J75" s="145" t="n"/>
      <c r="K75" s="1" t="n"/>
      <c r="L75" s="1" t="n"/>
      <c r="M75" s="1" t="n"/>
      <c r="N75" s="1" t="n"/>
      <c r="O75" s="1" t="n"/>
      <c r="P75" s="1" t="n"/>
      <c r="Q75" s="1" t="n"/>
      <c r="R75" s="1" t="n"/>
      <c r="S75" s="1" t="n"/>
      <c r="T75" s="1" t="n"/>
      <c r="U75" s="1" t="n"/>
      <c r="V75" s="1" t="n"/>
      <c r="W75" s="1" t="n"/>
      <c r="X75" s="1" t="n"/>
      <c r="Y75" s="1" t="n"/>
      <c r="Z75" s="1" t="n"/>
    </row>
    <row r="76" ht="15.75" customHeight="1" s="311">
      <c r="A76" s="145" t="n"/>
      <c r="B76" s="145" t="n"/>
      <c r="C76" s="145" t="n"/>
      <c r="D76" s="145" t="n"/>
      <c r="E76" s="145" t="n"/>
      <c r="F76" s="145" t="n"/>
      <c r="G76" s="145" t="n"/>
      <c r="H76" s="145" t="n"/>
      <c r="I76" s="145" t="n"/>
      <c r="J76" s="145" t="n"/>
      <c r="K76" s="1" t="n"/>
      <c r="L76" s="1" t="n"/>
      <c r="M76" s="1" t="n"/>
      <c r="N76" s="1" t="n"/>
      <c r="O76" s="1" t="n"/>
      <c r="P76" s="1" t="n"/>
      <c r="Q76" s="1" t="n"/>
      <c r="R76" s="1" t="n"/>
      <c r="S76" s="1" t="n"/>
      <c r="T76" s="1" t="n"/>
      <c r="U76" s="1" t="n"/>
      <c r="V76" s="1" t="n"/>
      <c r="W76" s="1" t="n"/>
      <c r="X76" s="1" t="n"/>
      <c r="Y76" s="1" t="n"/>
      <c r="Z76" s="1" t="n"/>
    </row>
    <row r="77" ht="21.75" customHeight="1" s="311">
      <c r="A77" s="145" t="n"/>
      <c r="B77" s="21" t="inlineStr">
        <is>
          <t>DETALLE DE INMUEBLES, BIENES Y DEUDA HIPOTECARIA</t>
        </is>
      </c>
      <c r="C77" s="22" t="n"/>
      <c r="D77" s="22" t="n"/>
      <c r="E77" s="22" t="n"/>
      <c r="F77" s="22" t="n"/>
      <c r="G77" s="22" t="n"/>
      <c r="H77" s="22" t="n"/>
      <c r="I77" s="22" t="n"/>
      <c r="J77" s="145" t="n"/>
      <c r="K77" s="1" t="n"/>
      <c r="L77" s="1" t="n"/>
      <c r="M77" s="1" t="n"/>
      <c r="N77" s="1" t="n"/>
      <c r="O77" s="1" t="n"/>
      <c r="P77" s="1" t="n"/>
      <c r="Q77" s="1" t="n"/>
      <c r="R77" s="1" t="n"/>
      <c r="S77" s="1" t="n"/>
      <c r="T77" s="1" t="n"/>
      <c r="U77" s="1" t="n"/>
      <c r="V77" s="1" t="n"/>
      <c r="W77" s="1" t="n"/>
      <c r="X77" s="1" t="n"/>
      <c r="Y77" s="1" t="n"/>
      <c r="Z77" s="1" t="n"/>
    </row>
    <row r="78" ht="42.75" customHeight="1" s="311">
      <c r="A78" s="145" t="n"/>
      <c r="B78" s="20" t="inlineStr">
        <is>
          <t>Escribe aquí cada bien con su moneda. Lo que esté en divisa se convierte solo con la tabla de tipos de cambio de la hoja Disponibilidad. Las tres filas de "Activo no corriente" del balance se alimentan de esta tabla.</t>
        </is>
      </c>
      <c r="C78" s="145" t="n"/>
      <c r="D78" s="145" t="n"/>
      <c r="E78" s="145" t="n"/>
      <c r="F78" s="145" t="n"/>
      <c r="G78" s="145" t="n"/>
      <c r="H78" s="145" t="n"/>
      <c r="I78" s="145" t="n"/>
      <c r="J78" s="145" t="n"/>
      <c r="K78" s="1" t="n"/>
      <c r="L78" s="1" t="n"/>
      <c r="M78" s="1" t="n"/>
      <c r="N78" s="1" t="n"/>
      <c r="O78" s="1" t="n"/>
      <c r="P78" s="1" t="n"/>
      <c r="Q78" s="1" t="n"/>
      <c r="R78" s="1" t="n"/>
      <c r="S78" s="1" t="n"/>
      <c r="T78" s="1" t="n"/>
      <c r="U78" s="1" t="n"/>
      <c r="V78" s="1" t="n"/>
      <c r="W78" s="1" t="n"/>
      <c r="X78" s="1" t="n"/>
      <c r="Y78" s="1" t="n"/>
      <c r="Z78" s="1" t="n"/>
    </row>
    <row r="79" ht="30" customHeight="1" s="311">
      <c r="A79" s="145" t="n"/>
      <c r="B79" s="33" t="inlineStr">
        <is>
          <t>Concepto</t>
        </is>
      </c>
      <c r="C79" s="33" t="inlineStr">
        <is>
          <t>Importe en su moneda</t>
        </is>
      </c>
      <c r="D79" s="33" t="inlineStr">
        <is>
          <t>Moneda</t>
        </is>
      </c>
      <c r="E79" s="33" t="inlineStr">
        <is>
          <t>VALOR (€)</t>
        </is>
      </c>
      <c r="F79" s="33" t="inlineStr">
        <is>
          <t>T.C.</t>
        </is>
      </c>
      <c r="G79" s="33" t="inlineStr">
        <is>
          <t>Grupo</t>
        </is>
      </c>
      <c r="H79" s="33" t="inlineStr">
        <is>
          <t>Ámbito</t>
        </is>
      </c>
      <c r="I79" s="33" t="inlineStr">
        <is>
          <t>Notas</t>
        </is>
      </c>
      <c r="J79" s="145" t="n"/>
      <c r="K79" s="1" t="n"/>
      <c r="L79" s="1" t="n"/>
      <c r="M79" s="1" t="n"/>
      <c r="N79" s="1" t="n"/>
      <c r="O79" s="1" t="n"/>
      <c r="P79" s="1" t="n"/>
      <c r="Q79" s="1" t="n"/>
      <c r="R79" s="1" t="n"/>
      <c r="S79" s="1" t="n"/>
      <c r="T79" s="1" t="n"/>
      <c r="U79" s="1" t="n"/>
      <c r="V79" s="1" t="n"/>
      <c r="W79" s="1" t="n"/>
      <c r="X79" s="1" t="n"/>
      <c r="Y79" s="1" t="n"/>
      <c r="Z79" s="1" t="n"/>
    </row>
    <row r="80" ht="21.75" customHeight="1" s="311">
      <c r="A80" s="145" t="n"/>
      <c r="B80" s="146" t="inlineStr">
        <is>
          <t>Vivienda en España</t>
        </is>
      </c>
      <c r="C80" s="118" t="n">
        <v>117000</v>
      </c>
      <c r="D80" s="83" t="inlineStr">
        <is>
          <t>EUR</t>
        </is>
      </c>
      <c r="E80" s="80">
        <f>IF($B80="","",N($C80)*$F80)</f>
        <v/>
      </c>
      <c r="F80" s="120">
        <f t="array" ref="F80">IF($D80="","",IFERROR(INDEX(Disponibilidad!$N$6:$N$9,MATCH($D80,Disponibilidad!$M$6:$M$9,0)),1))</f>
        <v/>
      </c>
      <c r="G80" s="83" t="inlineStr">
        <is>
          <t>Inmueble</t>
        </is>
      </c>
      <c r="H80" s="83" t="inlineStr">
        <is>
          <t>Hogar</t>
        </is>
      </c>
      <c r="I80" s="20" t="inlineStr">
        <is>
          <t>Valor estimado de mercado. Sobre esta vivienda pesa la hipoteca del bloque de abajo.</t>
        </is>
      </c>
      <c r="J80" s="145" t="n"/>
      <c r="K80" s="1" t="n"/>
      <c r="L80" s="1" t="n"/>
      <c r="M80" s="1" t="n"/>
      <c r="N80" s="1" t="n"/>
      <c r="O80" s="1" t="n"/>
      <c r="P80" s="1" t="n"/>
      <c r="Q80" s="1" t="n"/>
      <c r="R80" s="1" t="n"/>
      <c r="S80" s="1" t="n"/>
      <c r="T80" s="1" t="n"/>
      <c r="U80" s="1" t="n"/>
      <c r="V80" s="1" t="n"/>
      <c r="W80" s="1" t="n"/>
      <c r="X80" s="1" t="n"/>
      <c r="Y80" s="1" t="n"/>
      <c r="Z80" s="1" t="n"/>
    </row>
    <row r="81" ht="32.25" customHeight="1" s="311">
      <c r="A81" s="145" t="n"/>
      <c r="B81" s="146" t="inlineStr">
        <is>
          <t>Vivienda en República Dominicana</t>
        </is>
      </c>
      <c r="C81" s="118" t="n">
        <v>5500000</v>
      </c>
      <c r="D81" s="83" t="inlineStr">
        <is>
          <t>DOP</t>
        </is>
      </c>
      <c r="E81" s="80">
        <f>IF($B81="","",N($C81)*$F81)</f>
        <v/>
      </c>
      <c r="F81" s="120">
        <f t="array" ref="F81">IF($D81="","",IFERROR(INDEX(Disponibilidad!$N$6:$N$9,MATCH($D81,Disponibilidad!$M$6:$M$9,0)),1))</f>
        <v/>
      </c>
      <c r="G81" s="83" t="inlineStr">
        <is>
          <t>Inmueble</t>
        </is>
      </c>
      <c r="H81" s="83" t="inlineStr">
        <is>
          <t>Hogar</t>
        </is>
      </c>
      <c r="I81" s="20" t="inlineStr">
        <is>
          <t>⚠️ Libre de cargas. Se convierte con el tipo DOP de la hoja Disponibilidad (0,0155 €/DOP). Verifica ese tipo: mueve 85.250 € de tu patrimonio, así que un error del 5% son más de 4.000 €.</t>
        </is>
      </c>
      <c r="J81" s="145" t="n"/>
      <c r="K81" s="1" t="n"/>
      <c r="L81" s="1" t="n"/>
      <c r="M81" s="1" t="n"/>
      <c r="N81" s="1" t="n"/>
      <c r="O81" s="1" t="n"/>
      <c r="P81" s="1" t="n"/>
      <c r="Q81" s="1" t="n"/>
      <c r="R81" s="1" t="n"/>
      <c r="S81" s="1" t="n"/>
      <c r="T81" s="1" t="n"/>
      <c r="U81" s="1" t="n"/>
      <c r="V81" s="1" t="n"/>
      <c r="W81" s="1" t="n"/>
      <c r="X81" s="1" t="n"/>
      <c r="Y81" s="1" t="n"/>
      <c r="Z81" s="1" t="n"/>
    </row>
    <row r="82" ht="23.25" customHeight="1" s="311">
      <c r="A82" s="145" t="n"/>
      <c r="B82" s="146" t="inlineStr">
        <is>
          <t>Relojes de gama media</t>
        </is>
      </c>
      <c r="C82" s="118" t="n">
        <v>1840</v>
      </c>
      <c r="D82" s="83" t="inlineStr">
        <is>
          <t>EUR</t>
        </is>
      </c>
      <c r="E82" s="80">
        <f>IF($B82="","",N($C82)*$F82)</f>
        <v/>
      </c>
      <c r="F82" s="120">
        <f t="array" ref="F82">IF($D82="","",IFERROR(INDEX(Disponibilidad!$N$6:$N$9,MATCH($D82,Disponibilidad!$M$6:$M$9,0)),1))</f>
        <v/>
      </c>
      <c r="G82" s="83" t="inlineStr">
        <is>
          <t>Bien duradero</t>
        </is>
      </c>
      <c r="H82" s="83" t="inlineStr">
        <is>
          <t>Hogar</t>
        </is>
      </c>
      <c r="I82" s="20" t="inlineStr">
        <is>
          <t>Valóralos a precio de venta realista (lo que te pagaría hoy un comprador), no a precio de compra. Salvo piezas muy concretas, un reloj de gama media pierde bastante valor y no es fácil de vender rápido.</t>
        </is>
      </c>
      <c r="J82" s="145" t="n"/>
      <c r="K82" s="1" t="n"/>
      <c r="L82" s="1" t="n"/>
      <c r="M82" s="1" t="n"/>
      <c r="N82" s="1" t="n"/>
      <c r="O82" s="1" t="n"/>
      <c r="P82" s="1" t="n"/>
      <c r="Q82" s="1" t="n"/>
      <c r="R82" s="1" t="n"/>
      <c r="S82" s="1" t="n"/>
      <c r="T82" s="1" t="n"/>
      <c r="U82" s="1" t="n"/>
      <c r="V82" s="1" t="n"/>
      <c r="W82" s="1" t="n"/>
      <c r="X82" s="1" t="n"/>
      <c r="Y82" s="1" t="n"/>
      <c r="Z82" s="1" t="n"/>
    </row>
    <row r="83" ht="15" customHeight="1" s="311">
      <c r="A83" s="145" t="n"/>
      <c r="B83" s="146" t="inlineStr">
        <is>
          <t>Vehículo</t>
        </is>
      </c>
      <c r="C83" s="118" t="n">
        <v>1000</v>
      </c>
      <c r="D83" s="83" t="inlineStr">
        <is>
          <t>EUR</t>
        </is>
      </c>
      <c r="E83" s="80">
        <f>IF($B83="","",N($C83)*$F83)</f>
        <v/>
      </c>
      <c r="F83" s="120">
        <f t="array" ref="F83">IF($D83="","",IFERROR(INDEX(Disponibilidad!$N$6:$N$9,MATCH($D83,Disponibilidad!$M$6:$M$9,0)),1))</f>
        <v/>
      </c>
      <c r="G83" s="83" t="inlineStr">
        <is>
          <t>Bien duradero</t>
        </is>
      </c>
      <c r="H83" s="83" t="inlineStr">
        <is>
          <t>Hogar</t>
        </is>
      </c>
      <c r="I83" s="20" t="inlineStr">
        <is>
          <t>Se deprecia: revísalo a la baja una vez al año.</t>
        </is>
      </c>
      <c r="J83" s="145" t="n"/>
      <c r="K83" s="1" t="n"/>
      <c r="L83" s="1" t="n"/>
      <c r="M83" s="1" t="n"/>
      <c r="N83" s="1" t="n"/>
      <c r="O83" s="1" t="n"/>
      <c r="P83" s="1" t="n"/>
      <c r="Q83" s="1" t="n"/>
      <c r="R83" s="1" t="n"/>
      <c r="S83" s="1" t="n"/>
      <c r="T83" s="1" t="n"/>
      <c r="U83" s="1" t="n"/>
      <c r="V83" s="1" t="n"/>
      <c r="W83" s="1" t="n"/>
      <c r="X83" s="1" t="n"/>
      <c r="Y83" s="1" t="n"/>
      <c r="Z83" s="1" t="n"/>
    </row>
    <row r="84" ht="15" customHeight="1" s="311">
      <c r="A84" s="145" t="n"/>
      <c r="B84" s="146" t="inlineStr">
        <is>
          <t>Equipos informáticos</t>
        </is>
      </c>
      <c r="C84" s="118" t="n">
        <v>950</v>
      </c>
      <c r="D84" s="83" t="inlineStr">
        <is>
          <t>EUR</t>
        </is>
      </c>
      <c r="E84" s="80">
        <f>IF($B84="","",N($C84)*$F84)</f>
        <v/>
      </c>
      <c r="F84" s="120">
        <f t="array" ref="F84">IF($D84="","",IFERROR(INDEX(Disponibilidad!$N$6:$N$9,MATCH($D84,Disponibilidad!$M$6:$M$9,0)),1))</f>
        <v/>
      </c>
      <c r="G84" s="83" t="inlineStr">
        <is>
          <t>Bien duradero</t>
        </is>
      </c>
      <c r="H84" s="83" t="inlineStr">
        <is>
          <t>Hogar</t>
        </is>
      </c>
      <c r="I84" s="20" t="inlineStr">
        <is>
          <t>Se deprecian rápido, entre un 25% y un 33% al año.</t>
        </is>
      </c>
      <c r="J84" s="145" t="n"/>
      <c r="K84" s="1" t="n"/>
      <c r="L84" s="1" t="n"/>
      <c r="M84" s="1" t="n"/>
      <c r="N84" s="1" t="n"/>
      <c r="O84" s="1" t="n"/>
      <c r="P84" s="1" t="n"/>
      <c r="Q84" s="1" t="n"/>
      <c r="R84" s="1" t="n"/>
      <c r="S84" s="1" t="n"/>
      <c r="T84" s="1" t="n"/>
      <c r="U84" s="1" t="n"/>
      <c r="V84" s="1" t="n"/>
      <c r="W84" s="1" t="n"/>
      <c r="X84" s="1" t="n"/>
      <c r="Y84" s="1" t="n"/>
      <c r="Z84" s="1" t="n"/>
    </row>
    <row r="85" ht="15" customHeight="1" s="311">
      <c r="A85" s="145" t="n"/>
      <c r="B85" s="146" t="inlineStr">
        <is>
          <t>Muebles y electrodomésticos</t>
        </is>
      </c>
      <c r="C85" s="118" t="n">
        <v>1500</v>
      </c>
      <c r="D85" s="83" t="inlineStr">
        <is>
          <t>EUR</t>
        </is>
      </c>
      <c r="E85" s="80">
        <f>IF($B85="","",N($C85)*$F85)</f>
        <v/>
      </c>
      <c r="F85" s="120">
        <f t="array" ref="F85">IF($D85="","",IFERROR(INDEX(Disponibilidad!$N$6:$N$9,MATCH($D85,Disponibilidad!$M$6:$M$9,0)),1))</f>
        <v/>
      </c>
      <c r="G85" s="83" t="inlineStr">
        <is>
          <t>Bien duradero</t>
        </is>
      </c>
      <c r="H85" s="83" t="inlineStr">
        <is>
          <t>Hogar</t>
        </is>
      </c>
      <c r="I85" s="145" t="n"/>
      <c r="J85" s="145" t="n"/>
      <c r="K85" s="1" t="n"/>
      <c r="L85" s="1" t="n"/>
      <c r="M85" s="1" t="n"/>
      <c r="N85" s="1" t="n"/>
      <c r="O85" s="1" t="n"/>
      <c r="P85" s="1" t="n"/>
      <c r="Q85" s="1" t="n"/>
      <c r="R85" s="1" t="n"/>
      <c r="S85" s="1" t="n"/>
      <c r="T85" s="1" t="n"/>
      <c r="U85" s="1" t="n"/>
      <c r="V85" s="1" t="n"/>
      <c r="W85" s="1" t="n"/>
      <c r="X85" s="1" t="n"/>
      <c r="Y85" s="1" t="n"/>
      <c r="Z85" s="1" t="n"/>
    </row>
    <row r="86" ht="21.75" customHeight="1" s="311">
      <c r="A86" s="145" t="n"/>
      <c r="B86" s="146" t="inlineStr">
        <is>
          <t>Oro empeñado (prendas en garantía)</t>
        </is>
      </c>
      <c r="C86" s="126">
        <f>$E$115</f>
        <v/>
      </c>
      <c r="D86" s="83" t="inlineStr">
        <is>
          <t>EUR</t>
        </is>
      </c>
      <c r="E86" s="80">
        <f>IF($B86="","",N($C86)*$F86)</f>
        <v/>
      </c>
      <c r="F86" s="120">
        <f t="array" ref="F86">IF($D86="","",IFERROR(INDEX(Disponibilidad!$N$6:$N$9,MATCH($D86,Disponibilidad!$M$6:$M$9,0)),1))</f>
        <v/>
      </c>
      <c r="G86" s="130" t="inlineStr">
        <is>
          <t>Bien duradero</t>
        </is>
      </c>
      <c r="H86" s="130" t="inlineStr">
        <is>
          <t>Hogar</t>
        </is>
      </c>
      <c r="I86" s="20" t="inlineStr">
        <is>
          <t>Valor de mercado de las prendas empeñadas, calculado abajo. Siguen siendo tuyas mientras puedas rescatarlas, así que suman al activo; la deuda correspondiente está en el pasivo.</t>
        </is>
      </c>
      <c r="J86" s="145" t="n"/>
      <c r="K86" s="1" t="n"/>
      <c r="L86" s="1" t="n"/>
      <c r="M86" s="1" t="n"/>
      <c r="N86" s="1" t="n"/>
      <c r="O86" s="1" t="n"/>
      <c r="P86" s="1" t="n"/>
      <c r="Q86" s="1" t="n"/>
      <c r="R86" s="1" t="n"/>
      <c r="S86" s="1" t="n"/>
      <c r="T86" s="1" t="n"/>
      <c r="U86" s="1" t="n"/>
      <c r="V86" s="1" t="n"/>
      <c r="W86" s="1" t="n"/>
      <c r="X86" s="1" t="n"/>
      <c r="Y86" s="1" t="n"/>
      <c r="Z86" s="1" t="n"/>
    </row>
    <row r="87" ht="21.75" customHeight="1" s="311">
      <c r="A87" s="145" t="n"/>
      <c r="B87" s="146" t="inlineStr">
        <is>
          <t>Otros activos</t>
        </is>
      </c>
      <c r="C87" s="118" t="n">
        <v>2000</v>
      </c>
      <c r="D87" s="83" t="inlineStr">
        <is>
          <t>EUR</t>
        </is>
      </c>
      <c r="E87" s="80">
        <f>IF($B87="","",N($C87)*$F87)</f>
        <v/>
      </c>
      <c r="F87" s="120">
        <f t="array" ref="F87">IF($D87="","",IFERROR(INDEX(Disponibilidad!$N$6:$N$9,MATCH($D87,Disponibilidad!$M$6:$M$9,0)),1))</f>
        <v/>
      </c>
      <c r="G87" s="83" t="inlineStr">
        <is>
          <t>Otro activo</t>
        </is>
      </c>
      <c r="H87" s="83" t="inlineStr">
        <is>
          <t>Hogar</t>
        </is>
      </c>
      <c r="I87" s="20" t="inlineStr">
        <is>
          <t>Detállalo cuando puedas: un "otros" de 2.000 € es difícil de verificar y de vender si lo necesitas.</t>
        </is>
      </c>
      <c r="J87" s="145" t="n"/>
      <c r="K87" s="1" t="n"/>
      <c r="L87" s="1" t="n"/>
      <c r="M87" s="1" t="n"/>
      <c r="N87" s="1" t="n"/>
      <c r="O87" s="1" t="n"/>
      <c r="P87" s="1" t="n"/>
      <c r="Q87" s="1" t="n"/>
      <c r="R87" s="1" t="n"/>
      <c r="S87" s="1" t="n"/>
      <c r="T87" s="1" t="n"/>
      <c r="U87" s="1" t="n"/>
      <c r="V87" s="1" t="n"/>
      <c r="W87" s="1" t="n"/>
      <c r="X87" s="1" t="n"/>
      <c r="Y87" s="1" t="n"/>
      <c r="Z87" s="1" t="n"/>
    </row>
    <row r="88" ht="15" customHeight="1" s="311">
      <c r="A88" s="145" t="n"/>
      <c r="B88" s="146" t="n"/>
      <c r="C88" s="118" t="n"/>
      <c r="D88" s="83" t="inlineStr">
        <is>
          <t>EUR</t>
        </is>
      </c>
      <c r="E88" s="80">
        <f>IF($B88="","",N($C88)*$F88)</f>
        <v/>
      </c>
      <c r="F88" s="120">
        <f t="array" ref="F88">IF($D88="","",IFERROR(INDEX(Disponibilidad!$N$6:$N$9,MATCH($D88,Disponibilidad!$M$6:$M$9,0)),1))</f>
        <v/>
      </c>
      <c r="G88" s="83" t="inlineStr">
        <is>
          <t>Otro activo</t>
        </is>
      </c>
      <c r="H88" s="83" t="inlineStr">
        <is>
          <t>Hogar</t>
        </is>
      </c>
      <c r="I88" s="145" t="n"/>
      <c r="J88" s="145" t="n"/>
      <c r="K88" s="1" t="n"/>
      <c r="L88" s="1" t="n"/>
      <c r="M88" s="1" t="n"/>
      <c r="N88" s="1" t="n"/>
      <c r="O88" s="1" t="n"/>
      <c r="P88" s="1" t="n"/>
      <c r="Q88" s="1" t="n"/>
      <c r="R88" s="1" t="n"/>
      <c r="S88" s="1" t="n"/>
      <c r="T88" s="1" t="n"/>
      <c r="U88" s="1" t="n"/>
      <c r="V88" s="1" t="n"/>
      <c r="W88" s="1" t="n"/>
      <c r="X88" s="1" t="n"/>
      <c r="Y88" s="1" t="n"/>
      <c r="Z88" s="1" t="n"/>
    </row>
    <row r="89" ht="15" customHeight="1" s="311">
      <c r="A89" s="145" t="n"/>
      <c r="B89" s="38" t="inlineStr">
        <is>
          <t>TOTAL BIENES E INMUEBLES</t>
        </is>
      </c>
      <c r="C89" s="39" t="n"/>
      <c r="D89" s="39" t="n"/>
      <c r="E89" s="68">
        <f>SUM($E$80:$E$88)</f>
        <v/>
      </c>
      <c r="F89" s="39" t="n"/>
      <c r="G89" s="39" t="n"/>
      <c r="H89" s="39" t="n"/>
      <c r="I89" s="145" t="n"/>
      <c r="J89" s="145" t="n"/>
      <c r="K89" s="1" t="n"/>
      <c r="L89" s="1" t="n"/>
      <c r="M89" s="1" t="n"/>
      <c r="N89" s="1" t="n"/>
      <c r="O89" s="1" t="n"/>
      <c r="P89" s="1" t="n"/>
      <c r="Q89" s="1" t="n"/>
      <c r="R89" s="1" t="n"/>
      <c r="S89" s="1" t="n"/>
      <c r="T89" s="1" t="n"/>
      <c r="U89" s="1" t="n"/>
      <c r="V89" s="1" t="n"/>
      <c r="W89" s="1" t="n"/>
      <c r="X89" s="1" t="n"/>
      <c r="Y89" s="1" t="n"/>
      <c r="Z89" s="1" t="n"/>
    </row>
    <row r="90" ht="15.75" customHeight="1" s="311">
      <c r="A90" s="145" t="n"/>
      <c r="B90" s="145" t="n"/>
      <c r="C90" s="145" t="n"/>
      <c r="D90" s="145" t="n"/>
      <c r="E90" s="145" t="n"/>
      <c r="F90" s="145" t="n"/>
      <c r="G90" s="145" t="n"/>
      <c r="H90" s="145" t="n"/>
      <c r="I90" s="145" t="n"/>
      <c r="J90" s="145" t="n"/>
      <c r="K90" s="1" t="n"/>
      <c r="L90" s="1" t="n"/>
      <c r="M90" s="1" t="n"/>
      <c r="N90" s="1" t="n"/>
      <c r="O90" s="1" t="n"/>
      <c r="P90" s="1" t="n"/>
      <c r="Q90" s="1" t="n"/>
      <c r="R90" s="1" t="n"/>
      <c r="S90" s="1" t="n"/>
      <c r="T90" s="1" t="n"/>
      <c r="U90" s="1" t="n"/>
      <c r="V90" s="1" t="n"/>
      <c r="W90" s="1" t="n"/>
      <c r="X90" s="1" t="n"/>
      <c r="Y90" s="1" t="n"/>
      <c r="Z90" s="1" t="n"/>
    </row>
    <row r="91" ht="21.75" customHeight="1" s="311">
      <c r="A91" s="145" t="n"/>
      <c r="B91" s="21" t="inlineStr">
        <is>
          <t>DEUDA HIPOTECARIA</t>
        </is>
      </c>
      <c r="C91" s="22" t="n"/>
      <c r="D91" s="22" t="n"/>
      <c r="E91" s="22" t="n"/>
      <c r="F91" s="22" t="n"/>
      <c r="G91" s="22" t="n"/>
      <c r="H91" s="22" t="n"/>
      <c r="I91" s="22" t="n"/>
      <c r="J91" s="145" t="n"/>
      <c r="K91" s="1" t="n"/>
      <c r="L91" s="1" t="n"/>
      <c r="M91" s="1" t="n"/>
      <c r="N91" s="1" t="n"/>
      <c r="O91" s="1" t="n"/>
      <c r="P91" s="1" t="n"/>
      <c r="Q91" s="1" t="n"/>
      <c r="R91" s="1" t="n"/>
      <c r="S91" s="1" t="n"/>
      <c r="T91" s="1" t="n"/>
      <c r="U91" s="1" t="n"/>
      <c r="V91" s="1" t="n"/>
      <c r="W91" s="1" t="n"/>
      <c r="X91" s="1" t="n"/>
      <c r="Y91" s="1" t="n"/>
      <c r="Z91" s="1" t="n"/>
    </row>
    <row r="92" ht="21.75" customHeight="1" s="311">
      <c r="A92" s="145" t="n"/>
      <c r="B92" s="23" t="inlineStr">
        <is>
          <t>Capital vivo pendiente de la hipoteca</t>
        </is>
      </c>
      <c r="C92" s="113" t="n">
        <v>71500</v>
      </c>
      <c r="D92" s="145" t="n"/>
      <c r="E92" s="145" t="n"/>
      <c r="F92" s="145" t="n"/>
      <c r="G92" s="145" t="n"/>
      <c r="H92" s="145" t="n"/>
      <c r="I92" s="20" t="inlineStr">
        <is>
          <t>Lo que aún debes al banco hoy. Es el dato que hacía falta para que el balance dejara de estar incompleto.</t>
        </is>
      </c>
      <c r="J92" s="145" t="n"/>
      <c r="K92" s="1" t="n"/>
      <c r="L92" s="1" t="n"/>
      <c r="M92" s="1" t="n"/>
      <c r="N92" s="1" t="n"/>
      <c r="O92" s="1" t="n"/>
      <c r="P92" s="1" t="n"/>
      <c r="Q92" s="1" t="n"/>
      <c r="R92" s="1" t="n"/>
      <c r="S92" s="1" t="n"/>
      <c r="T92" s="1" t="n"/>
      <c r="U92" s="1" t="n"/>
      <c r="V92" s="1" t="n"/>
      <c r="W92" s="1" t="n"/>
      <c r="X92" s="1" t="n"/>
      <c r="Y92" s="1" t="n"/>
      <c r="Z92" s="1" t="n"/>
    </row>
    <row r="93" ht="15" customHeight="1" s="311">
      <c r="A93" s="145" t="n"/>
      <c r="B93" s="46" t="inlineStr">
        <is>
          <t>Cuota mensual</t>
        </is>
      </c>
      <c r="C93" s="113" t="n">
        <v>431</v>
      </c>
      <c r="D93" s="145" t="n"/>
      <c r="E93" s="145" t="n"/>
      <c r="F93" s="145" t="n"/>
      <c r="G93" s="145" t="n"/>
      <c r="H93" s="145" t="n"/>
      <c r="I93" s="20" t="inlineStr">
        <is>
          <t>Coincide con el gasto de hipoteca de tu presupuesto.</t>
        </is>
      </c>
      <c r="J93" s="145" t="n"/>
      <c r="K93" s="1" t="n"/>
      <c r="L93" s="1" t="n"/>
      <c r="M93" s="1" t="n"/>
      <c r="N93" s="1" t="n"/>
      <c r="O93" s="1" t="n"/>
      <c r="P93" s="1" t="n"/>
      <c r="Q93" s="1" t="n"/>
      <c r="R93" s="1" t="n"/>
      <c r="S93" s="1" t="n"/>
      <c r="T93" s="1" t="n"/>
      <c r="U93" s="1" t="n"/>
      <c r="V93" s="1" t="n"/>
      <c r="W93" s="1" t="n"/>
      <c r="X93" s="1" t="n"/>
      <c r="Y93" s="1" t="n"/>
      <c r="Z93" s="1" t="n"/>
    </row>
    <row r="94" ht="15" customHeight="1" s="311">
      <c r="A94" s="145" t="n"/>
      <c r="B94" s="46" t="inlineStr">
        <is>
          <t>Tipo de interés anual</t>
        </is>
      </c>
      <c r="C94" s="71">
        <f>Resultados!$H$33</f>
        <v/>
      </c>
      <c r="D94" s="145" t="n"/>
      <c r="E94" s="145" t="n"/>
      <c r="F94" s="145" t="n"/>
      <c r="G94" s="145" t="n"/>
      <c r="H94" s="145" t="n"/>
      <c r="I94" s="20" t="inlineStr">
        <is>
          <t>Se lee de la hoja Resultados. Cámbialo allí si no es el tuyo.</t>
        </is>
      </c>
      <c r="J94" s="145" t="n"/>
      <c r="K94" s="1" t="n"/>
      <c r="L94" s="1" t="n"/>
      <c r="M94" s="1" t="n"/>
      <c r="N94" s="1" t="n"/>
      <c r="O94" s="1" t="n"/>
      <c r="P94" s="1" t="n"/>
      <c r="Q94" s="1" t="n"/>
      <c r="R94" s="1" t="n"/>
      <c r="S94" s="1" t="n"/>
      <c r="T94" s="1" t="n"/>
      <c r="U94" s="1" t="n"/>
      <c r="V94" s="1" t="n"/>
      <c r="W94" s="1" t="n"/>
      <c r="X94" s="1" t="n"/>
      <c r="Y94" s="1" t="n"/>
      <c r="Z94" s="1" t="n"/>
    </row>
    <row r="95" ht="21.75" customHeight="1" s="311">
      <c r="A95" s="145" t="n"/>
      <c r="B95" s="46" t="inlineStr">
        <is>
          <t>Intereses estimados del próximo año</t>
        </is>
      </c>
      <c r="C95" s="61">
        <f>$C$92*$C$94</f>
        <v/>
      </c>
      <c r="D95" s="145" t="n"/>
      <c r="E95" s="145" t="n"/>
      <c r="F95" s="145" t="n"/>
      <c r="G95" s="145" t="n"/>
      <c r="H95" s="145" t="n"/>
      <c r="I95" s="20" t="inlineStr">
        <is>
          <t>Capital vivo × tipo. Es una aproximación: el interés real baja cada mes según amortizas.</t>
        </is>
      </c>
      <c r="J95" s="145" t="n"/>
      <c r="K95" s="1" t="n"/>
      <c r="L95" s="1" t="n"/>
      <c r="M95" s="1" t="n"/>
      <c r="N95" s="1" t="n"/>
      <c r="O95" s="1" t="n"/>
      <c r="P95" s="1" t="n"/>
      <c r="Q95" s="1" t="n"/>
      <c r="R95" s="1" t="n"/>
      <c r="S95" s="1" t="n"/>
      <c r="T95" s="1" t="n"/>
      <c r="U95" s="1" t="n"/>
      <c r="V95" s="1" t="n"/>
      <c r="W95" s="1" t="n"/>
      <c r="X95" s="1" t="n"/>
      <c r="Y95" s="1" t="n"/>
      <c r="Z95" s="1" t="n"/>
    </row>
    <row r="96" ht="15" customHeight="1" s="311">
      <c r="A96" s="145" t="n"/>
      <c r="B96" s="23" t="inlineStr">
        <is>
          <t>Amortización estimada en los próximos 12 meses</t>
        </is>
      </c>
      <c r="C96" s="80">
        <f>MIN($C$92,MAX(0,$C$93*12-$C$95))</f>
        <v/>
      </c>
      <c r="D96" s="145" t="n"/>
      <c r="E96" s="145" t="n"/>
      <c r="F96" s="145" t="n"/>
      <c r="G96" s="145" t="n"/>
      <c r="H96" s="145" t="n"/>
      <c r="I96" s="20" t="inlineStr">
        <is>
          <t>Lo que pagas en un año menos lo que se lleva el banco en intereses.</t>
        </is>
      </c>
      <c r="J96" s="145" t="n"/>
      <c r="K96" s="1" t="n"/>
      <c r="L96" s="1" t="n"/>
      <c r="M96" s="1" t="n"/>
      <c r="N96" s="1" t="n"/>
      <c r="O96" s="1" t="n"/>
      <c r="P96" s="1" t="n"/>
      <c r="Q96" s="1" t="n"/>
      <c r="R96" s="1" t="n"/>
      <c r="S96" s="1" t="n"/>
      <c r="T96" s="1" t="n"/>
      <c r="U96" s="1" t="n"/>
      <c r="V96" s="1" t="n"/>
      <c r="W96" s="1" t="n"/>
      <c r="X96" s="1" t="n"/>
      <c r="Y96" s="1" t="n"/>
      <c r="Z96" s="1" t="n"/>
    </row>
    <row r="97" ht="15" customHeight="1" s="311">
      <c r="A97" s="145" t="n"/>
      <c r="B97" s="46" t="inlineStr">
        <is>
          <t>Resto de capital a más de 12 meses</t>
        </is>
      </c>
      <c r="C97" s="61">
        <f>MAX(0,$C$92-$C$96)</f>
        <v/>
      </c>
      <c r="D97" s="145" t="n"/>
      <c r="E97" s="145" t="n"/>
      <c r="F97" s="145" t="n"/>
      <c r="G97" s="145" t="n"/>
      <c r="H97" s="145" t="n"/>
      <c r="I97" s="145" t="n"/>
      <c r="J97" s="145" t="n"/>
      <c r="K97" s="1" t="n"/>
      <c r="L97" s="1" t="n"/>
      <c r="M97" s="1" t="n"/>
      <c r="N97" s="1" t="n"/>
      <c r="O97" s="1" t="n"/>
      <c r="P97" s="1" t="n"/>
      <c r="Q97" s="1" t="n"/>
      <c r="R97" s="1" t="n"/>
      <c r="S97" s="1" t="n"/>
      <c r="T97" s="1" t="n"/>
      <c r="U97" s="1" t="n"/>
      <c r="V97" s="1" t="n"/>
      <c r="W97" s="1" t="n"/>
      <c r="X97" s="1" t="n"/>
      <c r="Y97" s="1" t="n"/>
      <c r="Z97" s="1" t="n"/>
    </row>
    <row r="98" ht="15" customHeight="1" s="311">
      <c r="A98" s="145" t="n"/>
      <c r="B98" s="46" t="inlineStr">
        <is>
          <t>Años estimados hasta liquidarla</t>
        </is>
      </c>
      <c r="C98" s="133">
        <f>IFERROR(NPER($C$94/12,-$C$93,$C$92)/12,"")</f>
        <v/>
      </c>
      <c r="D98" s="145" t="n"/>
      <c r="E98" s="145" t="n"/>
      <c r="F98" s="145" t="n"/>
      <c r="G98" s="145" t="n"/>
      <c r="H98" s="145" t="n"/>
      <c r="I98" s="20" t="inlineStr">
        <is>
          <t>Al ritmo de cuota actual.</t>
        </is>
      </c>
      <c r="J98" s="145" t="n"/>
      <c r="K98" s="1" t="n"/>
      <c r="L98" s="1" t="n"/>
      <c r="M98" s="1" t="n"/>
      <c r="N98" s="1" t="n"/>
      <c r="O98" s="1" t="n"/>
      <c r="P98" s="1" t="n"/>
      <c r="Q98" s="1" t="n"/>
      <c r="R98" s="1" t="n"/>
      <c r="S98" s="1" t="n"/>
      <c r="T98" s="1" t="n"/>
      <c r="U98" s="1" t="n"/>
      <c r="V98" s="1" t="n"/>
      <c r="W98" s="1" t="n"/>
      <c r="X98" s="1" t="n"/>
      <c r="Y98" s="1" t="n"/>
      <c r="Z98" s="1" t="n"/>
    </row>
    <row r="99" ht="21.75" customHeight="1" s="311">
      <c r="A99" s="145" t="n"/>
      <c r="B99" s="23" t="inlineStr">
        <is>
          <t>Ratio préstamo/valor de la vivienda (LTV)</t>
        </is>
      </c>
      <c r="C99" s="107">
        <f>IFERROR($C$92/$E$80,"")</f>
        <v/>
      </c>
      <c r="D99" s="62">
        <f>IF($C$99="","",IF($C$99&lt;0.6,"✅",IF($C$99&lt;0.8,"🟡","🔴")))</f>
        <v/>
      </c>
      <c r="E99" s="145" t="n"/>
      <c r="F99" s="145" t="n"/>
      <c r="G99" s="145" t="n"/>
      <c r="H99" s="145" t="n"/>
      <c r="I99" s="20" t="inlineStr">
        <is>
          <t>Por debajo del 80% es zona cómoda: si tuvieras que vender, el precio cubriría la deuda con margen.</t>
        </is>
      </c>
      <c r="J99" s="145" t="n"/>
      <c r="K99" s="1" t="n"/>
      <c r="L99" s="1" t="n"/>
      <c r="M99" s="1" t="n"/>
      <c r="N99" s="1" t="n"/>
      <c r="O99" s="1" t="n"/>
      <c r="P99" s="1" t="n"/>
      <c r="Q99" s="1" t="n"/>
      <c r="R99" s="1" t="n"/>
      <c r="S99" s="1" t="n"/>
      <c r="T99" s="1" t="n"/>
      <c r="U99" s="1" t="n"/>
      <c r="V99" s="1" t="n"/>
      <c r="W99" s="1" t="n"/>
      <c r="X99" s="1" t="n"/>
      <c r="Y99" s="1" t="n"/>
      <c r="Z99" s="1" t="n"/>
    </row>
    <row r="100" ht="15.75" customHeight="1" s="311">
      <c r="A100" s="145" t="n"/>
      <c r="B100" s="145" t="n"/>
      <c r="C100" s="145" t="n"/>
      <c r="D100" s="145" t="n"/>
      <c r="E100" s="145" t="n"/>
      <c r="F100" s="145" t="n"/>
      <c r="G100" s="145" t="n"/>
      <c r="H100" s="145" t="n"/>
      <c r="I100" s="145" t="n"/>
      <c r="J100" s="145" t="n"/>
      <c r="K100" s="1" t="n"/>
      <c r="L100" s="1" t="n"/>
      <c r="M100" s="1" t="n"/>
      <c r="N100" s="1" t="n"/>
      <c r="O100" s="1" t="n"/>
      <c r="P100" s="1" t="n"/>
      <c r="Q100" s="1" t="n"/>
      <c r="R100" s="1" t="n"/>
      <c r="S100" s="1" t="n"/>
      <c r="T100" s="1" t="n"/>
      <c r="U100" s="1" t="n"/>
      <c r="V100" s="1" t="n"/>
      <c r="W100" s="1" t="n"/>
      <c r="X100" s="1" t="n"/>
      <c r="Y100" s="1" t="n"/>
      <c r="Z100" s="1" t="n"/>
    </row>
    <row r="101" ht="21.75" customHeight="1" s="311">
      <c r="A101" s="145" t="n"/>
      <c r="B101" s="21" t="inlineStr">
        <is>
          <t>A)  EMPEÑOS  —  detalle de las prendas de oro en garantía</t>
        </is>
      </c>
      <c r="C101" s="22" t="n"/>
      <c r="D101" s="22" t="n"/>
      <c r="E101" s="22" t="n"/>
      <c r="F101" s="22" t="n"/>
      <c r="G101" s="22" t="n"/>
      <c r="H101" s="22" t="n"/>
      <c r="I101" s="22" t="n"/>
      <c r="J101" s="145" t="n"/>
      <c r="K101" s="1" t="n"/>
      <c r="L101" s="1" t="n"/>
      <c r="M101" s="1" t="n"/>
      <c r="N101" s="1" t="n"/>
      <c r="O101" s="1" t="n"/>
      <c r="P101" s="1" t="n"/>
      <c r="Q101" s="1" t="n"/>
      <c r="R101" s="1" t="n"/>
      <c r="S101" s="1" t="n"/>
      <c r="T101" s="1" t="n"/>
      <c r="U101" s="1" t="n"/>
      <c r="V101" s="1" t="n"/>
      <c r="W101" s="1" t="n"/>
      <c r="X101" s="1" t="n"/>
      <c r="Y101" s="1" t="n"/>
      <c r="Z101" s="1" t="n"/>
    </row>
    <row r="102" ht="42.75" customHeight="1" s="311">
      <c r="A102" s="145" t="n"/>
      <c r="B102" s="20" t="inlineStr">
        <is>
          <t>Las prendas empeñadas siguen siendo TUYAS: puedes recuperarlas pagando. Por eso el oro es un activo y la deuda un pasivo, cada uno en su sitio. La columna "Margen" te dice si compensa rescatar la prenda o dejarla perder. AQUÍ SOLO VAN EMPEÑOS: los préstamos de particulares están en el bloque B, justo debajo.</t>
        </is>
      </c>
      <c r="C102" s="145" t="n"/>
      <c r="D102" s="145" t="n"/>
      <c r="E102" s="145" t="n"/>
      <c r="F102" s="145" t="n"/>
      <c r="G102" s="145" t="n"/>
      <c r="H102" s="145" t="n"/>
      <c r="I102" s="145" t="n"/>
      <c r="J102" s="145" t="n"/>
      <c r="K102" s="1" t="n"/>
      <c r="L102" s="1" t="n"/>
      <c r="M102" s="1" t="n"/>
      <c r="N102" s="1" t="n"/>
      <c r="O102" s="1" t="n"/>
      <c r="P102" s="1" t="n"/>
      <c r="Q102" s="1" t="n"/>
      <c r="R102" s="1" t="n"/>
      <c r="S102" s="1" t="n"/>
      <c r="T102" s="1" t="n"/>
      <c r="U102" s="1" t="n"/>
      <c r="V102" s="1" t="n"/>
      <c r="W102" s="1" t="n"/>
      <c r="X102" s="1" t="n"/>
      <c r="Y102" s="1" t="n"/>
      <c r="Z102" s="1" t="n"/>
    </row>
    <row r="103" ht="15.75" customHeight="1" s="311">
      <c r="A103" s="145" t="n"/>
      <c r="B103" s="23" t="inlineStr">
        <is>
          <t>Precio del oro de 18 quilates (€/gramo)</t>
        </is>
      </c>
      <c r="C103" s="118" t="n">
        <v>78</v>
      </c>
      <c r="D103" s="145" t="n"/>
      <c r="E103" s="145" t="n"/>
      <c r="F103" s="145" t="n"/>
      <c r="G103" s="145" t="n"/>
      <c r="H103" s="145" t="n"/>
      <c r="I103" s="20" t="inlineStr">
        <is>
          <t>Referencia de preciodelorohoy.es a 24/07/2026: 86,13 €/g para oro de 18 k (750 milésimas), el estándar de la joyería española. Si tus piezas son de 14 k o 24 k, cambia este precio. Ojo: una casa de empeño nunca paga el precio de mercado, suele tasar bastante por debajo.</t>
        </is>
      </c>
      <c r="J103" s="145" t="n"/>
      <c r="K103" s="1" t="n"/>
      <c r="L103" s="1" t="n"/>
      <c r="M103" s="1" t="n"/>
      <c r="N103" s="1" t="n"/>
      <c r="O103" s="1" t="n"/>
      <c r="P103" s="1" t="n"/>
      <c r="Q103" s="1" t="n"/>
      <c r="R103" s="1" t="n"/>
      <c r="S103" s="1" t="n"/>
      <c r="T103" s="1" t="n"/>
      <c r="U103" s="1" t="n"/>
      <c r="V103" s="1" t="n"/>
      <c r="W103" s="1" t="n"/>
      <c r="X103" s="1" t="n"/>
      <c r="Y103" s="1" t="n"/>
      <c r="Z103" s="1" t="n"/>
    </row>
    <row r="104" ht="30" customHeight="1" s="311">
      <c r="A104" s="145" t="n"/>
      <c r="B104" s="33" t="inlineStr">
        <is>
          <t>Prenda empeñada</t>
        </is>
      </c>
      <c r="C104" s="33" t="inlineStr">
        <is>
          <t>Gramos</t>
        </is>
      </c>
      <c r="D104" s="33" t="inlineStr">
        <is>
          <t>Deuda pendiente (€)</t>
        </is>
      </c>
      <c r="E104" s="33" t="inlineStr">
        <is>
          <t>Valor estimado (€)</t>
        </is>
      </c>
      <c r="F104" s="33" t="inlineStr">
        <is>
          <t>Margen (€)</t>
        </is>
      </c>
      <c r="G104" s="33" t="inlineStr">
        <is>
          <t>Acreedor</t>
        </is>
      </c>
      <c r="H104" s="33" t="inlineStr">
        <is>
          <t>Ámbito</t>
        </is>
      </c>
      <c r="I104" s="33" t="inlineStr">
        <is>
          <t>Notas</t>
        </is>
      </c>
      <c r="J104" s="145" t="n"/>
      <c r="K104" s="1" t="n"/>
      <c r="L104" s="1" t="n"/>
      <c r="M104" s="1" t="n"/>
      <c r="N104" s="1" t="n"/>
      <c r="O104" s="1" t="n"/>
      <c r="P104" s="1" t="n"/>
      <c r="Q104" s="1" t="n"/>
      <c r="R104" s="1" t="n"/>
      <c r="S104" s="1" t="n"/>
      <c r="T104" s="1" t="n"/>
      <c r="U104" s="1" t="n"/>
      <c r="V104" s="1" t="n"/>
      <c r="W104" s="1" t="n"/>
      <c r="X104" s="1" t="n"/>
      <c r="Y104" s="1" t="n"/>
      <c r="Z104" s="1" t="n"/>
    </row>
    <row r="105" ht="21" customHeight="1" s="311">
      <c r="A105" s="145" t="n"/>
      <c r="B105" s="146" t="inlineStr">
        <is>
          <t>Anillo de 2,10 g</t>
        </is>
      </c>
      <c r="C105" s="118" t="n">
        <v>2.1</v>
      </c>
      <c r="D105" s="113" t="n">
        <v>199.79</v>
      </c>
      <c r="E105" s="61">
        <f>IF($C105="","",$C105*$C$103)</f>
        <v/>
      </c>
      <c r="F105" s="80">
        <f>IF($B105="","",N($E105)-N($D105))</f>
        <v/>
      </c>
      <c r="G105" s="146" t="inlineStr">
        <is>
          <t>Quick Gold</t>
        </is>
      </c>
      <c r="H105" s="83" t="inlineStr">
        <is>
          <t>Hogar</t>
        </is>
      </c>
      <c r="I105" s="20" t="inlineStr">
        <is>
          <t>⚠️ COMPROBAR: aquí figuran 2.004,42 € de capital y en Facturas hay 580,90 € de intereses de Quick Gold. Si las cifras de "se debe" que me diste ya incluían los intereses acumulados, estarías contando esa parte dos veces. Si son solo capital, está bien como está.</t>
        </is>
      </c>
      <c r="J105" s="145" t="n"/>
      <c r="K105" s="1" t="n"/>
      <c r="L105" s="1" t="n"/>
      <c r="M105" s="1" t="n"/>
      <c r="N105" s="1" t="n"/>
      <c r="O105" s="1" t="n"/>
      <c r="P105" s="1" t="n"/>
      <c r="Q105" s="1" t="n"/>
      <c r="R105" s="1" t="n"/>
      <c r="S105" s="1" t="n"/>
      <c r="T105" s="1" t="n"/>
      <c r="U105" s="1" t="n"/>
      <c r="V105" s="1" t="n"/>
      <c r="W105" s="1" t="n"/>
      <c r="X105" s="1" t="n"/>
      <c r="Y105" s="1" t="n"/>
      <c r="Z105" s="1" t="n"/>
    </row>
    <row r="106" ht="21.75" customHeight="1" s="311">
      <c r="A106" s="145" t="n"/>
      <c r="B106" s="146" t="inlineStr">
        <is>
          <t>Anillo de 2,45 g</t>
        </is>
      </c>
      <c r="C106" s="118" t="n">
        <v>2.45</v>
      </c>
      <c r="D106" s="113" t="n">
        <v>187</v>
      </c>
      <c r="E106" s="61">
        <f>IF($C106="","",$C106*$C$103)</f>
        <v/>
      </c>
      <c r="F106" s="80">
        <f>IF($B106="","",N($E106)-N($D106))</f>
        <v/>
      </c>
      <c r="G106" s="146" t="inlineStr">
        <is>
          <t>CloverIntergold</t>
        </is>
      </c>
      <c r="H106" s="83" t="inlineStr">
        <is>
          <t>Hogar</t>
        </is>
      </c>
      <c r="I106" s="20" t="inlineStr">
        <is>
          <t>Coincide con la factura de CloverIntergold de 187,00 € que ya tienes registrada.</t>
        </is>
      </c>
      <c r="J106" s="145" t="n"/>
      <c r="K106" s="1" t="n"/>
      <c r="L106" s="1" t="n"/>
      <c r="M106" s="1" t="n"/>
      <c r="N106" s="1" t="n"/>
      <c r="O106" s="1" t="n"/>
      <c r="P106" s="1" t="n"/>
      <c r="Q106" s="1" t="n"/>
      <c r="R106" s="1" t="n"/>
      <c r="S106" s="1" t="n"/>
      <c r="T106" s="1" t="n"/>
      <c r="U106" s="1" t="n"/>
      <c r="V106" s="1" t="n"/>
      <c r="W106" s="1" t="n"/>
      <c r="X106" s="1" t="n"/>
      <c r="Y106" s="1" t="n"/>
      <c r="Z106" s="1" t="n"/>
    </row>
    <row r="107" ht="15" customHeight="1" s="311">
      <c r="A107" s="145" t="n"/>
      <c r="B107" s="146" t="inlineStr">
        <is>
          <t>Anillo de 3,50 g</t>
        </is>
      </c>
      <c r="C107" s="118" t="n">
        <v>3.5</v>
      </c>
      <c r="D107" s="113" t="n">
        <v>318.41</v>
      </c>
      <c r="E107" s="61">
        <f>IF($C107="","",$C107*$C$103)</f>
        <v/>
      </c>
      <c r="F107" s="80">
        <f>IF($B107="","",N($E107)-N($D107))</f>
        <v/>
      </c>
      <c r="G107" s="146" t="inlineStr">
        <is>
          <t>Quick Gold</t>
        </is>
      </c>
      <c r="H107" s="83" t="inlineStr">
        <is>
          <t>Hogar</t>
        </is>
      </c>
      <c r="I107" s="145" t="n"/>
      <c r="J107" s="145" t="n"/>
      <c r="K107" s="1" t="n"/>
      <c r="L107" s="1" t="n"/>
      <c r="M107" s="1" t="n"/>
      <c r="N107" s="1" t="n"/>
      <c r="O107" s="1" t="n"/>
      <c r="P107" s="1" t="n"/>
      <c r="Q107" s="1" t="n"/>
      <c r="R107" s="1" t="n"/>
      <c r="S107" s="1" t="n"/>
      <c r="T107" s="1" t="n"/>
      <c r="U107" s="1" t="n"/>
      <c r="V107" s="1" t="n"/>
      <c r="W107" s="1" t="n"/>
      <c r="X107" s="1" t="n"/>
      <c r="Y107" s="1" t="n"/>
      <c r="Z107" s="1" t="n"/>
    </row>
    <row r="108" ht="21.75" customHeight="1" s="311">
      <c r="A108" s="145" t="n"/>
      <c r="B108" s="146" t="inlineStr">
        <is>
          <t>Cadena de 11,56 g</t>
        </is>
      </c>
      <c r="C108" s="118" t="n">
        <v>11.56</v>
      </c>
      <c r="D108" s="113" t="n">
        <v>931.98</v>
      </c>
      <c r="E108" s="61">
        <f>IF($C108="","",$C108*$C$103)</f>
        <v/>
      </c>
      <c r="F108" s="80">
        <f>IF($B108="","",N($E108)-N($D108))</f>
        <v/>
      </c>
      <c r="G108" s="146" t="inlineStr">
        <is>
          <t>Quick Gold</t>
        </is>
      </c>
      <c r="H108" s="83" t="inlineStr">
        <is>
          <t>Hogar</t>
        </is>
      </c>
      <c r="I108" s="20" t="inlineStr">
        <is>
          <t>La prenda de más peso y la que más debe: casi la mitad del total empeñado.</t>
        </is>
      </c>
      <c r="J108" s="145" t="n"/>
      <c r="K108" s="1" t="n"/>
      <c r="L108" s="1" t="n"/>
      <c r="M108" s="1" t="n"/>
      <c r="N108" s="1" t="n"/>
      <c r="O108" s="1" t="n"/>
      <c r="P108" s="1" t="n"/>
      <c r="Q108" s="1" t="n"/>
      <c r="R108" s="1" t="n"/>
      <c r="S108" s="1" t="n"/>
      <c r="T108" s="1" t="n"/>
      <c r="U108" s="1" t="n"/>
      <c r="V108" s="1" t="n"/>
      <c r="W108" s="1" t="n"/>
      <c r="X108" s="1" t="n"/>
      <c r="Y108" s="1" t="n"/>
      <c r="Z108" s="1" t="n"/>
    </row>
    <row r="109" ht="15" customHeight="1" s="311">
      <c r="A109" s="145" t="n"/>
      <c r="B109" s="146" t="inlineStr">
        <is>
          <t>Anillo de 6,04 g</t>
        </is>
      </c>
      <c r="C109" s="118" t="n">
        <v>6.04</v>
      </c>
      <c r="D109" s="113" t="n">
        <v>367.24</v>
      </c>
      <c r="E109" s="61">
        <f>IF($C109="","",$C109*$C$103)</f>
        <v/>
      </c>
      <c r="F109" s="80">
        <f>IF($B109="","",N($E109)-N($D109))</f>
        <v/>
      </c>
      <c r="G109" s="146" t="inlineStr">
        <is>
          <t>Quick Gold</t>
        </is>
      </c>
      <c r="H109" s="83" t="inlineStr">
        <is>
          <t>Hogar</t>
        </is>
      </c>
      <c r="I109" s="145" t="n"/>
      <c r="J109" s="145" t="n"/>
      <c r="K109" s="1" t="n"/>
      <c r="L109" s="1" t="n"/>
      <c r="M109" s="1" t="n"/>
      <c r="N109" s="1" t="n"/>
      <c r="O109" s="1" t="n"/>
      <c r="P109" s="1" t="n"/>
      <c r="Q109" s="1" t="n"/>
      <c r="R109" s="1" t="n"/>
      <c r="S109" s="1" t="n"/>
      <c r="T109" s="1" t="n"/>
      <c r="U109" s="1" t="n"/>
      <c r="V109" s="1" t="n"/>
      <c r="W109" s="1" t="n"/>
      <c r="X109" s="1" t="n"/>
      <c r="Y109" s="1" t="n"/>
      <c r="Z109" s="1" t="n"/>
    </row>
    <row r="110" ht="32.25" customHeight="1" s="311">
      <c r="A110" s="145" t="n"/>
      <c r="B110" s="146" t="n"/>
      <c r="C110" s="118" t="n"/>
      <c r="D110" s="113" t="n"/>
      <c r="E110" s="61">
        <f>IF($C110="","",$C110*$C$103)</f>
        <v/>
      </c>
      <c r="F110" s="80">
        <f>IF($B110="","",N($E110)-N($D110))</f>
        <v/>
      </c>
      <c r="G110" s="146" t="n"/>
      <c r="H110" s="83" t="inlineStr">
        <is>
          <t>Hogar</t>
        </is>
      </c>
      <c r="I110" s="20" t="inlineStr">
        <is>
          <t>Fila libre para otra prenda. Si lo que quieres anotar es un préstamo de una persona, NO va aquí: créalo como factura con categoría "Préstamo particular".</t>
        </is>
      </c>
      <c r="J110" s="145" t="n"/>
      <c r="K110" s="1" t="n"/>
      <c r="L110" s="1" t="n"/>
      <c r="M110" s="1" t="n"/>
      <c r="N110" s="1" t="n"/>
      <c r="O110" s="1" t="n"/>
      <c r="P110" s="1" t="n"/>
      <c r="Q110" s="1" t="n"/>
      <c r="R110" s="1" t="n"/>
      <c r="S110" s="1" t="n"/>
      <c r="T110" s="1" t="n"/>
      <c r="U110" s="1" t="n"/>
      <c r="V110" s="1" t="n"/>
      <c r="W110" s="1" t="n"/>
      <c r="X110" s="1" t="n"/>
      <c r="Y110" s="1" t="n"/>
      <c r="Z110" s="1" t="n"/>
    </row>
    <row r="111" ht="15" customHeight="1" s="311">
      <c r="A111" s="145" t="n"/>
      <c r="B111" s="146" t="n"/>
      <c r="C111" s="118" t="n"/>
      <c r="D111" s="113" t="n"/>
      <c r="E111" s="61">
        <f>IF($C111="","",$C111*$C$103)</f>
        <v/>
      </c>
      <c r="F111" s="80">
        <f>IF($B111="","",N($E111)-N($D111))</f>
        <v/>
      </c>
      <c r="G111" s="146" t="n"/>
      <c r="H111" s="83" t="inlineStr">
        <is>
          <t>Hogar</t>
        </is>
      </c>
      <c r="I111" s="145" t="n"/>
      <c r="J111" s="145" t="n"/>
      <c r="K111" s="1" t="n"/>
      <c r="L111" s="1" t="n"/>
      <c r="M111" s="1" t="n"/>
      <c r="N111" s="1" t="n"/>
      <c r="O111" s="1" t="n"/>
      <c r="P111" s="1" t="n"/>
      <c r="Q111" s="1" t="n"/>
      <c r="R111" s="1" t="n"/>
      <c r="S111" s="1" t="n"/>
      <c r="T111" s="1" t="n"/>
      <c r="U111" s="1" t="n"/>
      <c r="V111" s="1" t="n"/>
      <c r="W111" s="1" t="n"/>
      <c r="X111" s="1" t="n"/>
      <c r="Y111" s="1" t="n"/>
      <c r="Z111" s="1" t="n"/>
    </row>
    <row r="112" ht="15" customHeight="1" s="311">
      <c r="A112" s="145" t="n"/>
      <c r="B112" s="146" t="n"/>
      <c r="C112" s="118" t="n"/>
      <c r="D112" s="113" t="n"/>
      <c r="E112" s="61">
        <f>IF($C112="","",$C112*$C$103)</f>
        <v/>
      </c>
      <c r="F112" s="80">
        <f>IF($B112="","",N($E112)-N($D112))</f>
        <v/>
      </c>
      <c r="G112" s="146" t="n"/>
      <c r="H112" s="83" t="inlineStr">
        <is>
          <t>Hogar</t>
        </is>
      </c>
      <c r="I112" s="145" t="n"/>
      <c r="J112" s="145" t="n"/>
      <c r="K112" s="1" t="n"/>
      <c r="L112" s="1" t="n"/>
      <c r="M112" s="1" t="n"/>
      <c r="N112" s="1" t="n"/>
      <c r="O112" s="1" t="n"/>
      <c r="P112" s="1" t="n"/>
      <c r="Q112" s="1" t="n"/>
      <c r="R112" s="1" t="n"/>
      <c r="S112" s="1" t="n"/>
      <c r="T112" s="1" t="n"/>
      <c r="U112" s="1" t="n"/>
      <c r="V112" s="1" t="n"/>
      <c r="W112" s="1" t="n"/>
      <c r="X112" s="1" t="n"/>
      <c r="Y112" s="1" t="n"/>
      <c r="Z112" s="1" t="n"/>
    </row>
    <row r="113" ht="15" customHeight="1" s="311">
      <c r="A113" s="145" t="n"/>
      <c r="B113" s="146" t="n"/>
      <c r="C113" s="118" t="n"/>
      <c r="D113" s="113" t="n"/>
      <c r="E113" s="61">
        <f>IF($C113="","",$C113*$C$103)</f>
        <v/>
      </c>
      <c r="F113" s="80">
        <f>IF($B113="","",N($E113)-N($D113))</f>
        <v/>
      </c>
      <c r="G113" s="146" t="n"/>
      <c r="H113" s="83" t="inlineStr">
        <is>
          <t>Hogar</t>
        </is>
      </c>
      <c r="I113" s="145" t="n"/>
      <c r="J113" s="145" t="n"/>
      <c r="K113" s="1" t="n"/>
      <c r="L113" s="1" t="n"/>
      <c r="M113" s="1" t="n"/>
      <c r="N113" s="1" t="n"/>
      <c r="O113" s="1" t="n"/>
      <c r="P113" s="1" t="n"/>
      <c r="Q113" s="1" t="n"/>
      <c r="R113" s="1" t="n"/>
      <c r="S113" s="1" t="n"/>
      <c r="T113" s="1" t="n"/>
      <c r="U113" s="1" t="n"/>
      <c r="V113" s="1" t="n"/>
      <c r="W113" s="1" t="n"/>
      <c r="X113" s="1" t="n"/>
      <c r="Y113" s="1" t="n"/>
      <c r="Z113" s="1" t="n"/>
    </row>
    <row r="114" ht="15" customHeight="1" s="311">
      <c r="A114" s="145" t="n"/>
      <c r="B114" s="146" t="n"/>
      <c r="C114" s="118" t="n"/>
      <c r="D114" s="113" t="n"/>
      <c r="E114" s="61">
        <f>IF($C114="","",$C114*$C$103)</f>
        <v/>
      </c>
      <c r="F114" s="80">
        <f>IF($B114="","",N($E114)-N($D114))</f>
        <v/>
      </c>
      <c r="G114" s="146" t="n"/>
      <c r="H114" s="83" t="inlineStr">
        <is>
          <t>Hogar</t>
        </is>
      </c>
      <c r="I114" s="145" t="n"/>
      <c r="J114" s="145" t="n"/>
      <c r="K114" s="1" t="n"/>
      <c r="L114" s="1" t="n"/>
      <c r="M114" s="1" t="n"/>
      <c r="N114" s="1" t="n"/>
      <c r="O114" s="1" t="n"/>
      <c r="P114" s="1" t="n"/>
      <c r="Q114" s="1" t="n"/>
      <c r="R114" s="1" t="n"/>
      <c r="S114" s="1" t="n"/>
      <c r="T114" s="1" t="n"/>
      <c r="U114" s="1" t="n"/>
      <c r="V114" s="1" t="n"/>
      <c r="W114" s="1" t="n"/>
      <c r="X114" s="1" t="n"/>
      <c r="Y114" s="1" t="n"/>
      <c r="Z114" s="1" t="n"/>
    </row>
    <row r="115" ht="15" customHeight="1" s="311">
      <c r="A115" s="145" t="n"/>
      <c r="B115" s="38" t="inlineStr">
        <is>
          <t>TOTAL EMPEÑADO  (solo prendas en garantía)</t>
        </is>
      </c>
      <c r="C115" s="137">
        <f>SUM(C$105:C$114)</f>
        <v/>
      </c>
      <c r="D115" s="68">
        <f>SUM(D$105:D$114)</f>
        <v/>
      </c>
      <c r="E115" s="68">
        <f>SUM(E$105:E$114)</f>
        <v/>
      </c>
      <c r="F115" s="68">
        <f>SUM(F$105:F$114)</f>
        <v/>
      </c>
      <c r="G115" s="39" t="n"/>
      <c r="H115" s="39" t="n"/>
      <c r="I115" s="145" t="n"/>
      <c r="J115" s="145" t="n"/>
      <c r="K115" s="1" t="n"/>
      <c r="L115" s="1" t="n"/>
      <c r="M115" s="1" t="n"/>
      <c r="N115" s="1" t="n"/>
      <c r="O115" s="1" t="n"/>
      <c r="P115" s="1" t="n"/>
      <c r="Q115" s="1" t="n"/>
      <c r="R115" s="1" t="n"/>
      <c r="S115" s="1" t="n"/>
      <c r="T115" s="1" t="n"/>
      <c r="U115" s="1" t="n"/>
      <c r="V115" s="1" t="n"/>
      <c r="W115" s="1" t="n"/>
      <c r="X115" s="1" t="n"/>
      <c r="Y115" s="1" t="n"/>
      <c r="Z115" s="1" t="n"/>
    </row>
    <row r="116" ht="15.75" customHeight="1" s="311">
      <c r="A116" s="145" t="n"/>
      <c r="B116" s="145" t="n"/>
      <c r="C116" s="145" t="n"/>
      <c r="D116" s="145" t="n"/>
      <c r="E116" s="145" t="n"/>
      <c r="F116" s="145" t="n"/>
      <c r="G116" s="145" t="n"/>
      <c r="H116" s="145" t="n"/>
      <c r="I116" s="145" t="n"/>
      <c r="J116" s="145" t="n"/>
      <c r="K116" s="1" t="n"/>
      <c r="L116" s="1" t="n"/>
      <c r="M116" s="1" t="n"/>
      <c r="N116" s="1" t="n"/>
      <c r="O116" s="1" t="n"/>
      <c r="P116" s="1" t="n"/>
      <c r="Q116" s="1" t="n"/>
      <c r="R116" s="1" t="n"/>
      <c r="S116" s="1" t="n"/>
      <c r="T116" s="1" t="n"/>
      <c r="U116" s="1" t="n"/>
      <c r="V116" s="1" t="n"/>
      <c r="W116" s="1" t="n"/>
      <c r="X116" s="1" t="n"/>
      <c r="Y116" s="1" t="n"/>
      <c r="Z116" s="1" t="n"/>
    </row>
    <row r="117" ht="21.75" customHeight="1" s="311">
      <c r="A117" s="145" t="n"/>
      <c r="B117" s="23" t="inlineStr">
        <is>
          <t>Deuda sobre el valor del oro</t>
        </is>
      </c>
      <c r="C117" s="107">
        <f>IFERROR($D$115/$E$115,"")</f>
        <v/>
      </c>
      <c r="D117" s="62">
        <f>IF($C$117="","",IF($C$117&lt;0.6,"✅",IF($C$117&lt;0.85,"🟡","🔴")))</f>
        <v/>
      </c>
      <c r="E117" s="145" t="n"/>
      <c r="F117" s="145" t="n"/>
      <c r="G117" s="145" t="n"/>
      <c r="H117" s="145" t="n"/>
      <c r="I117" s="20" t="inlineStr">
        <is>
          <t>Cuánto debes por cada euro de oro que tienes empeñado. Cuanto más alto, menos sentido tiene rescatar la prenda.</t>
        </is>
      </c>
      <c r="J117" s="145" t="n"/>
      <c r="K117" s="1" t="n"/>
      <c r="L117" s="1" t="n"/>
      <c r="M117" s="1" t="n"/>
      <c r="N117" s="1" t="n"/>
      <c r="O117" s="1" t="n"/>
      <c r="P117" s="1" t="n"/>
      <c r="Q117" s="1" t="n"/>
      <c r="R117" s="1" t="n"/>
      <c r="S117" s="1" t="n"/>
      <c r="T117" s="1" t="n"/>
      <c r="U117" s="1" t="n"/>
      <c r="V117" s="1" t="n"/>
      <c r="W117" s="1" t="n"/>
      <c r="X117" s="1" t="n"/>
      <c r="Y117" s="1" t="n"/>
      <c r="Z117" s="1" t="n"/>
    </row>
    <row r="118" ht="15" customHeight="1" s="311">
      <c r="A118" s="145" t="n"/>
      <c r="B118" s="138" t="inlineStr">
        <is>
          <t>B)  PRÉSTAMOS DE PARTICULARES  —  desglose por prestamista</t>
        </is>
      </c>
      <c r="C118" s="139">
        <f>IF($E$115=0,"Sin datos",IF($F$115&gt;0,"✅ Rescatar compensa: el oro vale "&amp;TEXT($F$115,"#,##0.00")&amp;" € más de lo que debes","🔴 No compensa rescatar: debes "&amp;TEXT(-$F$115,"#,##0.00")&amp;" € más de lo que vale el oro"))</f>
        <v/>
      </c>
      <c r="D118" s="1" t="n"/>
      <c r="E118" s="1" t="n"/>
      <c r="F118" s="1" t="n"/>
      <c r="G118" s="145" t="n"/>
      <c r="H118" s="145" t="n"/>
      <c r="I118" s="145" t="n"/>
      <c r="J118" s="145" t="n"/>
      <c r="K118" s="1" t="n"/>
      <c r="L118" s="1" t="n"/>
      <c r="M118" s="1" t="n"/>
      <c r="N118" s="1" t="n"/>
      <c r="O118" s="1" t="n"/>
      <c r="P118" s="1" t="n"/>
      <c r="Q118" s="1" t="n"/>
      <c r="R118" s="1" t="n"/>
      <c r="S118" s="1" t="n"/>
      <c r="T118" s="1" t="n"/>
      <c r="U118" s="1" t="n"/>
      <c r="V118" s="1" t="n"/>
      <c r="W118" s="1" t="n"/>
      <c r="X118" s="1" t="n"/>
      <c r="Y118" s="1" t="n"/>
      <c r="Z118" s="1" t="n"/>
    </row>
    <row r="119" ht="30" customHeight="1" s="311">
      <c r="A119" s="145" t="n"/>
      <c r="B119" s="20" t="inlineStr">
        <is>
          <t>No se escribe nada a mano: se lee de la hoja Facturas (categoría "Préstamo particular"). Para añadir un préstamo nuevo, crea una factura con el nombre del prestamista; para abonarlo, registra un Pago en Caja enlazado a esa factura.</t>
        </is>
      </c>
      <c r="J119" s="145" t="n"/>
      <c r="K119" s="1" t="n"/>
      <c r="L119" s="1" t="n"/>
      <c r="M119" s="1" t="n"/>
      <c r="N119" s="1" t="n"/>
      <c r="O119" s="1" t="n"/>
      <c r="P119" s="1" t="n"/>
      <c r="Q119" s="1" t="n"/>
      <c r="R119" s="1" t="n"/>
      <c r="S119" s="1" t="n"/>
      <c r="T119" s="1" t="n"/>
      <c r="U119" s="1" t="n"/>
      <c r="V119" s="1" t="n"/>
      <c r="W119" s="1" t="n"/>
      <c r="X119" s="1" t="n"/>
      <c r="Y119" s="1" t="n"/>
      <c r="Z119" s="1" t="n"/>
    </row>
    <row r="120" ht="42.75" customHeight="1" s="311">
      <c r="A120" s="145" t="n"/>
      <c r="B120" s="33" t="inlineStr">
        <is>
          <t>Prestamista</t>
        </is>
      </c>
      <c r="C120" s="33" t="inlineStr">
        <is>
          <t>Nº de facturas</t>
        </is>
      </c>
      <c r="D120" s="33" t="inlineStr">
        <is>
          <t>Deuda pendiente (€)</t>
        </is>
      </c>
      <c r="E120" s="33" t="inlineStr">
        <is>
          <t>Total prestado (€)</t>
        </is>
      </c>
      <c r="F120" s="33" t="inlineStr">
        <is>
          <t>Ya devuelto (€)</t>
        </is>
      </c>
      <c r="G120" s="33" t="inlineStr">
        <is>
          <t>% devuelto</t>
        </is>
      </c>
      <c r="H120" s="145" t="n"/>
      <c r="I120" s="20" t="inlineStr">
        <is>
          <t>Intereses facturados dividido entre el capital empeñado. Si esos intereses corresponden a un año, este es el TAE real que estás pagando. Compáralo con el 25% que hay puesto como supuesto en la hoja Ratios.</t>
        </is>
      </c>
      <c r="J120" s="145" t="n"/>
      <c r="K120" s="1" t="n"/>
      <c r="L120" s="1" t="n"/>
      <c r="M120" s="1" t="n"/>
      <c r="N120" s="1" t="n"/>
      <c r="O120" s="1" t="n"/>
      <c r="P120" s="1" t="n"/>
      <c r="Q120" s="1" t="n"/>
      <c r="R120" s="1" t="n"/>
      <c r="S120" s="1" t="n"/>
      <c r="T120" s="1" t="n"/>
      <c r="U120" s="1" t="n"/>
      <c r="V120" s="1" t="n"/>
      <c r="W120" s="1" t="n"/>
      <c r="X120" s="1" t="n"/>
      <c r="Y120" s="1" t="n"/>
      <c r="Z120" s="1" t="n"/>
    </row>
    <row r="121" ht="15.75" customHeight="1" s="311">
      <c r="A121" s="145" t="n"/>
      <c r="B121" s="146" t="inlineStr">
        <is>
          <t>Jose Antonio Garcia</t>
        </is>
      </c>
      <c r="C121" s="141">
        <f>IF($B121="","",COUNTIFS(Facturas!$C$6:$C$205,$B121,Facturas!$D$6:$D$205,"Préstamo particular",Facturas!$K$6:$K$205,"&gt;0"))</f>
        <v/>
      </c>
      <c r="D121" s="113">
        <f>IF($B121="","",SUMIFS(Facturas!$K$6:$K$205,Facturas!$C$6:$C$205,$B121,Facturas!$D$6:$D$205,"Préstamo particular"))</f>
        <v/>
      </c>
      <c r="E121" s="61">
        <f>IF($B121="","",SUMIFS(Facturas!$I$6:$I$205,Facturas!$C$6:$C$205,$B121,Facturas!$D$6:$D$205,"Préstamo particular"))</f>
        <v/>
      </c>
      <c r="F121" s="80">
        <f>IF($B121="","",N($E121)-N($D121))</f>
        <v/>
      </c>
      <c r="G121" s="142">
        <f>IF(OR($B121="",N($E121)=0),"",N($F121)/N($E121))</f>
        <v/>
      </c>
      <c r="H121" s="145" t="n"/>
      <c r="I121" s="145" t="n"/>
      <c r="J121" s="145" t="n"/>
      <c r="K121" s="1" t="n"/>
      <c r="L121" s="1" t="n"/>
      <c r="M121" s="1" t="n"/>
      <c r="N121" s="1" t="n"/>
      <c r="O121" s="1" t="n"/>
      <c r="P121" s="1" t="n"/>
      <c r="Q121" s="1" t="n"/>
      <c r="R121" s="1" t="n"/>
      <c r="S121" s="1" t="n"/>
      <c r="T121" s="1" t="n"/>
      <c r="U121" s="1" t="n"/>
      <c r="V121" s="1" t="n"/>
      <c r="W121" s="1" t="n"/>
      <c r="X121" s="1" t="n"/>
      <c r="Y121" s="1" t="n"/>
      <c r="Z121" s="1" t="n"/>
    </row>
    <row r="122" ht="15.75" customHeight="1" s="311">
      <c r="A122" s="145" t="n"/>
      <c r="B122" s="146" t="inlineStr">
        <is>
          <t>Fulgencia Almanzar</t>
        </is>
      </c>
      <c r="C122" s="141">
        <f>IF($B122="","",COUNTIFS(Facturas!$C$6:$C$205,$B122,Facturas!$D$6:$D$205,"Préstamo particular",Facturas!$K$6:$K$205,"&gt;0"))</f>
        <v/>
      </c>
      <c r="D122" s="113">
        <f>IF($B122="","",SUMIFS(Facturas!$K$6:$K$205,Facturas!$C$6:$C$205,$B122,Facturas!$D$6:$D$205,"Préstamo particular"))</f>
        <v/>
      </c>
      <c r="E122" s="61">
        <f>IF($B122="","",SUMIFS(Facturas!$I$6:$I$205,Facturas!$C$6:$C$205,$B122,Facturas!$D$6:$D$205,"Préstamo particular"))</f>
        <v/>
      </c>
      <c r="F122" s="80">
        <f>IF($B122="","",N($E122)-N($D122))</f>
        <v/>
      </c>
      <c r="G122" s="142">
        <f>IF(OR($B122="",N($E122)=0),"",N($F122)/N($E122))</f>
        <v/>
      </c>
      <c r="H122" s="145" t="n"/>
      <c r="I122" s="145" t="n"/>
      <c r="J122" s="145" t="n"/>
      <c r="K122" s="1" t="n"/>
      <c r="L122" s="1" t="n"/>
      <c r="M122" s="1" t="n"/>
      <c r="N122" s="1" t="n"/>
      <c r="O122" s="1" t="n"/>
      <c r="P122" s="1" t="n"/>
      <c r="Q122" s="1" t="n"/>
      <c r="R122" s="1" t="n"/>
      <c r="S122" s="1" t="n"/>
      <c r="T122" s="1" t="n"/>
      <c r="U122" s="1" t="n"/>
      <c r="V122" s="1" t="n"/>
      <c r="W122" s="1" t="n"/>
      <c r="X122" s="1" t="n"/>
      <c r="Y122" s="1" t="n"/>
      <c r="Z122" s="1" t="n"/>
    </row>
    <row r="123" ht="15.75" customHeight="1" s="311">
      <c r="A123" s="145" t="n"/>
      <c r="B123" s="146" t="inlineStr">
        <is>
          <t>Jose Stalin Garcia</t>
        </is>
      </c>
      <c r="C123" s="141">
        <f>IF($B123="","",COUNTIFS(Facturas!$C$6:$C$205,$B123,Facturas!$D$6:$D$205,"Préstamo particular",Facturas!$K$6:$K$205,"&gt;0"))</f>
        <v/>
      </c>
      <c r="D123" s="113">
        <f>IF($B123="","",SUMIFS(Facturas!$K$6:$K$205,Facturas!$C$6:$C$205,$B123,Facturas!$D$6:$D$205,"Préstamo particular"))</f>
        <v/>
      </c>
      <c r="E123" s="61">
        <f>IF($B123="","",SUMIFS(Facturas!$I$6:$I$205,Facturas!$C$6:$C$205,$B123,Facturas!$D$6:$D$205,"Préstamo particular"))</f>
        <v/>
      </c>
      <c r="F123" s="80">
        <f>IF($B123="","",N($E123)-N($D123))</f>
        <v/>
      </c>
      <c r="G123" s="142">
        <f>IF(OR($B123="",N($E123)=0),"",N($F123)/N($E123))</f>
        <v/>
      </c>
      <c r="H123" s="145" t="n"/>
      <c r="I123" s="145" t="n"/>
      <c r="J123" s="145" t="n"/>
      <c r="K123" s="1" t="n"/>
      <c r="L123" s="1" t="n"/>
      <c r="M123" s="1" t="n"/>
      <c r="N123" s="1" t="n"/>
      <c r="O123" s="1" t="n"/>
      <c r="P123" s="1" t="n"/>
      <c r="Q123" s="1" t="n"/>
      <c r="R123" s="1" t="n"/>
      <c r="S123" s="1" t="n"/>
      <c r="T123" s="1" t="n"/>
      <c r="U123" s="1" t="n"/>
      <c r="V123" s="1" t="n"/>
      <c r="W123" s="1" t="n"/>
      <c r="X123" s="1" t="n"/>
      <c r="Y123" s="1" t="n"/>
      <c r="Z123" s="1" t="n"/>
    </row>
    <row r="124" ht="15.75" customHeight="1" s="311">
      <c r="A124" s="145" t="n"/>
      <c r="B124" s="146" t="n"/>
      <c r="C124" s="141">
        <f>IF($B124="","",COUNTIFS(Facturas!$C$6:$C$205,$B124,Facturas!$D$6:$D$205,"Préstamo particular",Facturas!$K$6:$K$205,"&gt;0"))</f>
        <v/>
      </c>
      <c r="D124" s="113">
        <f>IF($B124="","",SUMIFS(Facturas!$K$6:$K$205,Facturas!$C$6:$C$205,$B124,Facturas!$D$6:$D$205,"Préstamo particular"))</f>
        <v/>
      </c>
      <c r="E124" s="61">
        <f>IF($B124="","",SUMIFS(Facturas!$I$6:$I$205,Facturas!$C$6:$C$205,$B124,Facturas!$D$6:$D$205,"Préstamo particular"))</f>
        <v/>
      </c>
      <c r="F124" s="80">
        <f>IF($B124="","",N($E124)-N($D124))</f>
        <v/>
      </c>
      <c r="G124" s="142">
        <f>IF(OR($B124="",N($E124)=0),"",N($F124)/N($E124))</f>
        <v/>
      </c>
      <c r="H124" s="145" t="n"/>
      <c r="I124" s="145" t="n"/>
      <c r="J124" s="145" t="n"/>
      <c r="K124" s="1" t="n"/>
      <c r="L124" s="1" t="n"/>
      <c r="M124" s="1" t="n"/>
      <c r="N124" s="1" t="n"/>
      <c r="O124" s="1" t="n"/>
      <c r="P124" s="1" t="n"/>
      <c r="Q124" s="1" t="n"/>
      <c r="R124" s="1" t="n"/>
      <c r="S124" s="1" t="n"/>
      <c r="T124" s="1" t="n"/>
      <c r="U124" s="1" t="n"/>
      <c r="V124" s="1" t="n"/>
      <c r="W124" s="1" t="n"/>
      <c r="X124" s="1" t="n"/>
      <c r="Y124" s="1" t="n"/>
      <c r="Z124" s="1" t="n"/>
    </row>
    <row r="125" ht="15.75" customHeight="1" s="311">
      <c r="A125" s="145" t="n"/>
      <c r="B125" s="146" t="n"/>
      <c r="C125" s="141">
        <f>IF($B125="","",COUNTIFS(Facturas!$C$6:$C$205,$B125,Facturas!$D$6:$D$205,"Préstamo particular",Facturas!$K$6:$K$205,"&gt;0"))</f>
        <v/>
      </c>
      <c r="D125" s="113">
        <f>IF($B125="","",SUMIFS(Facturas!$K$6:$K$205,Facturas!$C$6:$C$205,$B125,Facturas!$D$6:$D$205,"Préstamo particular"))</f>
        <v/>
      </c>
      <c r="E125" s="61">
        <f>IF($B125="","",SUMIFS(Facturas!$I$6:$I$205,Facturas!$C$6:$C$205,$B125,Facturas!$D$6:$D$205,"Préstamo particular"))</f>
        <v/>
      </c>
      <c r="F125" s="80">
        <f>IF($B125="","",N($E125)-N($D125))</f>
        <v/>
      </c>
      <c r="G125" s="142">
        <f>IF(OR($B125="",N($E125)=0),"",N($F125)/N($E125))</f>
        <v/>
      </c>
      <c r="H125" s="145" t="n"/>
      <c r="I125" s="145" t="n"/>
      <c r="J125" s="145" t="n"/>
      <c r="K125" s="1" t="n"/>
      <c r="L125" s="1" t="n"/>
      <c r="M125" s="1" t="n"/>
      <c r="N125" s="1" t="n"/>
      <c r="O125" s="1" t="n"/>
      <c r="P125" s="1" t="n"/>
      <c r="Q125" s="1" t="n"/>
      <c r="R125" s="1" t="n"/>
      <c r="S125" s="1" t="n"/>
      <c r="T125" s="1" t="n"/>
      <c r="U125" s="1" t="n"/>
      <c r="V125" s="1" t="n"/>
      <c r="W125" s="1" t="n"/>
      <c r="X125" s="1" t="n"/>
      <c r="Y125" s="1" t="n"/>
      <c r="Z125" s="1" t="n"/>
    </row>
    <row r="126" ht="15.75" customHeight="1" s="311">
      <c r="A126" s="145" t="n"/>
      <c r="B126" s="146" t="n"/>
      <c r="C126" s="141">
        <f>IF($B126="","",COUNTIFS(Facturas!$C$6:$C$205,$B126,Facturas!$D$6:$D$205,"Préstamo particular",Facturas!$K$6:$K$205,"&gt;0"))</f>
        <v/>
      </c>
      <c r="D126" s="113">
        <f>IF($B126="","",SUMIFS(Facturas!$K$6:$K$205,Facturas!$C$6:$C$205,$B126,Facturas!$D$6:$D$205,"Préstamo particular"))</f>
        <v/>
      </c>
      <c r="E126" s="61">
        <f>IF($B126="","",SUMIFS(Facturas!$I$6:$I$205,Facturas!$C$6:$C$205,$B126,Facturas!$D$6:$D$205,"Préstamo particular"))</f>
        <v/>
      </c>
      <c r="F126" s="80">
        <f>IF($B126="","",N($E126)-N($D126))</f>
        <v/>
      </c>
      <c r="G126" s="142">
        <f>IF(OR($B126="",N($E126)=0),"",N($F126)/N($E126))</f>
        <v/>
      </c>
      <c r="H126" s="145" t="n"/>
      <c r="I126" s="145" t="n"/>
      <c r="J126" s="145" t="n"/>
      <c r="K126" s="1" t="n"/>
      <c r="L126" s="1" t="n"/>
      <c r="M126" s="1" t="n"/>
      <c r="N126" s="1" t="n"/>
      <c r="O126" s="1" t="n"/>
      <c r="P126" s="1" t="n"/>
      <c r="Q126" s="1" t="n"/>
      <c r="R126" s="1" t="n"/>
      <c r="S126" s="1" t="n"/>
      <c r="T126" s="1" t="n"/>
      <c r="U126" s="1" t="n"/>
      <c r="V126" s="1" t="n"/>
      <c r="W126" s="1" t="n"/>
      <c r="X126" s="1" t="n"/>
      <c r="Y126" s="1" t="n"/>
      <c r="Z126" s="1" t="n"/>
    </row>
    <row r="127" ht="15.75" customHeight="1" s="311">
      <c r="A127" s="145" t="n"/>
      <c r="B127" s="38" t="inlineStr">
        <is>
          <t>TOTAL PRÉSTAMOS DE PARTICULARES</t>
        </is>
      </c>
      <c r="C127" s="109">
        <f>SUM(C$121:C$126)</f>
        <v/>
      </c>
      <c r="D127" s="68">
        <f>SUM(D$121:D$126)</f>
        <v/>
      </c>
      <c r="E127" s="68">
        <f>SUM(E$121:E$126)</f>
        <v/>
      </c>
      <c r="F127" s="68">
        <f>SUM(F$121:F$126)</f>
        <v/>
      </c>
      <c r="G127" s="145" t="n"/>
      <c r="H127" s="145" t="n"/>
      <c r="I127" s="145">
        <f>IF(ROUND($D$127-$E$30,2)=0,"✅ Coincide con la fila 30 del pasivo","🔴 Faltan prestamistas por listar: "&amp;TEXT($E$30-$D$127,"#,##0.00")&amp;" € sin desglosar")</f>
        <v/>
      </c>
      <c r="K127" s="1" t="n"/>
      <c r="L127" s="1" t="n"/>
      <c r="M127" s="1" t="n"/>
      <c r="N127" s="1" t="n"/>
      <c r="O127" s="1" t="n"/>
      <c r="P127" s="1" t="n"/>
      <c r="Q127" s="1" t="n"/>
      <c r="R127" s="1" t="n"/>
      <c r="S127" s="1" t="n"/>
      <c r="T127" s="1" t="n"/>
      <c r="U127" s="1" t="n"/>
      <c r="V127" s="1" t="n"/>
      <c r="W127" s="1" t="n"/>
      <c r="X127" s="1" t="n"/>
      <c r="Y127" s="1" t="n"/>
      <c r="Z127" s="1" t="n"/>
    </row>
    <row r="128" ht="15.75" customHeight="1" s="311">
      <c r="A128" s="145" t="n"/>
      <c r="B128" s="145" t="n"/>
      <c r="C128" s="145" t="n"/>
      <c r="D128" s="145" t="n"/>
      <c r="E128" s="145" t="n"/>
      <c r="F128" s="145" t="n"/>
      <c r="G128" s="145" t="n"/>
      <c r="H128" s="145" t="n"/>
      <c r="I128" s="145" t="n"/>
      <c r="J128" s="145" t="n"/>
      <c r="K128" s="1" t="n"/>
      <c r="L128" s="1" t="n"/>
      <c r="M128" s="1" t="n"/>
      <c r="N128" s="1" t="n"/>
      <c r="O128" s="1" t="n"/>
      <c r="P128" s="1" t="n"/>
      <c r="Q128" s="1" t="n"/>
      <c r="R128" s="1" t="n"/>
      <c r="S128" s="1" t="n"/>
      <c r="T128" s="1" t="n"/>
      <c r="U128" s="1" t="n"/>
      <c r="V128" s="1" t="n"/>
      <c r="W128" s="1" t="n"/>
      <c r="X128" s="1" t="n"/>
      <c r="Y128" s="1" t="n"/>
      <c r="Z128" s="1" t="n"/>
    </row>
    <row r="129" ht="15.75" customHeight="1" s="311">
      <c r="A129" s="145" t="n"/>
      <c r="B129" s="138" t="inlineStr">
        <is>
          <t>C)  CRÉDITO COMERCIAL  —  desglose por proveedor</t>
        </is>
      </c>
      <c r="C129" s="145" t="n"/>
      <c r="D129" s="145" t="n"/>
      <c r="E129" s="145" t="n"/>
      <c r="F129" s="145" t="n"/>
      <c r="G129" s="145" t="n"/>
      <c r="H129" s="145" t="n"/>
      <c r="I129" s="145" t="n"/>
      <c r="J129" s="145" t="n"/>
      <c r="K129" s="1" t="n"/>
      <c r="L129" s="1" t="n"/>
      <c r="M129" s="1" t="n"/>
      <c r="N129" s="1" t="n"/>
      <c r="O129" s="1" t="n"/>
      <c r="P129" s="1" t="n"/>
      <c r="Q129" s="1" t="n"/>
      <c r="R129" s="1" t="n"/>
      <c r="S129" s="1" t="n"/>
      <c r="T129" s="1" t="n"/>
      <c r="U129" s="1" t="n"/>
      <c r="V129" s="1" t="n"/>
      <c r="W129" s="1" t="n"/>
      <c r="X129" s="1" t="n"/>
      <c r="Y129" s="1" t="n"/>
      <c r="Z129" s="1" t="n"/>
    </row>
    <row r="130" ht="15.75" customHeight="1" s="311">
      <c r="A130" s="145" t="n"/>
      <c r="B130" s="20" t="inlineStr">
        <is>
          <t>No se escribe nada a mano: se lee de la hoja Facturas (categoría "Crédito comercial"). Aquí entran las compras financiadas a plazos y los microcréditos. Para añadir uno nuevo, crea la factura con el nombre del proveedor en "Proveedor / Emisor" y escribe ese mismo nombre en una fila libre de esta tabla.</t>
        </is>
      </c>
      <c r="J130" s="145" t="n"/>
      <c r="K130" s="1" t="n"/>
      <c r="L130" s="1" t="n"/>
      <c r="M130" s="1" t="n"/>
      <c r="N130" s="1" t="n"/>
      <c r="O130" s="1" t="n"/>
      <c r="P130" s="1" t="n"/>
      <c r="Q130" s="1" t="n"/>
      <c r="R130" s="1" t="n"/>
      <c r="S130" s="1" t="n"/>
      <c r="T130" s="1" t="n"/>
      <c r="U130" s="1" t="n"/>
      <c r="V130" s="1" t="n"/>
      <c r="W130" s="1" t="n"/>
      <c r="X130" s="1" t="n"/>
      <c r="Y130" s="1" t="n"/>
      <c r="Z130" s="1" t="n"/>
    </row>
    <row r="131" ht="42" customHeight="1" s="311">
      <c r="A131" s="145" t="n"/>
      <c r="B131" s="33" t="inlineStr">
        <is>
          <t>Proveedor</t>
        </is>
      </c>
      <c r="C131" s="33" t="inlineStr">
        <is>
          <t>Nº de facturas</t>
        </is>
      </c>
      <c r="D131" s="33" t="inlineStr">
        <is>
          <t>Deuda pendiente (€)</t>
        </is>
      </c>
      <c r="E131" s="33" t="inlineStr">
        <is>
          <t>Total financiado (€)</t>
        </is>
      </c>
      <c r="F131" s="33" t="inlineStr">
        <is>
          <t>Ya pagado (€)</t>
        </is>
      </c>
      <c r="G131" s="33" t="inlineStr">
        <is>
          <t>% pagado</t>
        </is>
      </c>
      <c r="H131" s="33" t="inlineStr">
        <is>
          <t>Próximo vencimiento</t>
        </is>
      </c>
      <c r="I131" s="1" t="n"/>
      <c r="J131" s="145" t="n"/>
      <c r="K131" s="1" t="n"/>
      <c r="L131" s="1" t="n"/>
      <c r="M131" s="1" t="n"/>
      <c r="N131" s="1" t="n"/>
      <c r="O131" s="1" t="n"/>
      <c r="P131" s="1" t="n"/>
      <c r="Q131" s="1" t="n"/>
      <c r="R131" s="1" t="n"/>
      <c r="S131" s="1" t="n"/>
      <c r="T131" s="1" t="n"/>
      <c r="U131" s="1" t="n"/>
      <c r="V131" s="1" t="n"/>
      <c r="W131" s="1" t="n"/>
      <c r="X131" s="1" t="n"/>
      <c r="Y131" s="1" t="n"/>
      <c r="Z131" s="1" t="n"/>
    </row>
    <row r="132" ht="15.75" customHeight="1" s="311">
      <c r="A132" s="145" t="n"/>
      <c r="B132" s="146" t="inlineStr">
        <is>
          <t>Imagin Crédito (CaixaBank)</t>
        </is>
      </c>
      <c r="C132" s="141">
        <f>IF($B132="","",COUNTIFS(Facturas!$C$6:$C$205,$B132,Facturas!$D$6:$D$205,"Crédito comercial",Facturas!$K$6:$K$205,"&gt;0"))</f>
        <v/>
      </c>
      <c r="D132" s="113">
        <f>IF($B132="","",SUMIFS(Facturas!$K$6:$K$205,Facturas!$C$6:$C$205,$B132,Facturas!$D$6:$D$205,"Crédito comercial"))</f>
        <v/>
      </c>
      <c r="E132" s="61">
        <f>IF($B132="","",SUMIFS(Facturas!$I$6:$I$205,Facturas!$C$6:$C$205,$B132,Facturas!$D$6:$D$205,"Crédito comercial"))</f>
        <v/>
      </c>
      <c r="F132" s="80">
        <f>IF($B132="","",N($E132)-N($D132))</f>
        <v/>
      </c>
      <c r="G132" s="142">
        <f>IF(OR($B132="",N($E132)=0),"",N($F132)/N($E132))</f>
        <v/>
      </c>
      <c r="H132" s="147">
        <f>IFERROR(MINIFS(Facturas!$AE$6:$AE$205,Facturas!$C$6:$C$205,$B132,Facturas!$D$6:$D$205,"Crédito comercial",Facturas!$K$6:$K$205,"&gt;0"),"—")</f>
        <v/>
      </c>
      <c r="I132" s="20" t="n"/>
      <c r="J132" s="145" t="n"/>
      <c r="K132" s="1" t="n"/>
      <c r="L132" s="1" t="n"/>
      <c r="M132" s="1" t="n"/>
      <c r="N132" s="1" t="n"/>
      <c r="O132" s="1" t="n"/>
      <c r="P132" s="1" t="n"/>
      <c r="Q132" s="1" t="n"/>
      <c r="R132" s="1" t="n"/>
      <c r="S132" s="1" t="n"/>
      <c r="T132" s="1" t="n"/>
      <c r="U132" s="1" t="n"/>
      <c r="V132" s="1" t="n"/>
      <c r="W132" s="1" t="n"/>
      <c r="X132" s="1" t="n"/>
      <c r="Y132" s="1" t="n"/>
      <c r="Z132" s="1" t="n"/>
    </row>
    <row r="133" ht="15.75" customHeight="1" s="311">
      <c r="A133" s="145" t="n"/>
      <c r="B133" s="146" t="inlineStr">
        <is>
          <t>Karma Market</t>
        </is>
      </c>
      <c r="C133" s="141">
        <f>IF($B133="","",COUNTIFS(Facturas!$C$6:$C$205,$B133,Facturas!$D$6:$D$205,"Crédito comercial",Facturas!$K$6:$K$205,"&gt;0"))</f>
        <v/>
      </c>
      <c r="D133" s="113">
        <f>IF($B133="","",SUMIFS(Facturas!$K$6:$K$205,Facturas!$C$6:$C$205,$B133,Facturas!$D$6:$D$205,"Crédito comercial"))</f>
        <v/>
      </c>
      <c r="E133" s="61">
        <f>IF($B133="","",SUMIFS(Facturas!$I$6:$I$205,Facturas!$C$6:$C$205,$B133,Facturas!$D$6:$D$205,"Crédito comercial"))</f>
        <v/>
      </c>
      <c r="F133" s="80">
        <f>IF($B133="","",N($E133)-N($D133))</f>
        <v/>
      </c>
      <c r="G133" s="142">
        <f>IF(OR($B133="",N($E133)=0),"",N($F133)/N($E133))</f>
        <v/>
      </c>
      <c r="H133" s="147">
        <f>IFERROR(MINIFS(Facturas!$AE$6:$AE$205,Facturas!$C$6:$C$205,$B133,Facturas!$D$6:$D$205,"Crédito comercial",Facturas!$K$6:$K$205,"&gt;0"),"—")</f>
        <v/>
      </c>
      <c r="I133" s="20" t="n"/>
      <c r="J133" s="145" t="n"/>
      <c r="K133" s="1" t="n"/>
      <c r="L133" s="1" t="n"/>
      <c r="M133" s="1" t="n"/>
      <c r="N133" s="1" t="n"/>
      <c r="O133" s="1" t="n"/>
      <c r="P133" s="1" t="n"/>
      <c r="Q133" s="1" t="n"/>
      <c r="R133" s="1" t="n"/>
      <c r="S133" s="1" t="n"/>
      <c r="T133" s="1" t="n"/>
      <c r="U133" s="1" t="n"/>
      <c r="V133" s="1" t="n"/>
      <c r="W133" s="1" t="n"/>
      <c r="X133" s="1" t="n"/>
      <c r="Y133" s="1" t="n"/>
      <c r="Z133" s="1" t="n"/>
    </row>
    <row r="134" ht="15.75" customHeight="1" s="311">
      <c r="A134" s="145" t="n"/>
      <c r="B134" s="146" t="inlineStr">
        <is>
          <t>Vivus.es</t>
        </is>
      </c>
      <c r="C134" s="141">
        <f>IF($B134="","",COUNTIFS(Facturas!$C$6:$C$205,$B134,Facturas!$D$6:$D$205,"Crédito comercial",Facturas!$K$6:$K$205,"&gt;0"))</f>
        <v/>
      </c>
      <c r="D134" s="113">
        <f>IF($B134="","",SUMIFS(Facturas!$K$6:$K$205,Facturas!$C$6:$C$205,$B134,Facturas!$D$6:$D$205,"Crédito comercial"))</f>
        <v/>
      </c>
      <c r="E134" s="61">
        <f>IF($B134="","",SUMIFS(Facturas!$I$6:$I$205,Facturas!$C$6:$C$205,$B134,Facturas!$D$6:$D$205,"Crédito comercial"))</f>
        <v/>
      </c>
      <c r="F134" s="80">
        <f>IF($B134="","",N($E134)-N($D134))</f>
        <v/>
      </c>
      <c r="G134" s="142">
        <f>IF(OR($B134="",N($E134)=0),"",N($F134)/N($E134))</f>
        <v/>
      </c>
      <c r="H134" s="147">
        <f>IFERROR(MINIFS(Facturas!$AE$6:$AE$205,Facturas!$C$6:$C$205,$B134,Facturas!$D$6:$D$205,"Crédito comercial",Facturas!$K$6:$K$205,"&gt;0"),"—")</f>
        <v/>
      </c>
      <c r="I134" s="20" t="n"/>
      <c r="J134" s="145" t="n"/>
      <c r="K134" s="1" t="n"/>
      <c r="L134" s="1" t="n"/>
      <c r="M134" s="1" t="n"/>
      <c r="N134" s="1" t="n"/>
      <c r="O134" s="1" t="n"/>
      <c r="P134" s="1" t="n"/>
      <c r="Q134" s="1" t="n"/>
      <c r="R134" s="1" t="n"/>
      <c r="S134" s="1" t="n"/>
      <c r="T134" s="1" t="n"/>
      <c r="U134" s="1" t="n"/>
      <c r="V134" s="1" t="n"/>
      <c r="W134" s="1" t="n"/>
      <c r="X134" s="1" t="n"/>
      <c r="Y134" s="1" t="n"/>
      <c r="Z134" s="1" t="n"/>
    </row>
    <row r="135" ht="15.75" customHeight="1" s="311">
      <c r="A135" s="145" t="n"/>
      <c r="B135" s="146" t="n"/>
      <c r="C135" s="141">
        <f>IF($B135="","",COUNTIFS(Facturas!$C$6:$C$205,$B135,Facturas!$D$6:$D$205,"Crédito comercial",Facturas!$K$6:$K$205,"&gt;0"))</f>
        <v/>
      </c>
      <c r="D135" s="113">
        <f>IF($B135="","",SUMIFS(Facturas!$K$6:$K$205,Facturas!$C$6:$C$205,$B135,Facturas!$D$6:$D$205,"Crédito comercial"))</f>
        <v/>
      </c>
      <c r="E135" s="61">
        <f>IF($B135="","",SUMIFS(Facturas!$I$6:$I$205,Facturas!$C$6:$C$205,$B135,Facturas!$D$6:$D$205,"Crédito comercial"))</f>
        <v/>
      </c>
      <c r="F135" s="80">
        <f>IF($B135="","",N($E135)-N($D135))</f>
        <v/>
      </c>
      <c r="G135" s="142">
        <f>IF(OR($B135="",N($E135)=0),"",N($F135)/N($E135))</f>
        <v/>
      </c>
      <c r="H135" s="147">
        <f>IFERROR(MINIFS(Facturas!$AE$6:$AE$205,Facturas!$C$6:$C$205,$B135,Facturas!$D$6:$D$205,"Crédito comercial",Facturas!$K$6:$K$205,"&gt;0"),"—")</f>
        <v/>
      </c>
      <c r="I135" s="20" t="n"/>
      <c r="J135" s="145" t="n"/>
      <c r="K135" s="1" t="n"/>
      <c r="L135" s="1" t="n"/>
      <c r="M135" s="1" t="n"/>
      <c r="N135" s="1" t="n"/>
      <c r="O135" s="1" t="n"/>
      <c r="P135" s="1" t="n"/>
      <c r="Q135" s="1" t="n"/>
      <c r="R135" s="1" t="n"/>
      <c r="S135" s="1" t="n"/>
      <c r="T135" s="1" t="n"/>
      <c r="U135" s="1" t="n"/>
      <c r="V135" s="1" t="n"/>
      <c r="W135" s="1" t="n"/>
      <c r="X135" s="1" t="n"/>
      <c r="Y135" s="1" t="n"/>
      <c r="Z135" s="1" t="n"/>
    </row>
    <row r="136" ht="15.75" customHeight="1" s="311">
      <c r="A136" s="145" t="n"/>
      <c r="B136" s="146" t="n"/>
      <c r="C136" s="141">
        <f>IF($B136="","",COUNTIFS(Facturas!$C$6:$C$205,$B136,Facturas!$D$6:$D$205,"Crédito comercial",Facturas!$K$6:$K$205,"&gt;0"))</f>
        <v/>
      </c>
      <c r="D136" s="113">
        <f>IF($B136="","",SUMIFS(Facturas!$K$6:$K$205,Facturas!$C$6:$C$205,$B136,Facturas!$D$6:$D$205,"Crédito comercial"))</f>
        <v/>
      </c>
      <c r="E136" s="61">
        <f>IF($B136="","",SUMIFS(Facturas!$I$6:$I$205,Facturas!$C$6:$C$205,$B136,Facturas!$D$6:$D$205,"Crédito comercial"))</f>
        <v/>
      </c>
      <c r="F136" s="80">
        <f>IF($B136="","",N($E136)-N($D136))</f>
        <v/>
      </c>
      <c r="G136" s="142">
        <f>IF(OR($B136="",N($E136)=0),"",N($F136)/N($E136))</f>
        <v/>
      </c>
      <c r="H136" s="147">
        <f>IFERROR(MINIFS(Facturas!$AE$6:$AE$205,Facturas!$C$6:$C$205,$B136,Facturas!$D$6:$D$205,"Crédito comercial",Facturas!$K$6:$K$205,"&gt;0"),"—")</f>
        <v/>
      </c>
      <c r="I136" s="20" t="n"/>
      <c r="J136" s="145" t="n"/>
      <c r="K136" s="1" t="n"/>
      <c r="L136" s="1" t="n"/>
      <c r="M136" s="1" t="n"/>
      <c r="N136" s="1" t="n"/>
      <c r="O136" s="1" t="n"/>
      <c r="P136" s="1" t="n"/>
      <c r="Q136" s="1" t="n"/>
      <c r="R136" s="1" t="n"/>
      <c r="S136" s="1" t="n"/>
      <c r="T136" s="1" t="n"/>
      <c r="U136" s="1" t="n"/>
      <c r="V136" s="1" t="n"/>
      <c r="W136" s="1" t="n"/>
      <c r="X136" s="1" t="n"/>
      <c r="Y136" s="1" t="n"/>
      <c r="Z136" s="1" t="n"/>
    </row>
    <row r="137" ht="15.75" customHeight="1" s="311">
      <c r="A137" s="145" t="n"/>
      <c r="B137" s="146" t="n"/>
      <c r="C137" s="141">
        <f>IF($B137="","",COUNTIFS(Facturas!$C$6:$C$205,$B137,Facturas!$D$6:$D$205,"Crédito comercial",Facturas!$K$6:$K$205,"&gt;0"))</f>
        <v/>
      </c>
      <c r="D137" s="113">
        <f>IF($B137="","",SUMIFS(Facturas!$K$6:$K$205,Facturas!$C$6:$C$205,$B137,Facturas!$D$6:$D$205,"Crédito comercial"))</f>
        <v/>
      </c>
      <c r="E137" s="61">
        <f>IF($B137="","",SUMIFS(Facturas!$I$6:$I$205,Facturas!$C$6:$C$205,$B137,Facturas!$D$6:$D$205,"Crédito comercial"))</f>
        <v/>
      </c>
      <c r="F137" s="80">
        <f>IF($B137="","",N($E137)-N($D137))</f>
        <v/>
      </c>
      <c r="G137" s="142">
        <f>IF(OR($B137="",N($E137)=0),"",N($F137)/N($E137))</f>
        <v/>
      </c>
      <c r="H137" s="147">
        <f>IFERROR(MINIFS(Facturas!$AE$6:$AE$205,Facturas!$C$6:$C$205,$B137,Facturas!$D$6:$D$205,"Crédito comercial",Facturas!$K$6:$K$205,"&gt;0"),"—")</f>
        <v/>
      </c>
      <c r="I137" s="1" t="n"/>
      <c r="J137" s="145" t="n"/>
      <c r="K137" s="1" t="n"/>
      <c r="L137" s="1" t="n"/>
      <c r="M137" s="1" t="n"/>
      <c r="N137" s="1" t="n"/>
      <c r="O137" s="1" t="n"/>
      <c r="P137" s="1" t="n"/>
      <c r="Q137" s="1" t="n"/>
      <c r="R137" s="1" t="n"/>
      <c r="S137" s="1" t="n"/>
      <c r="T137" s="1" t="n"/>
      <c r="U137" s="1" t="n"/>
      <c r="V137" s="1" t="n"/>
      <c r="W137" s="1" t="n"/>
      <c r="X137" s="1" t="n"/>
      <c r="Y137" s="1" t="n"/>
      <c r="Z137" s="1" t="n"/>
    </row>
    <row r="138" ht="15.75" customHeight="1" s="311">
      <c r="A138" s="145" t="n"/>
      <c r="B138" s="146" t="n"/>
      <c r="C138" s="141">
        <f>IF($B138="","",COUNTIFS(Facturas!$C$6:$C$205,$B138,Facturas!$D$6:$D$205,"Crédito comercial",Facturas!$K$6:$K$205,"&gt;0"))</f>
        <v/>
      </c>
      <c r="D138" s="113">
        <f>IF($B138="","",SUMIFS(Facturas!$K$6:$K$205,Facturas!$C$6:$C$205,$B138,Facturas!$D$6:$D$205,"Crédito comercial"))</f>
        <v/>
      </c>
      <c r="E138" s="61">
        <f>IF($B138="","",SUMIFS(Facturas!$I$6:$I$205,Facturas!$C$6:$C$205,$B138,Facturas!$D$6:$D$205,"Crédito comercial"))</f>
        <v/>
      </c>
      <c r="F138" s="80">
        <f>IF($B138="","",N($E138)-N($D138))</f>
        <v/>
      </c>
      <c r="G138" s="142">
        <f>IF(OR($B138="",N($E138)=0),"",N($F138)/N($E138))</f>
        <v/>
      </c>
      <c r="H138" s="147">
        <f>IFERROR(MINIFS(Facturas!$AE$6:$AE$205,Facturas!$C$6:$C$205,$B138,Facturas!$D$6:$D$205,"Crédito comercial",Facturas!$K$6:$K$205,"&gt;0"),"—")</f>
        <v/>
      </c>
      <c r="I138" s="145" t="n"/>
      <c r="J138" s="145" t="n"/>
      <c r="K138" s="1" t="n"/>
      <c r="L138" s="1" t="n"/>
      <c r="M138" s="1" t="n"/>
      <c r="N138" s="1" t="n"/>
      <c r="O138" s="1" t="n"/>
      <c r="P138" s="1" t="n"/>
      <c r="Q138" s="1" t="n"/>
      <c r="R138" s="1" t="n"/>
      <c r="S138" s="1" t="n"/>
      <c r="T138" s="1" t="n"/>
      <c r="U138" s="1" t="n"/>
      <c r="V138" s="1" t="n"/>
      <c r="W138" s="1" t="n"/>
      <c r="X138" s="1" t="n"/>
      <c r="Y138" s="1" t="n"/>
      <c r="Z138" s="1" t="n"/>
    </row>
    <row r="139" ht="15.75" customHeight="1" s="311">
      <c r="A139" s="145" t="n"/>
      <c r="B139" s="146" t="n"/>
      <c r="C139" s="141">
        <f>IF($B139="","",COUNTIFS(Facturas!$C$6:$C$205,$B139,Facturas!$D$6:$D$205,"Crédito comercial",Facturas!$K$6:$K$205,"&gt;0"))</f>
        <v/>
      </c>
      <c r="D139" s="113">
        <f>IF($B139="","",SUMIFS(Facturas!$K$6:$K$205,Facturas!$C$6:$C$205,$B139,Facturas!$D$6:$D$205,"Crédito comercial"))</f>
        <v/>
      </c>
      <c r="E139" s="61">
        <f>IF($B139="","",SUMIFS(Facturas!$I$6:$I$205,Facturas!$C$6:$C$205,$B139,Facturas!$D$6:$D$205,"Crédito comercial"))</f>
        <v/>
      </c>
      <c r="F139" s="80">
        <f>IF($B139="","",N($E139)-N($D139))</f>
        <v/>
      </c>
      <c r="G139" s="142">
        <f>IF(OR($B139="",N($E139)=0),"",N($F139)/N($E139))</f>
        <v/>
      </c>
      <c r="H139" s="147">
        <f>IFERROR(MINIFS(Facturas!$AE$6:$AE$205,Facturas!$C$6:$C$205,$B139,Facturas!$D$6:$D$205,"Crédito comercial",Facturas!$K$6:$K$205,"&gt;0"),"—")</f>
        <v/>
      </c>
      <c r="I139" s="145" t="n"/>
      <c r="J139" s="145" t="n"/>
      <c r="K139" s="1" t="n"/>
      <c r="L139" s="1" t="n"/>
      <c r="M139" s="1" t="n"/>
      <c r="N139" s="1" t="n"/>
      <c r="O139" s="1" t="n"/>
      <c r="P139" s="1" t="n"/>
      <c r="Q139" s="1" t="n"/>
      <c r="R139" s="1" t="n"/>
      <c r="S139" s="1" t="n"/>
      <c r="T139" s="1" t="n"/>
      <c r="U139" s="1" t="n"/>
      <c r="V139" s="1" t="n"/>
      <c r="W139" s="1" t="n"/>
      <c r="X139" s="1" t="n"/>
      <c r="Y139" s="1" t="n"/>
      <c r="Z139" s="1" t="n"/>
    </row>
    <row r="140" ht="15.75" customHeight="1" s="311">
      <c r="A140" s="145" t="n"/>
      <c r="B140" s="38" t="inlineStr">
        <is>
          <t>TOTAL CRÉDITO COMERCIAL</t>
        </is>
      </c>
      <c r="C140" s="109">
        <f>SUM(C$132:C$139)</f>
        <v/>
      </c>
      <c r="D140" s="68">
        <f>SUM(D$132:D$139)</f>
        <v/>
      </c>
      <c r="E140" s="68">
        <f>SUM(E$132:E$139)</f>
        <v/>
      </c>
      <c r="F140" s="68">
        <f>SUM(F$132:F$139)</f>
        <v/>
      </c>
      <c r="G140" s="145">
        <f>IFERROR($F$140/$E$140,"")</f>
        <v/>
      </c>
      <c r="H140" s="145" t="n"/>
      <c r="I140" s="145">
        <f>IF(ROUND($D$140-($E$31-N($C$143)-N($D$143)),2)=0,"✅ Coincide con la fila 31 del pasivo","🔴 Faltan proveedores por listar: "&amp;TEXT($E$31-N($C$143)-N($D$143)-$D$140,"#,##0.00")&amp;" € sin desglosar")</f>
        <v/>
      </c>
      <c r="J140" s="145" t="n"/>
      <c r="K140" s="1" t="n"/>
      <c r="L140" s="1" t="n"/>
      <c r="M140" s="1" t="n"/>
      <c r="N140" s="1" t="n"/>
      <c r="O140" s="1" t="n"/>
      <c r="P140" s="1" t="n"/>
      <c r="Q140" s="1" t="n"/>
      <c r="R140" s="1" t="n"/>
      <c r="S140" s="1" t="n"/>
      <c r="T140" s="1" t="n"/>
      <c r="U140" s="1" t="n"/>
      <c r="V140" s="1" t="n"/>
      <c r="W140" s="1" t="n"/>
      <c r="X140" s="1" t="n"/>
      <c r="Y140" s="1" t="n"/>
      <c r="Z140" s="1" t="n"/>
    </row>
    <row r="141" ht="15.75" customHeight="1" s="311">
      <c r="A141" s="145" t="n"/>
      <c r="B141" s="145" t="n"/>
      <c r="C141" s="145" t="n"/>
      <c r="D141" s="145" t="n"/>
      <c r="E141" s="145" t="n"/>
      <c r="F141" s="145" t="n"/>
      <c r="G141" s="145" t="n"/>
      <c r="H141" s="145" t="n"/>
      <c r="I141" s="145" t="n"/>
      <c r="J141" s="145" t="n"/>
      <c r="K141" s="1" t="n"/>
      <c r="L141" s="1" t="n"/>
      <c r="M141" s="1" t="n"/>
      <c r="N141" s="1" t="n"/>
      <c r="O141" s="1" t="n"/>
      <c r="P141" s="1" t="n"/>
      <c r="Q141" s="1" t="n"/>
      <c r="R141" s="1" t="n"/>
      <c r="S141" s="1" t="n"/>
      <c r="T141" s="1" t="n"/>
      <c r="U141" s="1" t="n"/>
      <c r="V141" s="1" t="n"/>
      <c r="W141" s="1" t="n"/>
      <c r="X141" s="1" t="n"/>
      <c r="Y141" s="1" t="n"/>
      <c r="Z141" s="1" t="n"/>
    </row>
    <row r="142" ht="15.75" customHeight="1" s="311">
      <c r="A142" s="145" t="n"/>
      <c r="B142" s="33" t="inlineStr">
        <is>
          <t>Complemento manual del pasivo corriente</t>
        </is>
      </c>
      <c r="C142" s="145" t="n"/>
      <c r="D142" s="145" t="n"/>
      <c r="E142" s="145" t="n"/>
      <c r="F142" s="145" t="n"/>
      <c r="G142" s="145" t="n"/>
      <c r="H142" s="145" t="n"/>
      <c r="I142" s="145" t="n"/>
      <c r="J142" s="145" t="n"/>
      <c r="K142" s="1" t="n"/>
      <c r="L142" s="1" t="n"/>
      <c r="M142" s="1" t="n"/>
      <c r="N142" s="1" t="n"/>
      <c r="O142" s="1" t="n"/>
      <c r="P142" s="1" t="n"/>
      <c r="Q142" s="1" t="n"/>
      <c r="R142" s="1" t="n"/>
      <c r="S142" s="1" t="n"/>
      <c r="T142" s="1" t="n"/>
      <c r="U142" s="1" t="n"/>
      <c r="V142" s="1" t="n"/>
      <c r="W142" s="1" t="n"/>
      <c r="X142" s="1" t="n"/>
      <c r="Y142" s="1" t="n"/>
      <c r="Z142" s="1" t="n"/>
    </row>
    <row r="143" ht="15.75" customHeight="1" s="311">
      <c r="A143" s="145" t="n"/>
      <c r="B143" s="46" t="inlineStr">
        <is>
          <t>Otras deudas a corto plazo NO registradas en Facturas (escríbelas a mano)</t>
        </is>
      </c>
      <c r="C143" s="61" t="n">
        <v>0</v>
      </c>
      <c r="D143" s="61" t="n">
        <v>0</v>
      </c>
      <c r="E143" s="145" t="n"/>
      <c r="F143" s="145" t="n"/>
      <c r="G143" s="145" t="inlineStr">
        <is>
          <t>Multas, deudas con amigos que no quieres registrar como factura, descubiertos… Lo que escribas aquí se suma a la fila 31 del pasivo corriente. Columna C = tuyo, columna D = hogar.</t>
        </is>
      </c>
      <c r="H143" s="145" t="n"/>
      <c r="I143" s="145" t="n"/>
      <c r="J143" s="145" t="n"/>
      <c r="K143" s="1" t="n"/>
      <c r="L143" s="1" t="n"/>
      <c r="M143" s="1" t="n"/>
      <c r="N143" s="1" t="n"/>
      <c r="O143" s="1" t="n"/>
      <c r="P143" s="1" t="n"/>
      <c r="Q143" s="1" t="n"/>
      <c r="R143" s="1" t="n"/>
      <c r="S143" s="1" t="n"/>
      <c r="T143" s="1" t="n"/>
      <c r="U143" s="1" t="n"/>
      <c r="V143" s="1" t="n"/>
      <c r="W143" s="1" t="n"/>
      <c r="X143" s="1" t="n"/>
      <c r="Y143" s="1" t="n"/>
      <c r="Z143" s="1" t="n"/>
    </row>
    <row r="144" ht="15.75" customHeight="1" s="311">
      <c r="A144" s="145" t="n"/>
      <c r="B144" s="145" t="n"/>
      <c r="C144" s="145" t="n"/>
      <c r="D144" s="145" t="n"/>
      <c r="E144" s="145" t="n"/>
      <c r="F144" s="145" t="n"/>
      <c r="G144" s="145" t="n"/>
      <c r="H144" s="145" t="n"/>
      <c r="I144" s="145" t="n"/>
      <c r="J144" s="145" t="n"/>
      <c r="K144" s="1" t="n"/>
      <c r="L144" s="1" t="n"/>
      <c r="M144" s="1" t="n"/>
      <c r="N144" s="1" t="n"/>
      <c r="O144" s="1" t="n"/>
      <c r="P144" s="1" t="n"/>
      <c r="Q144" s="1" t="n"/>
      <c r="R144" s="1" t="n"/>
      <c r="S144" s="1" t="n"/>
      <c r="T144" s="1" t="n"/>
      <c r="U144" s="1" t="n"/>
      <c r="V144" s="1" t="n"/>
      <c r="W144" s="1" t="n"/>
      <c r="X144" s="1" t="n"/>
      <c r="Y144" s="1" t="n"/>
      <c r="Z144" s="1" t="n"/>
    </row>
    <row r="145" ht="15.75" customHeight="1" s="311">
      <c r="A145" s="145" t="n"/>
      <c r="B145" s="145" t="n"/>
      <c r="C145" s="145" t="n"/>
      <c r="D145" s="145" t="n"/>
      <c r="E145" s="145" t="n"/>
      <c r="F145" s="145" t="n"/>
      <c r="G145" s="145" t="n"/>
      <c r="H145" s="145" t="n"/>
      <c r="I145" s="145" t="n"/>
      <c r="J145" s="145" t="n"/>
      <c r="K145" s="1" t="n"/>
      <c r="L145" s="1" t="n"/>
      <c r="M145" s="1" t="n"/>
      <c r="N145" s="1" t="n"/>
      <c r="O145" s="1" t="n"/>
      <c r="P145" s="1" t="n"/>
      <c r="Q145" s="1" t="n"/>
      <c r="R145" s="1" t="n"/>
      <c r="S145" s="1" t="n"/>
      <c r="T145" s="1" t="n"/>
      <c r="U145" s="1" t="n"/>
      <c r="V145" s="1" t="n"/>
      <c r="W145" s="1" t="n"/>
      <c r="X145" s="1" t="n"/>
      <c r="Y145" s="1" t="n"/>
      <c r="Z145" s="1" t="n"/>
    </row>
    <row r="146" ht="15.75" customHeight="1" s="311">
      <c r="A146" s="145" t="n"/>
      <c r="B146" s="145" t="n"/>
      <c r="C146" s="145" t="n"/>
      <c r="D146" s="145" t="n"/>
      <c r="E146" s="145" t="n"/>
      <c r="F146" s="145" t="n"/>
      <c r="G146" s="145" t="n"/>
      <c r="H146" s="145" t="n"/>
      <c r="I146" s="145" t="n"/>
      <c r="J146" s="145" t="n"/>
      <c r="K146" s="1" t="n"/>
      <c r="L146" s="1" t="n"/>
      <c r="M146" s="1" t="n"/>
      <c r="N146" s="1" t="n"/>
      <c r="O146" s="1" t="n"/>
      <c r="P146" s="1" t="n"/>
      <c r="Q146" s="1" t="n"/>
      <c r="R146" s="1" t="n"/>
      <c r="S146" s="1" t="n"/>
      <c r="T146" s="1" t="n"/>
      <c r="U146" s="1" t="n"/>
      <c r="V146" s="1" t="n"/>
      <c r="W146" s="1" t="n"/>
      <c r="X146" s="1" t="n"/>
      <c r="Y146" s="1" t="n"/>
      <c r="Z146" s="1" t="n"/>
    </row>
    <row r="147" ht="15.75" customHeight="1" s="311">
      <c r="A147" s="145" t="n"/>
      <c r="B147" s="145" t="n"/>
      <c r="C147" s="145" t="n"/>
      <c r="D147" s="145" t="n"/>
      <c r="E147" s="145" t="n"/>
      <c r="F147" s="145" t="n"/>
      <c r="G147" s="145" t="n"/>
      <c r="H147" s="145" t="n"/>
      <c r="I147" s="145" t="n"/>
      <c r="J147" s="145" t="n"/>
      <c r="K147" s="1" t="n"/>
      <c r="L147" s="1" t="n"/>
      <c r="M147" s="1" t="n"/>
      <c r="N147" s="1" t="n"/>
      <c r="O147" s="1" t="n"/>
      <c r="P147" s="1" t="n"/>
      <c r="Q147" s="1" t="n"/>
      <c r="R147" s="1" t="n"/>
      <c r="S147" s="1" t="n"/>
      <c r="T147" s="1" t="n"/>
      <c r="U147" s="1" t="n"/>
      <c r="V147" s="1" t="n"/>
      <c r="W147" s="1" t="n"/>
      <c r="X147" s="1" t="n"/>
      <c r="Y147" s="1" t="n"/>
      <c r="Z147" s="1" t="n"/>
    </row>
    <row r="148" ht="15.75" customHeight="1" s="311">
      <c r="A148" s="145" t="n"/>
      <c r="B148" s="145" t="n"/>
      <c r="C148" s="145" t="n"/>
      <c r="D148" s="145" t="n"/>
      <c r="E148" s="145" t="n"/>
      <c r="F148" s="145" t="n"/>
      <c r="G148" s="145" t="n"/>
      <c r="H148" s="145" t="n"/>
      <c r="I148" s="145" t="n"/>
      <c r="J148" s="145" t="n"/>
      <c r="K148" s="1" t="n"/>
      <c r="L148" s="1" t="n"/>
      <c r="M148" s="1" t="n"/>
      <c r="N148" s="1" t="n"/>
      <c r="O148" s="1" t="n"/>
      <c r="P148" s="1" t="n"/>
      <c r="Q148" s="1" t="n"/>
      <c r="R148" s="1" t="n"/>
      <c r="S148" s="1" t="n"/>
      <c r="T148" s="1" t="n"/>
      <c r="U148" s="1" t="n"/>
      <c r="V148" s="1" t="n"/>
      <c r="W148" s="1" t="n"/>
      <c r="X148" s="1" t="n"/>
      <c r="Y148" s="1" t="n"/>
      <c r="Z148" s="1" t="n"/>
    </row>
    <row r="149" ht="15.75" customHeight="1" s="311">
      <c r="A149" s="145" t="n"/>
      <c r="B149" s="145" t="n"/>
      <c r="C149" s="145" t="n"/>
      <c r="D149" s="145" t="n"/>
      <c r="E149" s="145" t="n"/>
      <c r="F149" s="145" t="n"/>
      <c r="G149" s="145" t="n"/>
      <c r="H149" s="145" t="n"/>
      <c r="I149" s="145" t="n"/>
      <c r="J149" s="145" t="n"/>
      <c r="K149" s="1" t="n"/>
      <c r="L149" s="1" t="n"/>
      <c r="M149" s="1" t="n"/>
      <c r="N149" s="1" t="n"/>
      <c r="O149" s="1" t="n"/>
      <c r="P149" s="1" t="n"/>
      <c r="Q149" s="1" t="n"/>
      <c r="R149" s="1" t="n"/>
      <c r="S149" s="1" t="n"/>
      <c r="T149" s="1" t="n"/>
      <c r="U149" s="1" t="n"/>
      <c r="V149" s="1" t="n"/>
      <c r="W149" s="1" t="n"/>
      <c r="X149" s="1" t="n"/>
      <c r="Y149" s="1" t="n"/>
      <c r="Z149" s="1" t="n"/>
    </row>
    <row r="150" ht="15.75" customHeight="1" s="311">
      <c r="A150" s="145" t="n"/>
      <c r="B150" s="145" t="n"/>
      <c r="C150" s="145" t="n"/>
      <c r="D150" s="145" t="n"/>
      <c r="E150" s="145" t="n"/>
      <c r="F150" s="145" t="n"/>
      <c r="G150" s="145" t="n"/>
      <c r="H150" s="145" t="n"/>
      <c r="I150" s="145" t="n"/>
      <c r="J150" s="145" t="n"/>
      <c r="K150" s="1" t="n"/>
      <c r="L150" s="1" t="n"/>
      <c r="M150" s="1" t="n"/>
      <c r="N150" s="1" t="n"/>
      <c r="O150" s="1" t="n"/>
      <c r="P150" s="1" t="n"/>
      <c r="Q150" s="1" t="n"/>
      <c r="R150" s="1" t="n"/>
      <c r="S150" s="1" t="n"/>
      <c r="T150" s="1" t="n"/>
      <c r="U150" s="1" t="n"/>
      <c r="V150" s="1" t="n"/>
      <c r="W150" s="1" t="n"/>
      <c r="X150" s="1" t="n"/>
      <c r="Y150" s="1" t="n"/>
      <c r="Z150" s="1" t="n"/>
    </row>
    <row r="151" ht="15.75" customHeight="1" s="311">
      <c r="A151" s="145" t="n"/>
      <c r="B151" s="149" t="inlineStr">
        <is>
          <t>D)  CONCILIACIÓN DEL PATRIMONIO NETO  —  ¿el patrimonio cambió por lo que debería?</t>
        </is>
      </c>
      <c r="C151" s="145" t="n"/>
      <c r="D151" s="145" t="n"/>
      <c r="E151" s="145" t="n"/>
      <c r="F151" s="145" t="n"/>
      <c r="G151" s="145" t="n"/>
      <c r="H151" s="145" t="n"/>
      <c r="I151" s="145" t="n"/>
      <c r="J151" s="145" t="n"/>
      <c r="K151" s="1" t="n"/>
      <c r="L151" s="1" t="n"/>
      <c r="M151" s="1" t="n"/>
      <c r="N151" s="1" t="n"/>
      <c r="O151" s="1" t="n"/>
      <c r="P151" s="1" t="n"/>
      <c r="Q151" s="1" t="n"/>
      <c r="R151" s="1" t="n"/>
      <c r="S151" s="1" t="n"/>
      <c r="T151" s="1" t="n"/>
      <c r="U151" s="1" t="n"/>
      <c r="V151" s="1" t="n"/>
      <c r="W151" s="1" t="n"/>
      <c r="X151" s="1" t="n"/>
      <c r="Y151" s="1" t="n"/>
      <c r="Z151" s="1" t="n"/>
    </row>
    <row r="152" ht="42" customHeight="1" s="311">
      <c r="A152" s="145" t="n"/>
      <c r="B152" s="20" t="inlineStr">
        <is>
          <t>El patrimonio de la fila 41 es una resta (activo − pasivo), así que SIEMPRE cuadra. Esta es la comprobación de verdad: el patrimonio solo debería subir por lo que ahorras y por lo que se revalorizan tus bienes. Si la diferencia no es cero, hay algo mal valorado o algún movimiento sin registrar.</t>
        </is>
      </c>
      <c r="J152" s="145" t="n"/>
      <c r="K152" s="1" t="n"/>
      <c r="L152" s="1" t="n"/>
      <c r="M152" s="1" t="n"/>
      <c r="N152" s="1" t="n"/>
      <c r="O152" s="1" t="n"/>
      <c r="P152" s="1" t="n"/>
      <c r="Q152" s="1" t="n"/>
      <c r="R152" s="1" t="n"/>
      <c r="S152" s="1" t="n"/>
      <c r="T152" s="1" t="n"/>
      <c r="U152" s="1" t="n"/>
      <c r="V152" s="1" t="n"/>
      <c r="W152" s="1" t="n"/>
      <c r="X152" s="1" t="n"/>
      <c r="Y152" s="1" t="n"/>
      <c r="Z152" s="1" t="n"/>
    </row>
    <row r="153" ht="15.75" customHeight="1" s="311">
      <c r="A153" s="145" t="n"/>
      <c r="B153" s="23" t="inlineStr">
        <is>
          <t>Patrimonio neto al INICIO del periodo (€)</t>
        </is>
      </c>
      <c r="C153" s="113" t="n"/>
      <c r="D153" s="145" t="n"/>
      <c r="E153" s="145" t="n"/>
      <c r="F153" s="145" t="n"/>
      <c r="G153" s="145" t="n"/>
      <c r="H153" s="145" t="n"/>
      <c r="I153" s="20" t="inlineStr">
        <is>
          <t>Escríbelo a mano la primera vez. Después, copia aquí el patrimonio neto del cierre anterior.</t>
        </is>
      </c>
      <c r="J153" s="145" t="n"/>
      <c r="K153" s="1" t="n"/>
      <c r="L153" s="1" t="n"/>
      <c r="M153" s="1" t="n"/>
      <c r="N153" s="1" t="n"/>
      <c r="O153" s="1" t="n"/>
      <c r="P153" s="1" t="n"/>
      <c r="Q153" s="1" t="n"/>
      <c r="R153" s="1" t="n"/>
      <c r="S153" s="1" t="n"/>
      <c r="T153" s="1" t="n"/>
      <c r="U153" s="1" t="n"/>
      <c r="V153" s="1" t="n"/>
      <c r="W153" s="1" t="n"/>
      <c r="X153" s="1" t="n"/>
      <c r="Y153" s="1" t="n"/>
      <c r="Z153" s="1" t="n"/>
    </row>
    <row r="154" ht="15.75" customHeight="1" s="311">
      <c r="A154" s="145" t="n"/>
      <c r="B154" s="23" t="inlineStr">
        <is>
          <t>(+) Resultado del periodo (ahorro o déficit)</t>
        </is>
      </c>
      <c r="C154" s="113">
        <f>Resultados!$F$43</f>
        <v/>
      </c>
      <c r="D154" s="145" t="n"/>
      <c r="E154" s="145" t="n"/>
      <c r="F154" s="145" t="n"/>
      <c r="G154" s="145" t="n"/>
      <c r="H154" s="145" t="n"/>
      <c r="I154" s="20" t="inlineStr">
        <is>
          <t>Viene del Estado de Resultados: ingresos menos gastos del mes.</t>
        </is>
      </c>
      <c r="J154" s="145" t="n"/>
      <c r="K154" s="1" t="n"/>
      <c r="L154" s="1" t="n"/>
      <c r="M154" s="1" t="n"/>
      <c r="N154" s="1" t="n"/>
      <c r="O154" s="1" t="n"/>
      <c r="P154" s="1" t="n"/>
      <c r="Q154" s="1" t="n"/>
      <c r="R154" s="1" t="n"/>
      <c r="S154" s="1" t="n"/>
      <c r="T154" s="1" t="n"/>
      <c r="U154" s="1" t="n"/>
      <c r="V154" s="1" t="n"/>
      <c r="W154" s="1" t="n"/>
      <c r="X154" s="1" t="n"/>
      <c r="Y154" s="1" t="n"/>
      <c r="Z154" s="1" t="n"/>
    </row>
    <row r="155" ht="15.75" customHeight="1" s="311">
      <c r="A155" s="145" t="n"/>
      <c r="B155" s="23" t="inlineStr">
        <is>
          <t>(+) Revalorizaciones y ajustes de valor (€)</t>
        </is>
      </c>
      <c r="C155" s="113" t="n">
        <v>0</v>
      </c>
      <c r="D155" s="145" t="n"/>
      <c r="E155" s="145" t="n"/>
      <c r="F155" s="145" t="n"/>
      <c r="G155" s="145" t="n"/>
      <c r="H155" s="145" t="n"/>
      <c r="I155" s="20" t="inlineStr">
        <is>
          <t>Subidas o bajadas del valor de la vivienda, del oro o de la cartera que no pasan por la cuenta de resultados.</t>
        </is>
      </c>
      <c r="J155" s="145" t="n"/>
      <c r="K155" s="1" t="n"/>
      <c r="L155" s="1" t="n"/>
      <c r="M155" s="1" t="n"/>
      <c r="N155" s="1" t="n"/>
      <c r="O155" s="1" t="n"/>
      <c r="P155" s="1" t="n"/>
      <c r="Q155" s="1" t="n"/>
      <c r="R155" s="1" t="n"/>
      <c r="S155" s="1" t="n"/>
      <c r="T155" s="1" t="n"/>
      <c r="U155" s="1" t="n"/>
      <c r="V155" s="1" t="n"/>
      <c r="W155" s="1" t="n"/>
      <c r="X155" s="1" t="n"/>
      <c r="Y155" s="1" t="n"/>
      <c r="Z155" s="1" t="n"/>
    </row>
    <row r="156" ht="15.75" customHeight="1" s="311">
      <c r="A156" s="145" t="n"/>
      <c r="B156" s="23" t="inlineStr">
        <is>
          <t>PATRIMONIO NETO ESPERADO</t>
        </is>
      </c>
      <c r="C156" s="113">
        <f>N($C$153)+N($C$154)+N($C$155)</f>
        <v/>
      </c>
      <c r="D156" s="145" t="n"/>
      <c r="E156" s="145" t="n"/>
      <c r="F156" s="145" t="n"/>
      <c r="G156" s="145" t="n"/>
      <c r="H156" s="145" t="n"/>
      <c r="I156" s="20" t="inlineStr">
        <is>
          <t>Lo que debería valer tu patrimonio si todo está bien registrado.</t>
        </is>
      </c>
      <c r="J156" s="145" t="n"/>
      <c r="K156" s="1" t="n"/>
      <c r="L156" s="1" t="n"/>
      <c r="M156" s="1" t="n"/>
      <c r="N156" s="1" t="n"/>
      <c r="O156" s="1" t="n"/>
      <c r="P156" s="1" t="n"/>
      <c r="Q156" s="1" t="n"/>
      <c r="R156" s="1" t="n"/>
      <c r="S156" s="1" t="n"/>
      <c r="T156" s="1" t="n"/>
      <c r="U156" s="1" t="n"/>
      <c r="V156" s="1" t="n"/>
      <c r="W156" s="1" t="n"/>
      <c r="X156" s="1" t="n"/>
      <c r="Y156" s="1" t="n"/>
      <c r="Z156" s="1" t="n"/>
    </row>
    <row r="157" ht="15.75" customHeight="1" s="311">
      <c r="A157" s="145" t="n"/>
      <c r="B157" s="23" t="inlineStr">
        <is>
          <t>Patrimonio neto REAL del balance</t>
        </is>
      </c>
      <c r="C157" s="113">
        <f>$E$41</f>
        <v/>
      </c>
      <c r="D157" s="145" t="n"/>
      <c r="E157" s="145" t="n"/>
      <c r="F157" s="145" t="n"/>
      <c r="G157" s="145" t="n"/>
      <c r="H157" s="145" t="n"/>
      <c r="I157" s="20" t="inlineStr">
        <is>
          <t>El de la fila 41.</t>
        </is>
      </c>
      <c r="J157" s="145" t="n"/>
      <c r="K157" s="1" t="n"/>
      <c r="L157" s="1" t="n"/>
      <c r="M157" s="1" t="n"/>
      <c r="N157" s="1" t="n"/>
      <c r="O157" s="1" t="n"/>
      <c r="P157" s="1" t="n"/>
      <c r="Q157" s="1" t="n"/>
      <c r="R157" s="1" t="n"/>
      <c r="S157" s="1" t="n"/>
      <c r="T157" s="1" t="n"/>
      <c r="U157" s="1" t="n"/>
      <c r="V157" s="1" t="n"/>
      <c r="W157" s="1" t="n"/>
      <c r="X157" s="1" t="n"/>
      <c r="Y157" s="1" t="n"/>
      <c r="Z157" s="1" t="n"/>
    </row>
    <row r="158" ht="15.75" customHeight="1" s="311">
      <c r="A158" s="145" t="n"/>
      <c r="B158" s="23" t="inlineStr">
        <is>
          <t>DIFERENCIA SIN EXPLICAR</t>
        </is>
      </c>
      <c r="C158" s="113">
        <f>ROUND($C$157-$C$156,2)</f>
        <v/>
      </c>
      <c r="D158" s="150">
        <f>IF($C$153=0,"🕐 Carga el patrimonio inicial para activar la comprobación",IF(ROUND($C$158,2)=0,"✅ El patrimonio varía exactamente por lo que ahorras","🔴 Hay "&amp;TEXT(ABS($C$158),"#,##0.00")&amp;" € de variación sin explicar"))</f>
        <v/>
      </c>
      <c r="J158" s="145" t="n"/>
      <c r="K158" s="1" t="n"/>
      <c r="L158" s="1" t="n"/>
      <c r="M158" s="1" t="n"/>
      <c r="N158" s="1" t="n"/>
      <c r="O158" s="1" t="n"/>
      <c r="P158" s="1" t="n"/>
      <c r="Q158" s="1" t="n"/>
      <c r="R158" s="1" t="n"/>
      <c r="S158" s="1" t="n"/>
      <c r="T158" s="1" t="n"/>
      <c r="U158" s="1" t="n"/>
      <c r="V158" s="1" t="n"/>
      <c r="W158" s="1" t="n"/>
      <c r="X158" s="1" t="n"/>
      <c r="Y158" s="1" t="n"/>
      <c r="Z158" s="1" t="n"/>
    </row>
    <row r="159" ht="15.75" customHeight="1" s="311">
      <c r="A159" s="145" t="n"/>
      <c r="B159" s="145" t="n"/>
      <c r="C159" s="145" t="n"/>
      <c r="D159" s="145" t="n"/>
      <c r="E159" s="145" t="n"/>
      <c r="F159" s="145" t="n"/>
      <c r="G159" s="145" t="n"/>
      <c r="H159" s="145" t="n"/>
      <c r="I159" s="145" t="n"/>
      <c r="J159" s="145" t="n"/>
      <c r="K159" s="1" t="n"/>
      <c r="L159" s="1" t="n"/>
      <c r="M159" s="1" t="n"/>
      <c r="N159" s="1" t="n"/>
      <c r="O159" s="1" t="n"/>
      <c r="P159" s="1" t="n"/>
      <c r="Q159" s="1" t="n"/>
      <c r="R159" s="1" t="n"/>
      <c r="S159" s="1" t="n"/>
      <c r="T159" s="1" t="n"/>
      <c r="U159" s="1" t="n"/>
      <c r="V159" s="1" t="n"/>
      <c r="W159" s="1" t="n"/>
      <c r="X159" s="1" t="n"/>
      <c r="Y159" s="1" t="n"/>
      <c r="Z159" s="1" t="n"/>
    </row>
    <row r="160" ht="15.75" customHeight="1" s="311">
      <c r="A160" s="145" t="n"/>
      <c r="B160" s="145" t="n"/>
      <c r="C160" s="145" t="n"/>
      <c r="D160" s="145" t="n"/>
      <c r="E160" s="145" t="n"/>
      <c r="F160" s="145" t="n"/>
      <c r="G160" s="145" t="n"/>
      <c r="H160" s="145" t="n"/>
      <c r="I160" s="145" t="n"/>
      <c r="J160" s="145" t="n"/>
      <c r="K160" s="1" t="n"/>
      <c r="L160" s="1" t="n"/>
      <c r="M160" s="1" t="n"/>
      <c r="N160" s="1" t="n"/>
      <c r="O160" s="1" t="n"/>
      <c r="P160" s="1" t="n"/>
      <c r="Q160" s="1" t="n"/>
      <c r="R160" s="1" t="n"/>
      <c r="S160" s="1" t="n"/>
      <c r="T160" s="1" t="n"/>
      <c r="U160" s="1" t="n"/>
      <c r="V160" s="1" t="n"/>
      <c r="W160" s="1" t="n"/>
      <c r="X160" s="1" t="n"/>
      <c r="Y160" s="1" t="n"/>
      <c r="Z160" s="1" t="n"/>
    </row>
    <row r="161" ht="15.75" customHeight="1" s="311">
      <c r="A161" s="145" t="n"/>
      <c r="B161" s="145" t="n"/>
      <c r="C161" s="145" t="n"/>
      <c r="D161" s="145" t="n"/>
      <c r="E161" s="145" t="n"/>
      <c r="F161" s="145" t="n"/>
      <c r="G161" s="145" t="n"/>
      <c r="H161" s="145" t="n"/>
      <c r="I161" s="145" t="n"/>
      <c r="J161" s="145" t="n"/>
      <c r="K161" s="1" t="n"/>
      <c r="L161" s="1" t="n"/>
      <c r="M161" s="1" t="n"/>
      <c r="N161" s="1" t="n"/>
      <c r="O161" s="1" t="n"/>
      <c r="P161" s="1" t="n"/>
      <c r="Q161" s="1" t="n"/>
      <c r="R161" s="1" t="n"/>
      <c r="S161" s="1" t="n"/>
      <c r="T161" s="1" t="n"/>
      <c r="U161" s="1" t="n"/>
      <c r="V161" s="1" t="n"/>
      <c r="W161" s="1" t="n"/>
      <c r="X161" s="1" t="n"/>
      <c r="Y161" s="1" t="n"/>
      <c r="Z161" s="1" t="n"/>
    </row>
    <row r="162" ht="15.75" customHeight="1" s="311">
      <c r="A162" s="145" t="n"/>
      <c r="B162" s="145" t="n"/>
      <c r="C162" s="145" t="n"/>
      <c r="D162" s="145" t="n"/>
      <c r="E162" s="145" t="n"/>
      <c r="F162" s="145" t="n"/>
      <c r="G162" s="145" t="n"/>
      <c r="H162" s="145" t="n"/>
      <c r="I162" s="145" t="n"/>
      <c r="J162" s="145" t="n"/>
      <c r="K162" s="1" t="n"/>
      <c r="L162" s="1" t="n"/>
      <c r="M162" s="1" t="n"/>
      <c r="N162" s="1" t="n"/>
      <c r="O162" s="1" t="n"/>
      <c r="P162" s="1" t="n"/>
      <c r="Q162" s="1" t="n"/>
      <c r="R162" s="1" t="n"/>
      <c r="S162" s="1" t="n"/>
      <c r="T162" s="1" t="n"/>
      <c r="U162" s="1" t="n"/>
      <c r="V162" s="1" t="n"/>
      <c r="W162" s="1" t="n"/>
      <c r="X162" s="1" t="n"/>
      <c r="Y162" s="1" t="n"/>
      <c r="Z162" s="1" t="n"/>
    </row>
    <row r="163" ht="15.75" customHeight="1" s="311">
      <c r="A163" s="145" t="n"/>
      <c r="B163" s="145" t="n"/>
      <c r="C163" s="145" t="n"/>
      <c r="D163" s="145" t="n"/>
      <c r="E163" s="145" t="n"/>
      <c r="F163" s="145" t="n"/>
      <c r="G163" s="145" t="n"/>
      <c r="H163" s="145" t="n"/>
      <c r="I163" s="145" t="n"/>
      <c r="J163" s="145" t="n"/>
      <c r="K163" s="1" t="n"/>
      <c r="L163" s="1" t="n"/>
      <c r="M163" s="1" t="n"/>
      <c r="N163" s="1" t="n"/>
      <c r="O163" s="1" t="n"/>
      <c r="P163" s="1" t="n"/>
      <c r="Q163" s="1" t="n"/>
      <c r="R163" s="1" t="n"/>
      <c r="S163" s="1" t="n"/>
      <c r="T163" s="1" t="n"/>
      <c r="U163" s="1" t="n"/>
      <c r="V163" s="1" t="n"/>
      <c r="W163" s="1" t="n"/>
      <c r="X163" s="1" t="n"/>
      <c r="Y163" s="1" t="n"/>
      <c r="Z163" s="1" t="n"/>
    </row>
    <row r="164" ht="15.75" customHeight="1" s="311">
      <c r="A164" s="145" t="n"/>
      <c r="B164" s="145" t="n"/>
      <c r="C164" s="145" t="n"/>
      <c r="D164" s="145" t="n"/>
      <c r="E164" s="145" t="n"/>
      <c r="F164" s="145" t="n"/>
      <c r="G164" s="145" t="n"/>
      <c r="H164" s="145" t="n"/>
      <c r="I164" s="145" t="n"/>
      <c r="J164" s="145" t="n"/>
      <c r="K164" s="1" t="n"/>
      <c r="L164" s="1" t="n"/>
      <c r="M164" s="1" t="n"/>
      <c r="N164" s="1" t="n"/>
      <c r="O164" s="1" t="n"/>
      <c r="P164" s="1" t="n"/>
      <c r="Q164" s="1" t="n"/>
      <c r="R164" s="1" t="n"/>
      <c r="S164" s="1" t="n"/>
      <c r="T164" s="1" t="n"/>
      <c r="U164" s="1" t="n"/>
      <c r="V164" s="1" t="n"/>
      <c r="W164" s="1" t="n"/>
      <c r="X164" s="1" t="n"/>
      <c r="Y164" s="1" t="n"/>
      <c r="Z164" s="1" t="n"/>
    </row>
    <row r="165" ht="15.75" customHeight="1" s="311">
      <c r="A165" s="145" t="n"/>
      <c r="B165" s="145" t="n"/>
      <c r="C165" s="145" t="n"/>
      <c r="D165" s="145" t="n"/>
      <c r="E165" s="145" t="n"/>
      <c r="F165" s="145" t="n"/>
      <c r="G165" s="145" t="n"/>
      <c r="H165" s="145" t="n"/>
      <c r="I165" s="145" t="n"/>
      <c r="J165" s="145" t="n"/>
      <c r="K165" s="1" t="n"/>
      <c r="L165" s="1" t="n"/>
      <c r="M165" s="1" t="n"/>
      <c r="N165" s="1" t="n"/>
      <c r="O165" s="1" t="n"/>
      <c r="P165" s="1" t="n"/>
      <c r="Q165" s="1" t="n"/>
      <c r="R165" s="1" t="n"/>
      <c r="S165" s="1" t="n"/>
      <c r="T165" s="1" t="n"/>
      <c r="U165" s="1" t="n"/>
      <c r="V165" s="1" t="n"/>
      <c r="W165" s="1" t="n"/>
      <c r="X165" s="1" t="n"/>
      <c r="Y165" s="1" t="n"/>
      <c r="Z165" s="1" t="n"/>
    </row>
    <row r="166" ht="15.75" customHeight="1" s="311">
      <c r="A166" s="145" t="n"/>
      <c r="B166" s="145" t="n"/>
      <c r="C166" s="145" t="n"/>
      <c r="D166" s="145" t="n"/>
      <c r="E166" s="145" t="n"/>
      <c r="F166" s="145" t="n"/>
      <c r="G166" s="145" t="n"/>
      <c r="H166" s="145" t="n"/>
      <c r="I166" s="145" t="n"/>
      <c r="J166" s="145" t="n"/>
      <c r="K166" s="1" t="n"/>
      <c r="L166" s="1" t="n"/>
      <c r="M166" s="1" t="n"/>
      <c r="N166" s="1" t="n"/>
      <c r="O166" s="1" t="n"/>
      <c r="P166" s="1" t="n"/>
      <c r="Q166" s="1" t="n"/>
      <c r="R166" s="1" t="n"/>
      <c r="S166" s="1" t="n"/>
      <c r="T166" s="1" t="n"/>
      <c r="U166" s="1" t="n"/>
      <c r="V166" s="1" t="n"/>
      <c r="W166" s="1" t="n"/>
      <c r="X166" s="1" t="n"/>
      <c r="Y166" s="1" t="n"/>
      <c r="Z166" s="1" t="n"/>
    </row>
    <row r="167" ht="15.75" customHeight="1" s="311">
      <c r="A167" s="145" t="n"/>
      <c r="B167" s="145" t="n"/>
      <c r="C167" s="145" t="n"/>
      <c r="D167" s="145" t="n"/>
      <c r="E167" s="145" t="n"/>
      <c r="F167" s="145" t="n"/>
      <c r="G167" s="145" t="n"/>
      <c r="H167" s="145" t="n"/>
      <c r="I167" s="145" t="n"/>
      <c r="J167" s="145" t="n"/>
      <c r="K167" s="1" t="n"/>
      <c r="L167" s="1" t="n"/>
      <c r="M167" s="1" t="n"/>
      <c r="N167" s="1" t="n"/>
      <c r="O167" s="1" t="n"/>
      <c r="P167" s="1" t="n"/>
      <c r="Q167" s="1" t="n"/>
      <c r="R167" s="1" t="n"/>
      <c r="S167" s="1" t="n"/>
      <c r="T167" s="1" t="n"/>
      <c r="U167" s="1" t="n"/>
      <c r="V167" s="1" t="n"/>
      <c r="W167" s="1" t="n"/>
      <c r="X167" s="1" t="n"/>
      <c r="Y167" s="1" t="n"/>
      <c r="Z167" s="1" t="n"/>
    </row>
    <row r="168" ht="15.75" customHeight="1" s="311">
      <c r="A168" s="145" t="n"/>
      <c r="B168" s="145" t="n"/>
      <c r="C168" s="145" t="n"/>
      <c r="D168" s="145" t="n"/>
      <c r="E168" s="145" t="n"/>
      <c r="F168" s="145" t="n"/>
      <c r="G168" s="145" t="n"/>
      <c r="H168" s="145" t="n"/>
      <c r="I168" s="145" t="n"/>
      <c r="J168" s="145" t="n"/>
      <c r="K168" s="1" t="n"/>
      <c r="L168" s="1" t="n"/>
      <c r="M168" s="1" t="n"/>
      <c r="N168" s="1" t="n"/>
      <c r="O168" s="1" t="n"/>
      <c r="P168" s="1" t="n"/>
      <c r="Q168" s="1" t="n"/>
      <c r="R168" s="1" t="n"/>
      <c r="S168" s="1" t="n"/>
      <c r="T168" s="1" t="n"/>
      <c r="U168" s="1" t="n"/>
      <c r="V168" s="1" t="n"/>
      <c r="W168" s="1" t="n"/>
      <c r="X168" s="1" t="n"/>
      <c r="Y168" s="1" t="n"/>
      <c r="Z168" s="1" t="n"/>
    </row>
    <row r="169" ht="15.75" customHeight="1" s="311">
      <c r="A169" s="145" t="n"/>
      <c r="B169" s="145" t="n"/>
      <c r="C169" s="145" t="n"/>
      <c r="D169" s="145" t="n"/>
      <c r="E169" s="145" t="n"/>
      <c r="F169" s="145" t="n"/>
      <c r="G169" s="145" t="n"/>
      <c r="H169" s="145" t="n"/>
      <c r="I169" s="145" t="n"/>
      <c r="J169" s="145" t="n"/>
      <c r="K169" s="1" t="n"/>
      <c r="L169" s="1" t="n"/>
      <c r="M169" s="1" t="n"/>
      <c r="N169" s="1" t="n"/>
      <c r="O169" s="1" t="n"/>
      <c r="P169" s="1" t="n"/>
      <c r="Q169" s="1" t="n"/>
      <c r="R169" s="1" t="n"/>
      <c r="S169" s="1" t="n"/>
      <c r="T169" s="1" t="n"/>
      <c r="U169" s="1" t="n"/>
      <c r="V169" s="1" t="n"/>
      <c r="W169" s="1" t="n"/>
      <c r="X169" s="1" t="n"/>
      <c r="Y169" s="1" t="n"/>
      <c r="Z169" s="1" t="n"/>
    </row>
    <row r="170" ht="15.75" customHeight="1" s="311">
      <c r="A170" s="145" t="n"/>
      <c r="B170" s="145" t="n"/>
      <c r="C170" s="145" t="n"/>
      <c r="D170" s="145" t="n"/>
      <c r="E170" s="145" t="n"/>
      <c r="F170" s="145" t="n"/>
      <c r="G170" s="145" t="n"/>
      <c r="H170" s="145" t="n"/>
      <c r="I170" s="145" t="n"/>
      <c r="J170" s="145" t="n"/>
      <c r="K170" s="1" t="n"/>
      <c r="L170" s="1" t="n"/>
      <c r="M170" s="1" t="n"/>
      <c r="N170" s="1" t="n"/>
      <c r="O170" s="1" t="n"/>
      <c r="P170" s="1" t="n"/>
      <c r="Q170" s="1" t="n"/>
      <c r="R170" s="1" t="n"/>
      <c r="S170" s="1" t="n"/>
      <c r="T170" s="1" t="n"/>
      <c r="U170" s="1" t="n"/>
      <c r="V170" s="1" t="n"/>
      <c r="W170" s="1" t="n"/>
      <c r="X170" s="1" t="n"/>
      <c r="Y170" s="1" t="n"/>
      <c r="Z170" s="1" t="n"/>
    </row>
    <row r="171" ht="15.75" customHeight="1" s="311">
      <c r="A171" s="145" t="n"/>
      <c r="B171" s="145" t="n"/>
      <c r="C171" s="145" t="n"/>
      <c r="D171" s="145" t="n"/>
      <c r="E171" s="145" t="n"/>
      <c r="F171" s="145" t="n"/>
      <c r="G171" s="145" t="n"/>
      <c r="H171" s="145" t="n"/>
      <c r="I171" s="145" t="n"/>
      <c r="J171" s="145" t="n"/>
      <c r="K171" s="1" t="n"/>
      <c r="L171" s="1" t="n"/>
      <c r="M171" s="1" t="n"/>
      <c r="N171" s="1" t="n"/>
      <c r="O171" s="1" t="n"/>
      <c r="P171" s="1" t="n"/>
      <c r="Q171" s="1" t="n"/>
      <c r="R171" s="1" t="n"/>
      <c r="S171" s="1" t="n"/>
      <c r="T171" s="1" t="n"/>
      <c r="U171" s="1" t="n"/>
      <c r="V171" s="1" t="n"/>
      <c r="W171" s="1" t="n"/>
      <c r="X171" s="1" t="n"/>
      <c r="Y171" s="1" t="n"/>
      <c r="Z171" s="1" t="n"/>
    </row>
    <row r="172" ht="15.75" customHeight="1" s="311">
      <c r="A172" s="145" t="n"/>
      <c r="B172" s="145" t="n"/>
      <c r="C172" s="145" t="n"/>
      <c r="D172" s="145" t="n"/>
      <c r="E172" s="145" t="n"/>
      <c r="F172" s="145" t="n"/>
      <c r="G172" s="145" t="n"/>
      <c r="H172" s="145" t="n"/>
      <c r="I172" s="145" t="n"/>
      <c r="J172" s="145" t="n"/>
      <c r="K172" s="1" t="n"/>
      <c r="L172" s="1" t="n"/>
      <c r="M172" s="1" t="n"/>
      <c r="N172" s="1" t="n"/>
      <c r="O172" s="1" t="n"/>
      <c r="P172" s="1" t="n"/>
      <c r="Q172" s="1" t="n"/>
      <c r="R172" s="1" t="n"/>
      <c r="S172" s="1" t="n"/>
      <c r="T172" s="1" t="n"/>
      <c r="U172" s="1" t="n"/>
      <c r="V172" s="1" t="n"/>
      <c r="W172" s="1" t="n"/>
      <c r="X172" s="1" t="n"/>
      <c r="Y172" s="1" t="n"/>
      <c r="Z172" s="1" t="n"/>
    </row>
    <row r="173" ht="15.75" customHeight="1" s="311">
      <c r="A173" s="145" t="n"/>
      <c r="B173" s="145" t="n"/>
      <c r="C173" s="145" t="n"/>
      <c r="D173" s="145" t="n"/>
      <c r="E173" s="145" t="n"/>
      <c r="F173" s="145" t="n"/>
      <c r="G173" s="145" t="n"/>
      <c r="H173" s="145" t="n"/>
      <c r="I173" s="145" t="n"/>
      <c r="J173" s="145" t="n"/>
      <c r="K173" s="1" t="n"/>
      <c r="L173" s="1" t="n"/>
      <c r="M173" s="1" t="n"/>
      <c r="N173" s="1" t="n"/>
      <c r="O173" s="1" t="n"/>
      <c r="P173" s="1" t="n"/>
      <c r="Q173" s="1" t="n"/>
      <c r="R173" s="1" t="n"/>
      <c r="S173" s="1" t="n"/>
      <c r="T173" s="1" t="n"/>
      <c r="U173" s="1" t="n"/>
      <c r="V173" s="1" t="n"/>
      <c r="W173" s="1" t="n"/>
      <c r="X173" s="1" t="n"/>
      <c r="Y173" s="1" t="n"/>
      <c r="Z173" s="1" t="n"/>
    </row>
    <row r="174" ht="15.75" customHeight="1" s="311">
      <c r="A174" s="145" t="n"/>
      <c r="B174" s="145" t="n"/>
      <c r="C174" s="145" t="n"/>
      <c r="D174" s="145" t="n"/>
      <c r="E174" s="145" t="n"/>
      <c r="F174" s="145" t="n"/>
      <c r="G174" s="145" t="n"/>
      <c r="H174" s="145" t="n"/>
      <c r="I174" s="145" t="n"/>
      <c r="J174" s="145" t="n"/>
      <c r="K174" s="1" t="n"/>
      <c r="L174" s="1" t="n"/>
      <c r="M174" s="1" t="n"/>
      <c r="N174" s="1" t="n"/>
      <c r="O174" s="1" t="n"/>
      <c r="P174" s="1" t="n"/>
      <c r="Q174" s="1" t="n"/>
      <c r="R174" s="1" t="n"/>
      <c r="S174" s="1" t="n"/>
      <c r="T174" s="1" t="n"/>
      <c r="U174" s="1" t="n"/>
      <c r="V174" s="1" t="n"/>
      <c r="W174" s="1" t="n"/>
      <c r="X174" s="1" t="n"/>
      <c r="Y174" s="1" t="n"/>
      <c r="Z174" s="1" t="n"/>
    </row>
    <row r="175" ht="15.75" customHeight="1" s="311">
      <c r="A175" s="145" t="n"/>
      <c r="B175" s="145" t="n"/>
      <c r="C175" s="145" t="n"/>
      <c r="D175" s="145" t="n"/>
      <c r="E175" s="145" t="n"/>
      <c r="F175" s="145" t="n"/>
      <c r="G175" s="145" t="n"/>
      <c r="H175" s="145" t="n"/>
      <c r="I175" s="145" t="n"/>
      <c r="J175" s="145" t="n"/>
      <c r="K175" s="1" t="n"/>
      <c r="L175" s="1" t="n"/>
      <c r="M175" s="1" t="n"/>
      <c r="N175" s="1" t="n"/>
      <c r="O175" s="1" t="n"/>
      <c r="P175" s="1" t="n"/>
      <c r="Q175" s="1" t="n"/>
      <c r="R175" s="1" t="n"/>
      <c r="S175" s="1" t="n"/>
      <c r="T175" s="1" t="n"/>
      <c r="U175" s="1" t="n"/>
      <c r="V175" s="1" t="n"/>
      <c r="W175" s="1" t="n"/>
      <c r="X175" s="1" t="n"/>
      <c r="Y175" s="1" t="n"/>
      <c r="Z175" s="1" t="n"/>
    </row>
    <row r="176" ht="15.75" customHeight="1" s="311">
      <c r="A176" s="145" t="n"/>
      <c r="B176" s="145" t="n"/>
      <c r="C176" s="145" t="n"/>
      <c r="D176" s="145" t="n"/>
      <c r="E176" s="145" t="n"/>
      <c r="F176" s="145" t="n"/>
      <c r="G176" s="145" t="n"/>
      <c r="H176" s="145" t="n"/>
      <c r="I176" s="145" t="n"/>
      <c r="J176" s="145" t="n"/>
      <c r="K176" s="1" t="n"/>
      <c r="L176" s="1" t="n"/>
      <c r="M176" s="1" t="n"/>
      <c r="N176" s="1" t="n"/>
      <c r="O176" s="1" t="n"/>
      <c r="P176" s="1" t="n"/>
      <c r="Q176" s="1" t="n"/>
      <c r="R176" s="1" t="n"/>
      <c r="S176" s="1" t="n"/>
      <c r="T176" s="1" t="n"/>
      <c r="U176" s="1" t="n"/>
      <c r="V176" s="1" t="n"/>
      <c r="W176" s="1" t="n"/>
      <c r="X176" s="1" t="n"/>
      <c r="Y176" s="1" t="n"/>
      <c r="Z176" s="1" t="n"/>
    </row>
    <row r="177" ht="15.75" customHeight="1" s="311">
      <c r="A177" s="145" t="n"/>
      <c r="B177" s="145" t="n"/>
      <c r="C177" s="145" t="n"/>
      <c r="D177" s="145" t="n"/>
      <c r="E177" s="145" t="n"/>
      <c r="F177" s="145" t="n"/>
      <c r="G177" s="145" t="n"/>
      <c r="H177" s="145" t="n"/>
      <c r="I177" s="145" t="n"/>
      <c r="J177" s="145" t="n"/>
      <c r="K177" s="1" t="n"/>
      <c r="L177" s="1" t="n"/>
      <c r="M177" s="1" t="n"/>
      <c r="N177" s="1" t="n"/>
      <c r="O177" s="1" t="n"/>
      <c r="P177" s="1" t="n"/>
      <c r="Q177" s="1" t="n"/>
      <c r="R177" s="1" t="n"/>
      <c r="S177" s="1" t="n"/>
      <c r="T177" s="1" t="n"/>
      <c r="U177" s="1" t="n"/>
      <c r="V177" s="1" t="n"/>
      <c r="W177" s="1" t="n"/>
      <c r="X177" s="1" t="n"/>
      <c r="Y177" s="1" t="n"/>
      <c r="Z177" s="1" t="n"/>
    </row>
    <row r="178" ht="15.75" customHeight="1" s="311">
      <c r="A178" s="145" t="n"/>
      <c r="B178" s="145" t="n"/>
      <c r="C178" s="145" t="n"/>
      <c r="D178" s="145" t="n"/>
      <c r="E178" s="145" t="n"/>
      <c r="F178" s="145" t="n"/>
      <c r="G178" s="145" t="n"/>
      <c r="H178" s="145" t="n"/>
      <c r="I178" s="145" t="n"/>
      <c r="J178" s="145" t="n"/>
      <c r="K178" s="1" t="n"/>
      <c r="L178" s="1" t="n"/>
      <c r="M178" s="1" t="n"/>
      <c r="N178" s="1" t="n"/>
      <c r="O178" s="1" t="n"/>
      <c r="P178" s="1" t="n"/>
      <c r="Q178" s="1" t="n"/>
      <c r="R178" s="1" t="n"/>
      <c r="S178" s="1" t="n"/>
      <c r="T178" s="1" t="n"/>
      <c r="U178" s="1" t="n"/>
      <c r="V178" s="1" t="n"/>
      <c r="W178" s="1" t="n"/>
      <c r="X178" s="1" t="n"/>
      <c r="Y178" s="1" t="n"/>
      <c r="Z178" s="1" t="n"/>
    </row>
    <row r="179" ht="15.75" customHeight="1" s="311">
      <c r="A179" s="145" t="n"/>
      <c r="B179" s="145" t="n"/>
      <c r="C179" s="145" t="n"/>
      <c r="D179" s="145" t="n"/>
      <c r="E179" s="145" t="n"/>
      <c r="F179" s="145" t="n"/>
      <c r="G179" s="145" t="n"/>
      <c r="H179" s="145" t="n"/>
      <c r="I179" s="145" t="n"/>
      <c r="J179" s="145" t="n"/>
      <c r="K179" s="1" t="n"/>
      <c r="L179" s="1" t="n"/>
      <c r="M179" s="1" t="n"/>
      <c r="N179" s="1" t="n"/>
      <c r="O179" s="1" t="n"/>
      <c r="P179" s="1" t="n"/>
      <c r="Q179" s="1" t="n"/>
      <c r="R179" s="1" t="n"/>
      <c r="S179" s="1" t="n"/>
      <c r="T179" s="1" t="n"/>
      <c r="U179" s="1" t="n"/>
      <c r="V179" s="1" t="n"/>
      <c r="W179" s="1" t="n"/>
      <c r="X179" s="1" t="n"/>
      <c r="Y179" s="1" t="n"/>
      <c r="Z179" s="1" t="n"/>
    </row>
    <row r="180" ht="15.75" customHeight="1" s="311">
      <c r="A180" s="145" t="n"/>
      <c r="B180" s="145" t="n"/>
      <c r="C180" s="145" t="n"/>
      <c r="D180" s="145" t="n"/>
      <c r="E180" s="145" t="n"/>
      <c r="F180" s="145" t="n"/>
      <c r="G180" s="145" t="n"/>
      <c r="H180" s="145" t="n"/>
      <c r="I180" s="145" t="n"/>
      <c r="J180" s="145" t="n"/>
      <c r="K180" s="1" t="n"/>
      <c r="L180" s="1" t="n"/>
      <c r="M180" s="1" t="n"/>
      <c r="N180" s="1" t="n"/>
      <c r="O180" s="1" t="n"/>
      <c r="P180" s="1" t="n"/>
      <c r="Q180" s="1" t="n"/>
      <c r="R180" s="1" t="n"/>
      <c r="S180" s="1" t="n"/>
      <c r="T180" s="1" t="n"/>
      <c r="U180" s="1" t="n"/>
      <c r="V180" s="1" t="n"/>
      <c r="W180" s="1" t="n"/>
      <c r="X180" s="1" t="n"/>
      <c r="Y180" s="1" t="n"/>
      <c r="Z180" s="1" t="n"/>
    </row>
    <row r="181" ht="15.75" customHeight="1" s="311">
      <c r="A181" s="145" t="n"/>
      <c r="B181" s="145" t="n"/>
      <c r="C181" s="145" t="n"/>
      <c r="D181" s="145" t="n"/>
      <c r="E181" s="145" t="n"/>
      <c r="F181" s="145" t="n"/>
      <c r="G181" s="145" t="n"/>
      <c r="H181" s="145" t="n"/>
      <c r="I181" s="145" t="n"/>
      <c r="J181" s="145" t="n"/>
      <c r="K181" s="1" t="n"/>
      <c r="L181" s="1" t="n"/>
      <c r="M181" s="1" t="n"/>
      <c r="N181" s="1" t="n"/>
      <c r="O181" s="1" t="n"/>
      <c r="P181" s="1" t="n"/>
      <c r="Q181" s="1" t="n"/>
      <c r="R181" s="1" t="n"/>
      <c r="S181" s="1" t="n"/>
      <c r="T181" s="1" t="n"/>
      <c r="U181" s="1" t="n"/>
      <c r="V181" s="1" t="n"/>
      <c r="W181" s="1" t="n"/>
      <c r="X181" s="1" t="n"/>
      <c r="Y181" s="1" t="n"/>
      <c r="Z181" s="1" t="n"/>
    </row>
    <row r="182" ht="15.75" customHeight="1" s="311">
      <c r="A182" s="145" t="n"/>
      <c r="B182" s="145" t="n"/>
      <c r="C182" s="145" t="n"/>
      <c r="D182" s="145" t="n"/>
      <c r="E182" s="145" t="n"/>
      <c r="F182" s="145" t="n"/>
      <c r="G182" s="145" t="n"/>
      <c r="H182" s="145" t="n"/>
      <c r="I182" s="145" t="n"/>
      <c r="J182" s="145" t="n"/>
      <c r="K182" s="1" t="n"/>
      <c r="L182" s="1" t="n"/>
      <c r="M182" s="1" t="n"/>
      <c r="N182" s="1" t="n"/>
      <c r="O182" s="1" t="n"/>
      <c r="P182" s="1" t="n"/>
      <c r="Q182" s="1" t="n"/>
      <c r="R182" s="1" t="n"/>
      <c r="S182" s="1" t="n"/>
      <c r="T182" s="1" t="n"/>
      <c r="U182" s="1" t="n"/>
      <c r="V182" s="1" t="n"/>
      <c r="W182" s="1" t="n"/>
      <c r="X182" s="1" t="n"/>
      <c r="Y182" s="1" t="n"/>
      <c r="Z182" s="1" t="n"/>
    </row>
    <row r="183" ht="15.75" customHeight="1" s="311">
      <c r="A183" s="145" t="n"/>
      <c r="B183" s="145" t="n"/>
      <c r="C183" s="145" t="n"/>
      <c r="D183" s="145" t="n"/>
      <c r="E183" s="145" t="n"/>
      <c r="F183" s="145" t="n"/>
      <c r="G183" s="145" t="n"/>
      <c r="H183" s="145" t="n"/>
      <c r="I183" s="145" t="n"/>
      <c r="J183" s="145" t="n"/>
      <c r="K183" s="1" t="n"/>
      <c r="L183" s="1" t="n"/>
      <c r="M183" s="1" t="n"/>
      <c r="N183" s="1" t="n"/>
      <c r="O183" s="1" t="n"/>
      <c r="P183" s="1" t="n"/>
      <c r="Q183" s="1" t="n"/>
      <c r="R183" s="1" t="n"/>
      <c r="S183" s="1" t="n"/>
      <c r="T183" s="1" t="n"/>
      <c r="U183" s="1" t="n"/>
      <c r="V183" s="1" t="n"/>
      <c r="W183" s="1" t="n"/>
      <c r="X183" s="1" t="n"/>
      <c r="Y183" s="1" t="n"/>
      <c r="Z183" s="1" t="n"/>
    </row>
    <row r="184" ht="15.75" customHeight="1" s="311">
      <c r="A184" s="145" t="n"/>
      <c r="B184" s="145" t="n"/>
      <c r="C184" s="145" t="n"/>
      <c r="D184" s="145" t="n"/>
      <c r="E184" s="145" t="n"/>
      <c r="F184" s="145" t="n"/>
      <c r="G184" s="145" t="n"/>
      <c r="H184" s="145" t="n"/>
      <c r="I184" s="145" t="n"/>
      <c r="J184" s="145" t="n"/>
      <c r="K184" s="1" t="n"/>
      <c r="L184" s="1" t="n"/>
      <c r="M184" s="1" t="n"/>
      <c r="N184" s="1" t="n"/>
      <c r="O184" s="1" t="n"/>
      <c r="P184" s="1" t="n"/>
      <c r="Q184" s="1" t="n"/>
      <c r="R184" s="1" t="n"/>
      <c r="S184" s="1" t="n"/>
      <c r="T184" s="1" t="n"/>
      <c r="U184" s="1" t="n"/>
      <c r="V184" s="1" t="n"/>
      <c r="W184" s="1" t="n"/>
      <c r="X184" s="1" t="n"/>
      <c r="Y184" s="1" t="n"/>
      <c r="Z184" s="1" t="n"/>
    </row>
    <row r="185" ht="15.75" customHeight="1" s="311">
      <c r="A185" s="145" t="n"/>
      <c r="B185" s="145" t="n"/>
      <c r="C185" s="145" t="n"/>
      <c r="D185" s="145" t="n"/>
      <c r="E185" s="145" t="n"/>
      <c r="F185" s="145" t="n"/>
      <c r="G185" s="145" t="n"/>
      <c r="H185" s="145" t="n"/>
      <c r="I185" s="145" t="n"/>
      <c r="J185" s="145" t="n"/>
      <c r="K185" s="1" t="n"/>
      <c r="L185" s="1" t="n"/>
      <c r="M185" s="1" t="n"/>
      <c r="N185" s="1" t="n"/>
      <c r="O185" s="1" t="n"/>
      <c r="P185" s="1" t="n"/>
      <c r="Q185" s="1" t="n"/>
      <c r="R185" s="1" t="n"/>
      <c r="S185" s="1" t="n"/>
      <c r="T185" s="1" t="n"/>
      <c r="U185" s="1" t="n"/>
      <c r="V185" s="1" t="n"/>
      <c r="W185" s="1" t="n"/>
      <c r="X185" s="1" t="n"/>
      <c r="Y185" s="1" t="n"/>
      <c r="Z185" s="1" t="n"/>
    </row>
    <row r="186" ht="15.75" customHeight="1" s="311">
      <c r="A186" s="145" t="n"/>
      <c r="B186" s="145" t="n"/>
      <c r="C186" s="145" t="n"/>
      <c r="D186" s="145" t="n"/>
      <c r="E186" s="145" t="n"/>
      <c r="F186" s="145" t="n"/>
      <c r="G186" s="145" t="n"/>
      <c r="H186" s="145" t="n"/>
      <c r="I186" s="145" t="n"/>
      <c r="J186" s="145" t="n"/>
      <c r="K186" s="1" t="n"/>
      <c r="L186" s="1" t="n"/>
      <c r="M186" s="1" t="n"/>
      <c r="N186" s="1" t="n"/>
      <c r="O186" s="1" t="n"/>
      <c r="P186" s="1" t="n"/>
      <c r="Q186" s="1" t="n"/>
      <c r="R186" s="1" t="n"/>
      <c r="S186" s="1" t="n"/>
      <c r="T186" s="1" t="n"/>
      <c r="U186" s="1" t="n"/>
      <c r="V186" s="1" t="n"/>
      <c r="W186" s="1" t="n"/>
      <c r="X186" s="1" t="n"/>
      <c r="Y186" s="1" t="n"/>
      <c r="Z186" s="1" t="n"/>
    </row>
    <row r="187" ht="15.75" customHeight="1" s="311">
      <c r="A187" s="145" t="n"/>
      <c r="B187" s="145" t="n"/>
      <c r="C187" s="145" t="n"/>
      <c r="D187" s="145" t="n"/>
      <c r="E187" s="145" t="n"/>
      <c r="F187" s="145" t="n"/>
      <c r="G187" s="145" t="n"/>
      <c r="H187" s="145" t="n"/>
      <c r="I187" s="145" t="n"/>
      <c r="J187" s="145" t="n"/>
      <c r="K187" s="1" t="n"/>
      <c r="L187" s="1" t="n"/>
      <c r="M187" s="1" t="n"/>
      <c r="N187" s="1" t="n"/>
      <c r="O187" s="1" t="n"/>
      <c r="P187" s="1" t="n"/>
      <c r="Q187" s="1" t="n"/>
      <c r="R187" s="1" t="n"/>
      <c r="S187" s="1" t="n"/>
      <c r="T187" s="1" t="n"/>
      <c r="U187" s="1" t="n"/>
      <c r="V187" s="1" t="n"/>
      <c r="W187" s="1" t="n"/>
      <c r="X187" s="1" t="n"/>
      <c r="Y187" s="1" t="n"/>
      <c r="Z187" s="1" t="n"/>
    </row>
    <row r="188" ht="15.75" customHeight="1" s="311">
      <c r="A188" s="145" t="n"/>
      <c r="B188" s="145" t="n"/>
      <c r="C188" s="145" t="n"/>
      <c r="D188" s="145" t="n"/>
      <c r="E188" s="145" t="n"/>
      <c r="F188" s="145" t="n"/>
      <c r="G188" s="145" t="n"/>
      <c r="H188" s="145" t="n"/>
      <c r="I188" s="145" t="n"/>
      <c r="J188" s="145" t="n"/>
      <c r="K188" s="1" t="n"/>
      <c r="L188" s="1" t="n"/>
      <c r="M188" s="1" t="n"/>
      <c r="N188" s="1" t="n"/>
      <c r="O188" s="1" t="n"/>
      <c r="P188" s="1" t="n"/>
      <c r="Q188" s="1" t="n"/>
      <c r="R188" s="1" t="n"/>
      <c r="S188" s="1" t="n"/>
      <c r="T188" s="1" t="n"/>
      <c r="U188" s="1" t="n"/>
      <c r="V188" s="1" t="n"/>
      <c r="W188" s="1" t="n"/>
      <c r="X188" s="1" t="n"/>
      <c r="Y188" s="1" t="n"/>
      <c r="Z188" s="1" t="n"/>
    </row>
    <row r="189" ht="15.75" customHeight="1" s="311">
      <c r="A189" s="145" t="n"/>
      <c r="B189" s="145" t="n"/>
      <c r="C189" s="145" t="n"/>
      <c r="D189" s="145" t="n"/>
      <c r="E189" s="145" t="n"/>
      <c r="F189" s="145" t="n"/>
      <c r="G189" s="145" t="n"/>
      <c r="H189" s="145" t="n"/>
      <c r="I189" s="145" t="n"/>
      <c r="J189" s="145" t="n"/>
      <c r="K189" s="1" t="n"/>
      <c r="L189" s="1" t="n"/>
      <c r="M189" s="1" t="n"/>
      <c r="N189" s="1" t="n"/>
      <c r="O189" s="1" t="n"/>
      <c r="P189" s="1" t="n"/>
      <c r="Q189" s="1" t="n"/>
      <c r="R189" s="1" t="n"/>
      <c r="S189" s="1" t="n"/>
      <c r="T189" s="1" t="n"/>
      <c r="U189" s="1" t="n"/>
      <c r="V189" s="1" t="n"/>
      <c r="W189" s="1" t="n"/>
      <c r="X189" s="1" t="n"/>
      <c r="Y189" s="1" t="n"/>
      <c r="Z189" s="1" t="n"/>
    </row>
    <row r="190" ht="15.75" customHeight="1" s="311">
      <c r="A190" s="145" t="n"/>
      <c r="B190" s="145" t="n"/>
      <c r="C190" s="145" t="n"/>
      <c r="D190" s="145" t="n"/>
      <c r="E190" s="145" t="n"/>
      <c r="F190" s="145" t="n"/>
      <c r="G190" s="145" t="n"/>
      <c r="H190" s="145" t="n"/>
      <c r="I190" s="145" t="n"/>
      <c r="J190" s="145" t="n"/>
      <c r="K190" s="1" t="n"/>
      <c r="L190" s="1" t="n"/>
      <c r="M190" s="1" t="n"/>
      <c r="N190" s="1" t="n"/>
      <c r="O190" s="1" t="n"/>
      <c r="P190" s="1" t="n"/>
      <c r="Q190" s="1" t="n"/>
      <c r="R190" s="1" t="n"/>
      <c r="S190" s="1" t="n"/>
      <c r="T190" s="1" t="n"/>
      <c r="U190" s="1" t="n"/>
      <c r="V190" s="1" t="n"/>
      <c r="W190" s="1" t="n"/>
      <c r="X190" s="1" t="n"/>
      <c r="Y190" s="1" t="n"/>
      <c r="Z190" s="1" t="n"/>
    </row>
    <row r="191" ht="15.75" customHeight="1" s="311">
      <c r="A191" s="145" t="n"/>
      <c r="B191" s="145" t="n"/>
      <c r="C191" s="145" t="n"/>
      <c r="D191" s="145" t="n"/>
      <c r="E191" s="145" t="n"/>
      <c r="F191" s="145" t="n"/>
      <c r="G191" s="145" t="n"/>
      <c r="H191" s="145" t="n"/>
      <c r="I191" s="145" t="n"/>
      <c r="J191" s="145" t="n"/>
      <c r="K191" s="1" t="n"/>
      <c r="L191" s="1" t="n"/>
      <c r="M191" s="1" t="n"/>
      <c r="N191" s="1" t="n"/>
      <c r="O191" s="1" t="n"/>
      <c r="P191" s="1" t="n"/>
      <c r="Q191" s="1" t="n"/>
      <c r="R191" s="1" t="n"/>
      <c r="S191" s="1" t="n"/>
      <c r="T191" s="1" t="n"/>
      <c r="U191" s="1" t="n"/>
      <c r="V191" s="1" t="n"/>
      <c r="W191" s="1" t="n"/>
      <c r="X191" s="1" t="n"/>
      <c r="Y191" s="1" t="n"/>
      <c r="Z191" s="1" t="n"/>
    </row>
    <row r="192" ht="15.75" customHeight="1" s="311">
      <c r="A192" s="145" t="n"/>
      <c r="B192" s="145" t="n"/>
      <c r="C192" s="145" t="n"/>
      <c r="D192" s="145" t="n"/>
      <c r="E192" s="145" t="n"/>
      <c r="F192" s="145" t="n"/>
      <c r="G192" s="145" t="n"/>
      <c r="H192" s="145" t="n"/>
      <c r="I192" s="145" t="n"/>
      <c r="J192" s="145" t="n"/>
      <c r="K192" s="1" t="n"/>
      <c r="L192" s="1" t="n"/>
      <c r="M192" s="1" t="n"/>
      <c r="N192" s="1" t="n"/>
      <c r="O192" s="1" t="n"/>
      <c r="P192" s="1" t="n"/>
      <c r="Q192" s="1" t="n"/>
      <c r="R192" s="1" t="n"/>
      <c r="S192" s="1" t="n"/>
      <c r="T192" s="1" t="n"/>
      <c r="U192" s="1" t="n"/>
      <c r="V192" s="1" t="n"/>
      <c r="W192" s="1" t="n"/>
      <c r="X192" s="1" t="n"/>
      <c r="Y192" s="1" t="n"/>
      <c r="Z192" s="1" t="n"/>
    </row>
    <row r="193" ht="15.75" customHeight="1" s="311">
      <c r="A193" s="145" t="n"/>
      <c r="B193" s="145" t="n"/>
      <c r="C193" s="145" t="n"/>
      <c r="D193" s="145" t="n"/>
      <c r="E193" s="145" t="n"/>
      <c r="F193" s="145" t="n"/>
      <c r="G193" s="145" t="n"/>
      <c r="H193" s="145" t="n"/>
      <c r="I193" s="145" t="n"/>
      <c r="J193" s="145" t="n"/>
      <c r="K193" s="1" t="n"/>
      <c r="L193" s="1" t="n"/>
      <c r="M193" s="1" t="n"/>
      <c r="N193" s="1" t="n"/>
      <c r="O193" s="1" t="n"/>
      <c r="P193" s="1" t="n"/>
      <c r="Q193" s="1" t="n"/>
      <c r="R193" s="1" t="n"/>
      <c r="S193" s="1" t="n"/>
      <c r="T193" s="1" t="n"/>
      <c r="U193" s="1" t="n"/>
      <c r="V193" s="1" t="n"/>
      <c r="W193" s="1" t="n"/>
      <c r="X193" s="1" t="n"/>
      <c r="Y193" s="1" t="n"/>
      <c r="Z193" s="1" t="n"/>
    </row>
    <row r="194" ht="15.75" customHeight="1" s="311">
      <c r="A194" s="145" t="n"/>
      <c r="B194" s="145" t="n"/>
      <c r="C194" s="145" t="n"/>
      <c r="D194" s="145" t="n"/>
      <c r="E194" s="145" t="n"/>
      <c r="F194" s="145" t="n"/>
      <c r="G194" s="145" t="n"/>
      <c r="H194" s="145" t="n"/>
      <c r="I194" s="145" t="n"/>
      <c r="J194" s="145" t="n"/>
      <c r="K194" s="1" t="n"/>
      <c r="L194" s="1" t="n"/>
      <c r="M194" s="1" t="n"/>
      <c r="N194" s="1" t="n"/>
      <c r="O194" s="1" t="n"/>
      <c r="P194" s="1" t="n"/>
      <c r="Q194" s="1" t="n"/>
      <c r="R194" s="1" t="n"/>
      <c r="S194" s="1" t="n"/>
      <c r="T194" s="1" t="n"/>
      <c r="U194" s="1" t="n"/>
      <c r="V194" s="1" t="n"/>
      <c r="W194" s="1" t="n"/>
      <c r="X194" s="1" t="n"/>
      <c r="Y194" s="1" t="n"/>
      <c r="Z194" s="1" t="n"/>
    </row>
    <row r="195" ht="15.75" customHeight="1" s="311">
      <c r="A195" s="145" t="n"/>
      <c r="B195" s="145" t="n"/>
      <c r="C195" s="145" t="n"/>
      <c r="D195" s="145" t="n"/>
      <c r="E195" s="145" t="n"/>
      <c r="F195" s="145" t="n"/>
      <c r="G195" s="145" t="n"/>
      <c r="H195" s="145" t="n"/>
      <c r="I195" s="145" t="n"/>
      <c r="J195" s="145" t="n"/>
      <c r="K195" s="1" t="n"/>
      <c r="L195" s="1" t="n"/>
      <c r="M195" s="1" t="n"/>
      <c r="N195" s="1" t="n"/>
      <c r="O195" s="1" t="n"/>
      <c r="P195" s="1" t="n"/>
      <c r="Q195" s="1" t="n"/>
      <c r="R195" s="1" t="n"/>
      <c r="S195" s="1" t="n"/>
      <c r="T195" s="1" t="n"/>
      <c r="U195" s="1" t="n"/>
      <c r="V195" s="1" t="n"/>
      <c r="W195" s="1" t="n"/>
      <c r="X195" s="1" t="n"/>
      <c r="Y195" s="1" t="n"/>
      <c r="Z195" s="1" t="n"/>
    </row>
    <row r="196" ht="15.75" customHeight="1" s="311">
      <c r="A196" s="145" t="n"/>
      <c r="B196" s="145" t="n"/>
      <c r="C196" s="145" t="n"/>
      <c r="D196" s="145" t="n"/>
      <c r="E196" s="145" t="n"/>
      <c r="F196" s="145" t="n"/>
      <c r="G196" s="145" t="n"/>
      <c r="H196" s="145" t="n"/>
      <c r="I196" s="145" t="n"/>
      <c r="J196" s="145" t="n"/>
      <c r="K196" s="1" t="n"/>
      <c r="L196" s="1" t="n"/>
      <c r="M196" s="1" t="n"/>
      <c r="N196" s="1" t="n"/>
      <c r="O196" s="1" t="n"/>
      <c r="P196" s="1" t="n"/>
      <c r="Q196" s="1" t="n"/>
      <c r="R196" s="1" t="n"/>
      <c r="S196" s="1" t="n"/>
      <c r="T196" s="1" t="n"/>
      <c r="U196" s="1" t="n"/>
      <c r="V196" s="1" t="n"/>
      <c r="W196" s="1" t="n"/>
      <c r="X196" s="1" t="n"/>
      <c r="Y196" s="1" t="n"/>
      <c r="Z196" s="1" t="n"/>
    </row>
    <row r="197" ht="15.75" customHeight="1" s="311">
      <c r="A197" s="145" t="n"/>
      <c r="B197" s="145" t="n"/>
      <c r="C197" s="145" t="n"/>
      <c r="D197" s="145" t="n"/>
      <c r="E197" s="145" t="n"/>
      <c r="F197" s="145" t="n"/>
      <c r="G197" s="145" t="n"/>
      <c r="H197" s="145" t="n"/>
      <c r="I197" s="145" t="n"/>
      <c r="J197" s="145" t="n"/>
      <c r="K197" s="1" t="n"/>
      <c r="L197" s="1" t="n"/>
      <c r="M197" s="1" t="n"/>
      <c r="N197" s="1" t="n"/>
      <c r="O197" s="1" t="n"/>
      <c r="P197" s="1" t="n"/>
      <c r="Q197" s="1" t="n"/>
      <c r="R197" s="1" t="n"/>
      <c r="S197" s="1" t="n"/>
      <c r="T197" s="1" t="n"/>
      <c r="U197" s="1" t="n"/>
      <c r="V197" s="1" t="n"/>
      <c r="W197" s="1" t="n"/>
      <c r="X197" s="1" t="n"/>
      <c r="Y197" s="1" t="n"/>
      <c r="Z197" s="1" t="n"/>
    </row>
    <row r="198" ht="15.75" customHeight="1" s="311">
      <c r="A198" s="145" t="n"/>
      <c r="B198" s="145" t="n"/>
      <c r="C198" s="145" t="n"/>
      <c r="D198" s="145" t="n"/>
      <c r="E198" s="145" t="n"/>
      <c r="F198" s="145" t="n"/>
      <c r="G198" s="145" t="n"/>
      <c r="H198" s="145" t="n"/>
      <c r="I198" s="145" t="n"/>
      <c r="J198" s="145" t="n"/>
      <c r="K198" s="1" t="n"/>
      <c r="L198" s="1" t="n"/>
      <c r="M198" s="1" t="n"/>
      <c r="N198" s="1" t="n"/>
      <c r="O198" s="1" t="n"/>
      <c r="P198" s="1" t="n"/>
      <c r="Q198" s="1" t="n"/>
      <c r="R198" s="1" t="n"/>
      <c r="S198" s="1" t="n"/>
      <c r="T198" s="1" t="n"/>
      <c r="U198" s="1" t="n"/>
      <c r="V198" s="1" t="n"/>
      <c r="W198" s="1" t="n"/>
      <c r="X198" s="1" t="n"/>
      <c r="Y198" s="1" t="n"/>
      <c r="Z198" s="1" t="n"/>
    </row>
    <row r="199" ht="15.75" customHeight="1" s="311">
      <c r="A199" s="145" t="n"/>
      <c r="B199" s="145" t="n"/>
      <c r="C199" s="145" t="n"/>
      <c r="D199" s="145" t="n"/>
      <c r="E199" s="145" t="n"/>
      <c r="F199" s="145" t="n"/>
      <c r="G199" s="145" t="n"/>
      <c r="H199" s="145" t="n"/>
      <c r="I199" s="145" t="n"/>
      <c r="J199" s="145" t="n"/>
      <c r="K199" s="1" t="n"/>
      <c r="L199" s="1" t="n"/>
      <c r="M199" s="1" t="n"/>
      <c r="N199" s="1" t="n"/>
      <c r="O199" s="1" t="n"/>
      <c r="P199" s="1" t="n"/>
      <c r="Q199" s="1" t="n"/>
      <c r="R199" s="1" t="n"/>
      <c r="S199" s="1" t="n"/>
      <c r="T199" s="1" t="n"/>
      <c r="U199" s="1" t="n"/>
      <c r="V199" s="1" t="n"/>
      <c r="W199" s="1" t="n"/>
      <c r="X199" s="1" t="n"/>
      <c r="Y199" s="1" t="n"/>
      <c r="Z199" s="1" t="n"/>
    </row>
    <row r="200" ht="15.75" customHeight="1" s="311">
      <c r="A200" s="145" t="n"/>
      <c r="B200" s="145" t="n"/>
      <c r="C200" s="145" t="n"/>
      <c r="D200" s="145" t="n"/>
      <c r="E200" s="145" t="n"/>
      <c r="F200" s="145" t="n"/>
      <c r="G200" s="145" t="n"/>
      <c r="H200" s="145" t="n"/>
      <c r="I200" s="145" t="n"/>
      <c r="J200" s="145" t="n"/>
      <c r="K200" s="1" t="n"/>
      <c r="L200" s="1" t="n"/>
      <c r="M200" s="1" t="n"/>
      <c r="N200" s="1" t="n"/>
      <c r="O200" s="1" t="n"/>
      <c r="P200" s="1" t="n"/>
      <c r="Q200" s="1" t="n"/>
      <c r="R200" s="1" t="n"/>
      <c r="S200" s="1" t="n"/>
      <c r="T200" s="1" t="n"/>
      <c r="U200" s="1" t="n"/>
      <c r="V200" s="1" t="n"/>
      <c r="W200" s="1" t="n"/>
      <c r="X200" s="1" t="n"/>
      <c r="Y200" s="1" t="n"/>
      <c r="Z200" s="1" t="n"/>
    </row>
    <row r="201" ht="15.75" customHeight="1" s="311">
      <c r="A201" s="145" t="n"/>
      <c r="B201" s="145" t="n"/>
      <c r="C201" s="145" t="n"/>
      <c r="D201" s="145" t="n"/>
      <c r="E201" s="145" t="n"/>
      <c r="F201" s="145" t="n"/>
      <c r="G201" s="145" t="n"/>
      <c r="H201" s="145" t="n"/>
      <c r="I201" s="145" t="n"/>
      <c r="J201" s="145" t="n"/>
      <c r="K201" s="1" t="n"/>
      <c r="L201" s="1" t="n"/>
      <c r="M201" s="1" t="n"/>
      <c r="N201" s="1" t="n"/>
      <c r="O201" s="1" t="n"/>
      <c r="P201" s="1" t="n"/>
      <c r="Q201" s="1" t="n"/>
      <c r="R201" s="1" t="n"/>
      <c r="S201" s="1" t="n"/>
      <c r="T201" s="1" t="n"/>
      <c r="U201" s="1" t="n"/>
      <c r="V201" s="1" t="n"/>
      <c r="W201" s="1" t="n"/>
      <c r="X201" s="1" t="n"/>
      <c r="Y201" s="1" t="n"/>
      <c r="Z201" s="1" t="n"/>
    </row>
    <row r="202" ht="15.75" customHeight="1" s="311">
      <c r="A202" s="145" t="n"/>
      <c r="B202" s="145" t="n"/>
      <c r="C202" s="145" t="n"/>
      <c r="D202" s="145" t="n"/>
      <c r="E202" s="145" t="n"/>
      <c r="F202" s="145" t="n"/>
      <c r="G202" s="145" t="n"/>
      <c r="H202" s="145" t="n"/>
      <c r="I202" s="145" t="n"/>
      <c r="J202" s="145" t="n"/>
      <c r="K202" s="1" t="n"/>
      <c r="L202" s="1" t="n"/>
      <c r="M202" s="1" t="n"/>
      <c r="N202" s="1" t="n"/>
      <c r="O202" s="1" t="n"/>
      <c r="P202" s="1" t="n"/>
      <c r="Q202" s="1" t="n"/>
      <c r="R202" s="1" t="n"/>
      <c r="S202" s="1" t="n"/>
      <c r="T202" s="1" t="n"/>
      <c r="U202" s="1" t="n"/>
      <c r="V202" s="1" t="n"/>
      <c r="W202" s="1" t="n"/>
      <c r="X202" s="1" t="n"/>
      <c r="Y202" s="1" t="n"/>
      <c r="Z202" s="1" t="n"/>
    </row>
    <row r="203" ht="15.75" customHeight="1" s="311">
      <c r="A203" s="145" t="n"/>
      <c r="B203" s="145" t="n"/>
      <c r="C203" s="145" t="n"/>
      <c r="D203" s="145" t="n"/>
      <c r="E203" s="145" t="n"/>
      <c r="F203" s="145" t="n"/>
      <c r="G203" s="145" t="n"/>
      <c r="H203" s="145" t="n"/>
      <c r="I203" s="145" t="n"/>
      <c r="J203" s="145" t="n"/>
      <c r="K203" s="1" t="n"/>
      <c r="L203" s="1" t="n"/>
      <c r="M203" s="1" t="n"/>
      <c r="N203" s="1" t="n"/>
      <c r="O203" s="1" t="n"/>
      <c r="P203" s="1" t="n"/>
      <c r="Q203" s="1" t="n"/>
      <c r="R203" s="1" t="n"/>
      <c r="S203" s="1" t="n"/>
      <c r="T203" s="1" t="n"/>
      <c r="U203" s="1" t="n"/>
      <c r="V203" s="1" t="n"/>
      <c r="W203" s="1" t="n"/>
      <c r="X203" s="1" t="n"/>
      <c r="Y203" s="1" t="n"/>
      <c r="Z203" s="1" t="n"/>
    </row>
    <row r="204" ht="15.75" customHeight="1" s="311">
      <c r="A204" s="145" t="n"/>
      <c r="B204" s="145" t="n"/>
      <c r="C204" s="145" t="n"/>
      <c r="D204" s="145" t="n"/>
      <c r="E204" s="145" t="n"/>
      <c r="F204" s="145" t="n"/>
      <c r="G204" s="145" t="n"/>
      <c r="H204" s="145" t="n"/>
      <c r="I204" s="145" t="n"/>
      <c r="J204" s="145" t="n"/>
      <c r="K204" s="1" t="n"/>
      <c r="L204" s="1" t="n"/>
      <c r="M204" s="1" t="n"/>
      <c r="N204" s="1" t="n"/>
      <c r="O204" s="1" t="n"/>
      <c r="P204" s="1" t="n"/>
      <c r="Q204" s="1" t="n"/>
      <c r="R204" s="1" t="n"/>
      <c r="S204" s="1" t="n"/>
      <c r="T204" s="1" t="n"/>
      <c r="U204" s="1" t="n"/>
      <c r="V204" s="1" t="n"/>
      <c r="W204" s="1" t="n"/>
      <c r="X204" s="1" t="n"/>
      <c r="Y204" s="1" t="n"/>
      <c r="Z204" s="1" t="n"/>
    </row>
    <row r="205" ht="15.75" customHeight="1" s="311">
      <c r="A205" s="145" t="n"/>
      <c r="B205" s="145" t="n"/>
      <c r="C205" s="145" t="n"/>
      <c r="D205" s="145" t="n"/>
      <c r="E205" s="145" t="n"/>
      <c r="F205" s="145" t="n"/>
      <c r="G205" s="145" t="n"/>
      <c r="H205" s="145" t="n"/>
      <c r="I205" s="145" t="n"/>
      <c r="J205" s="145" t="n"/>
      <c r="K205" s="1" t="n"/>
      <c r="L205" s="1" t="n"/>
      <c r="M205" s="1" t="n"/>
      <c r="N205" s="1" t="n"/>
      <c r="O205" s="1" t="n"/>
      <c r="P205" s="1" t="n"/>
      <c r="Q205" s="1" t="n"/>
      <c r="R205" s="1" t="n"/>
      <c r="S205" s="1" t="n"/>
      <c r="T205" s="1" t="n"/>
      <c r="U205" s="1" t="n"/>
      <c r="V205" s="1" t="n"/>
      <c r="W205" s="1" t="n"/>
      <c r="X205" s="1" t="n"/>
      <c r="Y205" s="1" t="n"/>
      <c r="Z205" s="1" t="n"/>
    </row>
    <row r="206" ht="15.75" customHeight="1" s="311">
      <c r="A206" s="145" t="n"/>
      <c r="B206" s="145" t="n"/>
      <c r="C206" s="145" t="n"/>
      <c r="D206" s="145" t="n"/>
      <c r="E206" s="145" t="n"/>
      <c r="F206" s="145" t="n"/>
      <c r="G206" s="145" t="n"/>
      <c r="H206" s="145" t="n"/>
      <c r="I206" s="145" t="n"/>
      <c r="J206" s="145" t="n"/>
      <c r="K206" s="1" t="n"/>
      <c r="L206" s="1" t="n"/>
      <c r="M206" s="1" t="n"/>
      <c r="N206" s="1" t="n"/>
      <c r="O206" s="1" t="n"/>
      <c r="P206" s="1" t="n"/>
      <c r="Q206" s="1" t="n"/>
      <c r="R206" s="1" t="n"/>
      <c r="S206" s="1" t="n"/>
      <c r="T206" s="1" t="n"/>
      <c r="U206" s="1" t="n"/>
      <c r="V206" s="1" t="n"/>
      <c r="W206" s="1" t="n"/>
      <c r="X206" s="1" t="n"/>
      <c r="Y206" s="1" t="n"/>
      <c r="Z206" s="1" t="n"/>
    </row>
    <row r="207" ht="15.75" customHeight="1" s="311">
      <c r="A207" s="145" t="n"/>
      <c r="B207" s="145" t="n"/>
      <c r="C207" s="145" t="n"/>
      <c r="D207" s="145" t="n"/>
      <c r="E207" s="145" t="n"/>
      <c r="F207" s="145" t="n"/>
      <c r="G207" s="145" t="n"/>
      <c r="H207" s="145" t="n"/>
      <c r="I207" s="145" t="n"/>
      <c r="J207" s="145" t="n"/>
      <c r="K207" s="1" t="n"/>
      <c r="L207" s="1" t="n"/>
      <c r="M207" s="1" t="n"/>
      <c r="N207" s="1" t="n"/>
      <c r="O207" s="1" t="n"/>
      <c r="P207" s="1" t="n"/>
      <c r="Q207" s="1" t="n"/>
      <c r="R207" s="1" t="n"/>
      <c r="S207" s="1" t="n"/>
      <c r="T207" s="1" t="n"/>
      <c r="U207" s="1" t="n"/>
      <c r="V207" s="1" t="n"/>
      <c r="W207" s="1" t="n"/>
      <c r="X207" s="1" t="n"/>
      <c r="Y207" s="1" t="n"/>
      <c r="Z207" s="1" t="n"/>
    </row>
    <row r="208" ht="15.75" customHeight="1" s="311">
      <c r="A208" s="145" t="n"/>
      <c r="B208" s="145" t="n"/>
      <c r="C208" s="145" t="n"/>
      <c r="D208" s="145" t="n"/>
      <c r="E208" s="145" t="n"/>
      <c r="F208" s="145" t="n"/>
      <c r="G208" s="145" t="n"/>
      <c r="H208" s="145" t="n"/>
      <c r="I208" s="145" t="n"/>
      <c r="J208" s="145" t="n"/>
      <c r="K208" s="1" t="n"/>
      <c r="L208" s="1" t="n"/>
      <c r="M208" s="1" t="n"/>
      <c r="N208" s="1" t="n"/>
      <c r="O208" s="1" t="n"/>
      <c r="P208" s="1" t="n"/>
      <c r="Q208" s="1" t="n"/>
      <c r="R208" s="1" t="n"/>
      <c r="S208" s="1" t="n"/>
      <c r="T208" s="1" t="n"/>
      <c r="U208" s="1" t="n"/>
      <c r="V208" s="1" t="n"/>
      <c r="W208" s="1" t="n"/>
      <c r="X208" s="1" t="n"/>
      <c r="Y208" s="1" t="n"/>
      <c r="Z208" s="1" t="n"/>
    </row>
    <row r="209" ht="15.75" customHeight="1" s="311">
      <c r="A209" s="145" t="n"/>
      <c r="B209" s="145" t="n"/>
      <c r="C209" s="145" t="n"/>
      <c r="D209" s="145" t="n"/>
      <c r="E209" s="145" t="n"/>
      <c r="F209" s="145" t="n"/>
      <c r="G209" s="145" t="n"/>
      <c r="H209" s="145" t="n"/>
      <c r="I209" s="145" t="n"/>
      <c r="J209" s="145" t="n"/>
      <c r="K209" s="1" t="n"/>
      <c r="L209" s="1" t="n"/>
      <c r="M209" s="1" t="n"/>
      <c r="N209" s="1" t="n"/>
      <c r="O209" s="1" t="n"/>
      <c r="P209" s="1" t="n"/>
      <c r="Q209" s="1" t="n"/>
      <c r="R209" s="1" t="n"/>
      <c r="S209" s="1" t="n"/>
      <c r="T209" s="1" t="n"/>
      <c r="U209" s="1" t="n"/>
      <c r="V209" s="1" t="n"/>
      <c r="W209" s="1" t="n"/>
      <c r="X209" s="1" t="n"/>
      <c r="Y209" s="1" t="n"/>
      <c r="Z209" s="1" t="n"/>
    </row>
    <row r="210" ht="15.75" customHeight="1" s="311">
      <c r="A210" s="145" t="n"/>
      <c r="B210" s="145" t="n"/>
      <c r="C210" s="145" t="n"/>
      <c r="D210" s="145" t="n"/>
      <c r="E210" s="145" t="n"/>
      <c r="F210" s="145" t="n"/>
      <c r="G210" s="145" t="n"/>
      <c r="H210" s="145" t="n"/>
      <c r="I210" s="145" t="n"/>
      <c r="J210" s="145" t="n"/>
      <c r="K210" s="1" t="n"/>
      <c r="L210" s="1" t="n"/>
      <c r="M210" s="1" t="n"/>
      <c r="N210" s="1" t="n"/>
      <c r="O210" s="1" t="n"/>
      <c r="P210" s="1" t="n"/>
      <c r="Q210" s="1" t="n"/>
      <c r="R210" s="1" t="n"/>
      <c r="S210" s="1" t="n"/>
      <c r="T210" s="1" t="n"/>
      <c r="U210" s="1" t="n"/>
      <c r="V210" s="1" t="n"/>
      <c r="W210" s="1" t="n"/>
      <c r="X210" s="1" t="n"/>
      <c r="Y210" s="1" t="n"/>
      <c r="Z210" s="1" t="n"/>
    </row>
    <row r="211" ht="15.75" customHeight="1" s="311">
      <c r="A211" s="145" t="n"/>
      <c r="B211" s="145" t="n"/>
      <c r="C211" s="145" t="n"/>
      <c r="D211" s="145" t="n"/>
      <c r="E211" s="145" t="n"/>
      <c r="F211" s="145" t="n"/>
      <c r="G211" s="145" t="n"/>
      <c r="H211" s="145" t="n"/>
      <c r="I211" s="145" t="n"/>
      <c r="J211" s="145" t="n"/>
      <c r="K211" s="1" t="n"/>
      <c r="L211" s="1" t="n"/>
      <c r="M211" s="1" t="n"/>
      <c r="N211" s="1" t="n"/>
      <c r="O211" s="1" t="n"/>
      <c r="P211" s="1" t="n"/>
      <c r="Q211" s="1" t="n"/>
      <c r="R211" s="1" t="n"/>
      <c r="S211" s="1" t="n"/>
      <c r="T211" s="1" t="n"/>
      <c r="U211" s="1" t="n"/>
      <c r="V211" s="1" t="n"/>
      <c r="W211" s="1" t="n"/>
      <c r="X211" s="1" t="n"/>
      <c r="Y211" s="1" t="n"/>
      <c r="Z211" s="1" t="n"/>
    </row>
    <row r="212" ht="15.75" customHeight="1" s="311">
      <c r="A212" s="145" t="n"/>
      <c r="B212" s="145" t="n"/>
      <c r="C212" s="145" t="n"/>
      <c r="D212" s="145" t="n"/>
      <c r="E212" s="145" t="n"/>
      <c r="F212" s="145" t="n"/>
      <c r="G212" s="145" t="n"/>
      <c r="H212" s="145" t="n"/>
      <c r="I212" s="145" t="n"/>
      <c r="J212" s="145" t="n"/>
      <c r="K212" s="1" t="n"/>
      <c r="L212" s="1" t="n"/>
      <c r="M212" s="1" t="n"/>
      <c r="N212" s="1" t="n"/>
      <c r="O212" s="1" t="n"/>
      <c r="P212" s="1" t="n"/>
      <c r="Q212" s="1" t="n"/>
      <c r="R212" s="1" t="n"/>
      <c r="S212" s="1" t="n"/>
      <c r="T212" s="1" t="n"/>
      <c r="U212" s="1" t="n"/>
      <c r="V212" s="1" t="n"/>
      <c r="W212" s="1" t="n"/>
      <c r="X212" s="1" t="n"/>
      <c r="Y212" s="1" t="n"/>
      <c r="Z212" s="1" t="n"/>
    </row>
    <row r="213" ht="15.75" customHeight="1" s="311">
      <c r="A213" s="145" t="n"/>
      <c r="B213" s="145" t="n"/>
      <c r="C213" s="145" t="n"/>
      <c r="D213" s="145" t="n"/>
      <c r="E213" s="145" t="n"/>
      <c r="F213" s="145" t="n"/>
      <c r="G213" s="145" t="n"/>
      <c r="H213" s="145" t="n"/>
      <c r="I213" s="145" t="n"/>
      <c r="J213" s="145" t="n"/>
      <c r="K213" s="1" t="n"/>
      <c r="L213" s="1" t="n"/>
      <c r="M213" s="1" t="n"/>
      <c r="N213" s="1" t="n"/>
      <c r="O213" s="1" t="n"/>
      <c r="P213" s="1" t="n"/>
      <c r="Q213" s="1" t="n"/>
      <c r="R213" s="1" t="n"/>
      <c r="S213" s="1" t="n"/>
      <c r="T213" s="1" t="n"/>
      <c r="U213" s="1" t="n"/>
      <c r="V213" s="1" t="n"/>
      <c r="W213" s="1" t="n"/>
      <c r="X213" s="1" t="n"/>
      <c r="Y213" s="1" t="n"/>
      <c r="Z213" s="1" t="n"/>
    </row>
    <row r="214" ht="15.75" customHeight="1" s="311">
      <c r="A214" s="145" t="n"/>
      <c r="B214" s="145" t="n"/>
      <c r="C214" s="145" t="n"/>
      <c r="D214" s="145" t="n"/>
      <c r="E214" s="145" t="n"/>
      <c r="F214" s="145" t="n"/>
      <c r="G214" s="145" t="n"/>
      <c r="H214" s="145" t="n"/>
      <c r="I214" s="145" t="n"/>
      <c r="J214" s="145" t="n"/>
      <c r="K214" s="1" t="n"/>
      <c r="L214" s="1" t="n"/>
      <c r="M214" s="1" t="n"/>
      <c r="N214" s="1" t="n"/>
      <c r="O214" s="1" t="n"/>
      <c r="P214" s="1" t="n"/>
      <c r="Q214" s="1" t="n"/>
      <c r="R214" s="1" t="n"/>
      <c r="S214" s="1" t="n"/>
      <c r="T214" s="1" t="n"/>
      <c r="U214" s="1" t="n"/>
      <c r="V214" s="1" t="n"/>
      <c r="W214" s="1" t="n"/>
      <c r="X214" s="1" t="n"/>
      <c r="Y214" s="1" t="n"/>
      <c r="Z214" s="1" t="n"/>
    </row>
    <row r="215" ht="15.75" customHeight="1" s="311">
      <c r="A215" s="145" t="n"/>
      <c r="B215" s="145" t="n"/>
      <c r="C215" s="145" t="n"/>
      <c r="D215" s="145" t="n"/>
      <c r="E215" s="145" t="n"/>
      <c r="F215" s="145" t="n"/>
      <c r="G215" s="145" t="n"/>
      <c r="H215" s="145" t="n"/>
      <c r="I215" s="145" t="n"/>
      <c r="J215" s="145" t="n"/>
      <c r="K215" s="1" t="n"/>
      <c r="L215" s="1" t="n"/>
      <c r="M215" s="1" t="n"/>
      <c r="N215" s="1" t="n"/>
      <c r="O215" s="1" t="n"/>
      <c r="P215" s="1" t="n"/>
      <c r="Q215" s="1" t="n"/>
      <c r="R215" s="1" t="n"/>
      <c r="S215" s="1" t="n"/>
      <c r="T215" s="1" t="n"/>
      <c r="U215" s="1" t="n"/>
      <c r="V215" s="1" t="n"/>
      <c r="W215" s="1" t="n"/>
      <c r="X215" s="1" t="n"/>
      <c r="Y215" s="1" t="n"/>
      <c r="Z215" s="1" t="n"/>
    </row>
    <row r="216" ht="15.75" customHeight="1" s="311">
      <c r="A216" s="145" t="n"/>
      <c r="B216" s="145" t="n"/>
      <c r="C216" s="145" t="n"/>
      <c r="D216" s="145" t="n"/>
      <c r="E216" s="145" t="n"/>
      <c r="F216" s="145" t="n"/>
      <c r="G216" s="145" t="n"/>
      <c r="H216" s="145" t="n"/>
      <c r="I216" s="145" t="n"/>
      <c r="J216" s="145" t="n"/>
      <c r="K216" s="1" t="n"/>
      <c r="L216" s="1" t="n"/>
      <c r="M216" s="1" t="n"/>
      <c r="N216" s="1" t="n"/>
      <c r="O216" s="1" t="n"/>
      <c r="P216" s="1" t="n"/>
      <c r="Q216" s="1" t="n"/>
      <c r="R216" s="1" t="n"/>
      <c r="S216" s="1" t="n"/>
      <c r="T216" s="1" t="n"/>
      <c r="U216" s="1" t="n"/>
      <c r="V216" s="1" t="n"/>
      <c r="W216" s="1" t="n"/>
      <c r="X216" s="1" t="n"/>
      <c r="Y216" s="1" t="n"/>
      <c r="Z216" s="1" t="n"/>
    </row>
    <row r="217" ht="15.75" customHeight="1" s="311">
      <c r="A217" s="145" t="n"/>
      <c r="B217" s="145" t="n"/>
      <c r="C217" s="145" t="n"/>
      <c r="D217" s="145" t="n"/>
      <c r="E217" s="145" t="n"/>
      <c r="F217" s="145" t="n"/>
      <c r="G217" s="145" t="n"/>
      <c r="H217" s="145" t="n"/>
      <c r="I217" s="145" t="n"/>
      <c r="J217" s="145" t="n"/>
      <c r="K217" s="1" t="n"/>
      <c r="L217" s="1" t="n"/>
      <c r="M217" s="1" t="n"/>
      <c r="N217" s="1" t="n"/>
      <c r="O217" s="1" t="n"/>
      <c r="P217" s="1" t="n"/>
      <c r="Q217" s="1" t="n"/>
      <c r="R217" s="1" t="n"/>
      <c r="S217" s="1" t="n"/>
      <c r="T217" s="1" t="n"/>
      <c r="U217" s="1" t="n"/>
      <c r="V217" s="1" t="n"/>
      <c r="W217" s="1" t="n"/>
      <c r="X217" s="1" t="n"/>
      <c r="Y217" s="1" t="n"/>
      <c r="Z217" s="1" t="n"/>
    </row>
    <row r="218" ht="15.75" customHeight="1" s="311">
      <c r="A218" s="145" t="n"/>
      <c r="B218" s="145" t="n"/>
      <c r="C218" s="145" t="n"/>
      <c r="D218" s="145" t="n"/>
      <c r="E218" s="145" t="n"/>
      <c r="F218" s="145" t="n"/>
      <c r="G218" s="145" t="n"/>
      <c r="H218" s="145" t="n"/>
      <c r="I218" s="145" t="n"/>
      <c r="J218" s="145" t="n"/>
      <c r="K218" s="1" t="n"/>
      <c r="L218" s="1" t="n"/>
      <c r="M218" s="1" t="n"/>
      <c r="N218" s="1" t="n"/>
      <c r="O218" s="1" t="n"/>
      <c r="P218" s="1" t="n"/>
      <c r="Q218" s="1" t="n"/>
      <c r="R218" s="1" t="n"/>
      <c r="S218" s="1" t="n"/>
      <c r="T218" s="1" t="n"/>
      <c r="U218" s="1" t="n"/>
      <c r="V218" s="1" t="n"/>
      <c r="W218" s="1" t="n"/>
      <c r="X218" s="1" t="n"/>
      <c r="Y218" s="1" t="n"/>
      <c r="Z218" s="1" t="n"/>
    </row>
    <row r="219" ht="15.75" customHeight="1" s="311">
      <c r="A219" s="145" t="n"/>
      <c r="B219" s="145" t="n"/>
      <c r="C219" s="145" t="n"/>
      <c r="D219" s="145" t="n"/>
      <c r="E219" s="145" t="n"/>
      <c r="F219" s="145" t="n"/>
      <c r="G219" s="145" t="n"/>
      <c r="H219" s="145" t="n"/>
      <c r="I219" s="145" t="n"/>
      <c r="J219" s="145" t="n"/>
      <c r="K219" s="1" t="n"/>
      <c r="L219" s="1" t="n"/>
      <c r="M219" s="1" t="n"/>
      <c r="N219" s="1" t="n"/>
      <c r="O219" s="1" t="n"/>
      <c r="P219" s="1" t="n"/>
      <c r="Q219" s="1" t="n"/>
      <c r="R219" s="1" t="n"/>
      <c r="S219" s="1" t="n"/>
      <c r="T219" s="1" t="n"/>
      <c r="U219" s="1" t="n"/>
      <c r="V219" s="1" t="n"/>
      <c r="W219" s="1" t="n"/>
      <c r="X219" s="1" t="n"/>
      <c r="Y219" s="1" t="n"/>
      <c r="Z219" s="1" t="n"/>
    </row>
    <row r="220" ht="15.75" customHeight="1" s="311">
      <c r="A220" s="145" t="n"/>
      <c r="B220" s="145" t="n"/>
      <c r="C220" s="145" t="n"/>
      <c r="D220" s="145" t="n"/>
      <c r="E220" s="145" t="n"/>
      <c r="F220" s="145" t="n"/>
      <c r="G220" s="145" t="n"/>
      <c r="H220" s="145" t="n"/>
      <c r="I220" s="145" t="n"/>
      <c r="J220" s="145" t="n"/>
      <c r="K220" s="1" t="n"/>
      <c r="L220" s="1" t="n"/>
      <c r="M220" s="1" t="n"/>
      <c r="N220" s="1" t="n"/>
      <c r="O220" s="1" t="n"/>
      <c r="P220" s="1" t="n"/>
      <c r="Q220" s="1" t="n"/>
      <c r="R220" s="1" t="n"/>
      <c r="S220" s="1" t="n"/>
      <c r="T220" s="1" t="n"/>
      <c r="U220" s="1" t="n"/>
      <c r="V220" s="1" t="n"/>
      <c r="W220" s="1" t="n"/>
      <c r="X220" s="1" t="n"/>
      <c r="Y220" s="1" t="n"/>
      <c r="Z220" s="1" t="n"/>
    </row>
    <row r="221" ht="15.75" customHeight="1" s="311">
      <c r="A221" s="145" t="n"/>
      <c r="B221" s="145" t="n"/>
      <c r="C221" s="145" t="n"/>
      <c r="D221" s="145" t="n"/>
      <c r="E221" s="145" t="n"/>
      <c r="F221" s="145" t="n"/>
      <c r="G221" s="145" t="n"/>
      <c r="H221" s="145" t="n"/>
      <c r="I221" s="145" t="n"/>
      <c r="J221" s="145" t="n"/>
      <c r="K221" s="1" t="n"/>
      <c r="L221" s="1" t="n"/>
      <c r="M221" s="1" t="n"/>
      <c r="N221" s="1" t="n"/>
      <c r="O221" s="1" t="n"/>
      <c r="P221" s="1" t="n"/>
      <c r="Q221" s="1" t="n"/>
      <c r="R221" s="1" t="n"/>
      <c r="S221" s="1" t="n"/>
      <c r="T221" s="1" t="n"/>
      <c r="U221" s="1" t="n"/>
      <c r="V221" s="1" t="n"/>
      <c r="W221" s="1" t="n"/>
      <c r="X221" s="1" t="n"/>
      <c r="Y221" s="1" t="n"/>
      <c r="Z221" s="1" t="n"/>
    </row>
    <row r="222" ht="15.75" customHeight="1" s="311">
      <c r="A222" s="145" t="n"/>
      <c r="B222" s="145" t="n"/>
      <c r="C222" s="145" t="n"/>
      <c r="D222" s="145" t="n"/>
      <c r="E222" s="145" t="n"/>
      <c r="F222" s="145" t="n"/>
      <c r="G222" s="145" t="n"/>
      <c r="H222" s="145" t="n"/>
      <c r="I222" s="145" t="n"/>
      <c r="J222" s="145" t="n"/>
      <c r="K222" s="1" t="n"/>
      <c r="L222" s="1" t="n"/>
      <c r="M222" s="1" t="n"/>
      <c r="N222" s="1" t="n"/>
      <c r="O222" s="1" t="n"/>
      <c r="P222" s="1" t="n"/>
      <c r="Q222" s="1" t="n"/>
      <c r="R222" s="1" t="n"/>
      <c r="S222" s="1" t="n"/>
      <c r="T222" s="1" t="n"/>
      <c r="U222" s="1" t="n"/>
      <c r="V222" s="1" t="n"/>
      <c r="W222" s="1" t="n"/>
      <c r="X222" s="1" t="n"/>
      <c r="Y222" s="1" t="n"/>
      <c r="Z222" s="1" t="n"/>
    </row>
    <row r="223" ht="15.75" customHeight="1" s="311">
      <c r="A223" s="145" t="n"/>
      <c r="B223" s="145" t="n"/>
      <c r="C223" s="145" t="n"/>
      <c r="D223" s="145" t="n"/>
      <c r="E223" s="145" t="n"/>
      <c r="F223" s="145" t="n"/>
      <c r="G223" s="145" t="n"/>
      <c r="H223" s="145" t="n"/>
      <c r="I223" s="145" t="n"/>
      <c r="J223" s="145" t="n"/>
      <c r="K223" s="1" t="n"/>
      <c r="L223" s="1" t="n"/>
      <c r="M223" s="1" t="n"/>
      <c r="N223" s="1" t="n"/>
      <c r="O223" s="1" t="n"/>
      <c r="P223" s="1" t="n"/>
      <c r="Q223" s="1" t="n"/>
      <c r="R223" s="1" t="n"/>
      <c r="S223" s="1" t="n"/>
      <c r="T223" s="1" t="n"/>
      <c r="U223" s="1" t="n"/>
      <c r="V223" s="1" t="n"/>
      <c r="W223" s="1" t="n"/>
      <c r="X223" s="1" t="n"/>
      <c r="Y223" s="1" t="n"/>
      <c r="Z223" s="1" t="n"/>
    </row>
    <row r="224" ht="15.75" customHeight="1" s="311">
      <c r="A224" s="145" t="n"/>
      <c r="B224" s="145" t="n"/>
      <c r="C224" s="145" t="n"/>
      <c r="D224" s="145" t="n"/>
      <c r="E224" s="145" t="n"/>
      <c r="F224" s="145" t="n"/>
      <c r="G224" s="145" t="n"/>
      <c r="H224" s="145" t="n"/>
      <c r="I224" s="145" t="n"/>
      <c r="J224" s="145" t="n"/>
      <c r="K224" s="1" t="n"/>
      <c r="L224" s="1" t="n"/>
      <c r="M224" s="1" t="n"/>
      <c r="N224" s="1" t="n"/>
      <c r="O224" s="1" t="n"/>
      <c r="P224" s="1" t="n"/>
      <c r="Q224" s="1" t="n"/>
      <c r="R224" s="1" t="n"/>
      <c r="S224" s="1" t="n"/>
      <c r="T224" s="1" t="n"/>
      <c r="U224" s="1" t="n"/>
      <c r="V224" s="1" t="n"/>
      <c r="W224" s="1" t="n"/>
      <c r="X224" s="1" t="n"/>
      <c r="Y224" s="1" t="n"/>
      <c r="Z224" s="1" t="n"/>
    </row>
    <row r="225" ht="15.75" customHeight="1" s="311">
      <c r="A225" s="145" t="n"/>
      <c r="B225" s="145" t="n"/>
      <c r="C225" s="145" t="n"/>
      <c r="D225" s="145" t="n"/>
      <c r="E225" s="145" t="n"/>
      <c r="F225" s="145" t="n"/>
      <c r="G225" s="145" t="n"/>
      <c r="H225" s="145" t="n"/>
      <c r="I225" s="145" t="n"/>
      <c r="J225" s="145" t="n"/>
      <c r="K225" s="1" t="n"/>
      <c r="L225" s="1" t="n"/>
      <c r="M225" s="1" t="n"/>
      <c r="N225" s="1" t="n"/>
      <c r="O225" s="1" t="n"/>
      <c r="P225" s="1" t="n"/>
      <c r="Q225" s="1" t="n"/>
      <c r="R225" s="1" t="n"/>
      <c r="S225" s="1" t="n"/>
      <c r="T225" s="1" t="n"/>
      <c r="U225" s="1" t="n"/>
      <c r="V225" s="1" t="n"/>
      <c r="W225" s="1" t="n"/>
      <c r="X225" s="1" t="n"/>
      <c r="Y225" s="1" t="n"/>
      <c r="Z225" s="1" t="n"/>
    </row>
    <row r="226" ht="15.75" customHeight="1" s="311">
      <c r="A226" s="145" t="n"/>
      <c r="B226" s="145" t="n"/>
      <c r="C226" s="145" t="n"/>
      <c r="D226" s="145" t="n"/>
      <c r="E226" s="145" t="n"/>
      <c r="F226" s="145" t="n"/>
      <c r="G226" s="145" t="n"/>
      <c r="H226" s="145" t="n"/>
      <c r="I226" s="145" t="n"/>
      <c r="J226" s="145" t="n"/>
      <c r="K226" s="1" t="n"/>
      <c r="L226" s="1" t="n"/>
      <c r="M226" s="1" t="n"/>
      <c r="N226" s="1" t="n"/>
      <c r="O226" s="1" t="n"/>
      <c r="P226" s="1" t="n"/>
      <c r="Q226" s="1" t="n"/>
      <c r="R226" s="1" t="n"/>
      <c r="S226" s="1" t="n"/>
      <c r="T226" s="1" t="n"/>
      <c r="U226" s="1" t="n"/>
      <c r="V226" s="1" t="n"/>
      <c r="W226" s="1" t="n"/>
      <c r="X226" s="1" t="n"/>
      <c r="Y226" s="1" t="n"/>
      <c r="Z226" s="1" t="n"/>
    </row>
    <row r="227" ht="15.75" customHeight="1" s="311">
      <c r="A227" s="145" t="n"/>
      <c r="B227" s="145" t="n"/>
      <c r="C227" s="145" t="n"/>
      <c r="D227" s="145" t="n"/>
      <c r="E227" s="145" t="n"/>
      <c r="F227" s="145" t="n"/>
      <c r="G227" s="145" t="n"/>
      <c r="H227" s="145" t="n"/>
      <c r="I227" s="145" t="n"/>
      <c r="J227" s="145" t="n"/>
      <c r="K227" s="1" t="n"/>
      <c r="L227" s="1" t="n"/>
      <c r="M227" s="1" t="n"/>
      <c r="N227" s="1" t="n"/>
      <c r="O227" s="1" t="n"/>
      <c r="P227" s="1" t="n"/>
      <c r="Q227" s="1" t="n"/>
      <c r="R227" s="1" t="n"/>
      <c r="S227" s="1" t="n"/>
      <c r="T227" s="1" t="n"/>
      <c r="U227" s="1" t="n"/>
      <c r="V227" s="1" t="n"/>
      <c r="W227" s="1" t="n"/>
      <c r="X227" s="1" t="n"/>
      <c r="Y227" s="1" t="n"/>
      <c r="Z227" s="1" t="n"/>
    </row>
    <row r="228" ht="15.75" customHeight="1" s="311">
      <c r="A228" s="145" t="n"/>
      <c r="B228" s="145" t="n"/>
      <c r="C228" s="145" t="n"/>
      <c r="D228" s="145" t="n"/>
      <c r="E228" s="145" t="n"/>
      <c r="F228" s="145" t="n"/>
      <c r="G228" s="145" t="n"/>
      <c r="H228" s="145" t="n"/>
      <c r="I228" s="145" t="n"/>
      <c r="J228" s="145" t="n"/>
      <c r="K228" s="1" t="n"/>
      <c r="L228" s="1" t="n"/>
      <c r="M228" s="1" t="n"/>
      <c r="N228" s="1" t="n"/>
      <c r="O228" s="1" t="n"/>
      <c r="P228" s="1" t="n"/>
      <c r="Q228" s="1" t="n"/>
      <c r="R228" s="1" t="n"/>
      <c r="S228" s="1" t="n"/>
      <c r="T228" s="1" t="n"/>
      <c r="U228" s="1" t="n"/>
      <c r="V228" s="1" t="n"/>
      <c r="W228" s="1" t="n"/>
      <c r="X228" s="1" t="n"/>
      <c r="Y228" s="1" t="n"/>
      <c r="Z228" s="1" t="n"/>
    </row>
    <row r="229" ht="15.75" customHeight="1" s="311">
      <c r="A229" s="145" t="n"/>
      <c r="B229" s="145" t="n"/>
      <c r="C229" s="145" t="n"/>
      <c r="D229" s="145" t="n"/>
      <c r="E229" s="145" t="n"/>
      <c r="F229" s="145" t="n"/>
      <c r="G229" s="145" t="n"/>
      <c r="H229" s="145" t="n"/>
      <c r="I229" s="145" t="n"/>
      <c r="J229" s="145" t="n"/>
      <c r="K229" s="1" t="n"/>
      <c r="L229" s="1" t="n"/>
      <c r="M229" s="1" t="n"/>
      <c r="N229" s="1" t="n"/>
      <c r="O229" s="1" t="n"/>
      <c r="P229" s="1" t="n"/>
      <c r="Q229" s="1" t="n"/>
      <c r="R229" s="1" t="n"/>
      <c r="S229" s="1" t="n"/>
      <c r="T229" s="1" t="n"/>
      <c r="U229" s="1" t="n"/>
      <c r="V229" s="1" t="n"/>
      <c r="W229" s="1" t="n"/>
      <c r="X229" s="1" t="n"/>
      <c r="Y229" s="1" t="n"/>
      <c r="Z229" s="1" t="n"/>
    </row>
    <row r="230" ht="15.75" customHeight="1" s="311">
      <c r="A230" s="145" t="n"/>
      <c r="B230" s="145" t="n"/>
      <c r="C230" s="145" t="n"/>
      <c r="D230" s="145" t="n"/>
      <c r="E230" s="145" t="n"/>
      <c r="F230" s="145" t="n"/>
      <c r="G230" s="145" t="n"/>
      <c r="H230" s="145" t="n"/>
      <c r="I230" s="145" t="n"/>
      <c r="J230" s="145" t="n"/>
      <c r="K230" s="1" t="n"/>
      <c r="L230" s="1" t="n"/>
      <c r="M230" s="1" t="n"/>
      <c r="N230" s="1" t="n"/>
      <c r="O230" s="1" t="n"/>
      <c r="P230" s="1" t="n"/>
      <c r="Q230" s="1" t="n"/>
      <c r="R230" s="1" t="n"/>
      <c r="S230" s="1" t="n"/>
      <c r="T230" s="1" t="n"/>
      <c r="U230" s="1" t="n"/>
      <c r="V230" s="1" t="n"/>
      <c r="W230" s="1" t="n"/>
      <c r="X230" s="1" t="n"/>
      <c r="Y230" s="1" t="n"/>
      <c r="Z230" s="1" t="n"/>
    </row>
    <row r="231" ht="15.75" customHeight="1" s="311">
      <c r="A231" s="145" t="n"/>
      <c r="B231" s="145" t="n"/>
      <c r="C231" s="145" t="n"/>
      <c r="D231" s="145" t="n"/>
      <c r="E231" s="145" t="n"/>
      <c r="F231" s="145" t="n"/>
      <c r="G231" s="145" t="n"/>
      <c r="H231" s="145" t="n"/>
      <c r="I231" s="145" t="n"/>
      <c r="J231" s="145" t="n"/>
      <c r="K231" s="1" t="n"/>
      <c r="L231" s="1" t="n"/>
      <c r="M231" s="1" t="n"/>
      <c r="N231" s="1" t="n"/>
      <c r="O231" s="1" t="n"/>
      <c r="P231" s="1" t="n"/>
      <c r="Q231" s="1" t="n"/>
      <c r="R231" s="1" t="n"/>
      <c r="S231" s="1" t="n"/>
      <c r="T231" s="1" t="n"/>
      <c r="U231" s="1" t="n"/>
      <c r="V231" s="1" t="n"/>
      <c r="W231" s="1" t="n"/>
      <c r="X231" s="1" t="n"/>
      <c r="Y231" s="1" t="n"/>
      <c r="Z231" s="1" t="n"/>
    </row>
    <row r="232" ht="15.75" customHeight="1" s="311">
      <c r="A232" s="145" t="n"/>
      <c r="B232" s="145" t="n"/>
      <c r="C232" s="145" t="n"/>
      <c r="D232" s="145" t="n"/>
      <c r="E232" s="145" t="n"/>
      <c r="F232" s="145" t="n"/>
      <c r="G232" s="145" t="n"/>
      <c r="H232" s="145" t="n"/>
      <c r="I232" s="145" t="n"/>
      <c r="J232" s="145" t="n"/>
      <c r="K232" s="1" t="n"/>
      <c r="L232" s="1" t="n"/>
      <c r="M232" s="1" t="n"/>
      <c r="N232" s="1" t="n"/>
      <c r="O232" s="1" t="n"/>
      <c r="P232" s="1" t="n"/>
      <c r="Q232" s="1" t="n"/>
      <c r="R232" s="1" t="n"/>
      <c r="S232" s="1" t="n"/>
      <c r="T232" s="1" t="n"/>
      <c r="U232" s="1" t="n"/>
      <c r="V232" s="1" t="n"/>
      <c r="W232" s="1" t="n"/>
      <c r="X232" s="1" t="n"/>
      <c r="Y232" s="1" t="n"/>
      <c r="Z232" s="1" t="n"/>
    </row>
    <row r="233" ht="15.75" customHeight="1" s="311">
      <c r="A233" s="145" t="n"/>
      <c r="B233" s="145" t="n"/>
      <c r="C233" s="145" t="n"/>
      <c r="D233" s="145" t="n"/>
      <c r="E233" s="145" t="n"/>
      <c r="F233" s="145" t="n"/>
      <c r="G233" s="145" t="n"/>
      <c r="H233" s="145" t="n"/>
      <c r="I233" s="145" t="n"/>
      <c r="J233" s="145" t="n"/>
      <c r="K233" s="1" t="n"/>
      <c r="L233" s="1" t="n"/>
      <c r="M233" s="1" t="n"/>
      <c r="N233" s="1" t="n"/>
      <c r="O233" s="1" t="n"/>
      <c r="P233" s="1" t="n"/>
      <c r="Q233" s="1" t="n"/>
      <c r="R233" s="1" t="n"/>
      <c r="S233" s="1" t="n"/>
      <c r="T233" s="1" t="n"/>
      <c r="U233" s="1" t="n"/>
      <c r="V233" s="1" t="n"/>
      <c r="W233" s="1" t="n"/>
      <c r="X233" s="1" t="n"/>
      <c r="Y233" s="1" t="n"/>
      <c r="Z233" s="1" t="n"/>
    </row>
    <row r="234" ht="15.75" customHeight="1" s="311">
      <c r="A234" s="145" t="n"/>
      <c r="B234" s="145" t="n"/>
      <c r="C234" s="145" t="n"/>
      <c r="D234" s="145" t="n"/>
      <c r="E234" s="145" t="n"/>
      <c r="F234" s="145" t="n"/>
      <c r="G234" s="145" t="n"/>
      <c r="H234" s="145" t="n"/>
      <c r="I234" s="145" t="n"/>
      <c r="J234" s="145" t="n"/>
      <c r="K234" s="1" t="n"/>
      <c r="L234" s="1" t="n"/>
      <c r="M234" s="1" t="n"/>
      <c r="N234" s="1" t="n"/>
      <c r="O234" s="1" t="n"/>
      <c r="P234" s="1" t="n"/>
      <c r="Q234" s="1" t="n"/>
      <c r="R234" s="1" t="n"/>
      <c r="S234" s="1" t="n"/>
      <c r="T234" s="1" t="n"/>
      <c r="U234" s="1" t="n"/>
      <c r="V234" s="1" t="n"/>
      <c r="W234" s="1" t="n"/>
      <c r="X234" s="1" t="n"/>
      <c r="Y234" s="1" t="n"/>
      <c r="Z234" s="1" t="n"/>
    </row>
    <row r="235" ht="15.75" customHeight="1" s="311">
      <c r="A235" s="145" t="n"/>
      <c r="B235" s="145" t="n"/>
      <c r="C235" s="145" t="n"/>
      <c r="D235" s="145" t="n"/>
      <c r="E235" s="145" t="n"/>
      <c r="F235" s="145" t="n"/>
      <c r="G235" s="145" t="n"/>
      <c r="H235" s="145" t="n"/>
      <c r="I235" s="145" t="n"/>
      <c r="J235" s="145" t="n"/>
      <c r="K235" s="1" t="n"/>
      <c r="L235" s="1" t="n"/>
      <c r="M235" s="1" t="n"/>
      <c r="N235" s="1" t="n"/>
      <c r="O235" s="1" t="n"/>
      <c r="P235" s="1" t="n"/>
      <c r="Q235" s="1" t="n"/>
      <c r="R235" s="1" t="n"/>
      <c r="S235" s="1" t="n"/>
      <c r="T235" s="1" t="n"/>
      <c r="U235" s="1" t="n"/>
      <c r="V235" s="1" t="n"/>
      <c r="W235" s="1" t="n"/>
      <c r="X235" s="1" t="n"/>
      <c r="Y235" s="1" t="n"/>
      <c r="Z235" s="1" t="n"/>
    </row>
    <row r="236" ht="15.75" customHeight="1" s="311">
      <c r="A236" s="145" t="n"/>
      <c r="B236" s="145" t="n"/>
      <c r="C236" s="145" t="n"/>
      <c r="D236" s="145" t="n"/>
      <c r="E236" s="145" t="n"/>
      <c r="F236" s="145" t="n"/>
      <c r="G236" s="145" t="n"/>
      <c r="H236" s="145" t="n"/>
      <c r="I236" s="145" t="n"/>
      <c r="J236" s="145" t="n"/>
      <c r="K236" s="1" t="n"/>
      <c r="L236" s="1" t="n"/>
      <c r="M236" s="1" t="n"/>
      <c r="N236" s="1" t="n"/>
      <c r="O236" s="1" t="n"/>
      <c r="P236" s="1" t="n"/>
      <c r="Q236" s="1" t="n"/>
      <c r="R236" s="1" t="n"/>
      <c r="S236" s="1" t="n"/>
      <c r="T236" s="1" t="n"/>
      <c r="U236" s="1" t="n"/>
      <c r="V236" s="1" t="n"/>
      <c r="W236" s="1" t="n"/>
      <c r="X236" s="1" t="n"/>
      <c r="Y236" s="1" t="n"/>
      <c r="Z236" s="1" t="n"/>
    </row>
    <row r="237" ht="15.75" customHeight="1" s="311">
      <c r="A237" s="145" t="n"/>
      <c r="B237" s="145" t="n"/>
      <c r="C237" s="145" t="n"/>
      <c r="D237" s="145" t="n"/>
      <c r="E237" s="145" t="n"/>
      <c r="F237" s="145" t="n"/>
      <c r="G237" s="145" t="n"/>
      <c r="H237" s="145" t="n"/>
      <c r="I237" s="145" t="n"/>
      <c r="J237" s="145" t="n"/>
      <c r="K237" s="1" t="n"/>
      <c r="L237" s="1" t="n"/>
      <c r="M237" s="1" t="n"/>
      <c r="N237" s="1" t="n"/>
      <c r="O237" s="1" t="n"/>
      <c r="P237" s="1" t="n"/>
      <c r="Q237" s="1" t="n"/>
      <c r="R237" s="1" t="n"/>
      <c r="S237" s="1" t="n"/>
      <c r="T237" s="1" t="n"/>
      <c r="U237" s="1" t="n"/>
      <c r="V237" s="1" t="n"/>
      <c r="W237" s="1" t="n"/>
      <c r="X237" s="1" t="n"/>
      <c r="Y237" s="1" t="n"/>
      <c r="Z237" s="1" t="n"/>
    </row>
    <row r="238" ht="15.75" customHeight="1" s="311">
      <c r="A238" s="145" t="n"/>
      <c r="B238" s="145" t="n"/>
      <c r="C238" s="145" t="n"/>
      <c r="D238" s="145" t="n"/>
      <c r="E238" s="145" t="n"/>
      <c r="F238" s="145" t="n"/>
      <c r="G238" s="145" t="n"/>
      <c r="H238" s="145" t="n"/>
      <c r="I238" s="145" t="n"/>
      <c r="J238" s="145" t="n"/>
      <c r="K238" s="1" t="n"/>
      <c r="L238" s="1" t="n"/>
      <c r="M238" s="1" t="n"/>
      <c r="N238" s="1" t="n"/>
      <c r="O238" s="1" t="n"/>
      <c r="P238" s="1" t="n"/>
      <c r="Q238" s="1" t="n"/>
      <c r="R238" s="1" t="n"/>
      <c r="S238" s="1" t="n"/>
      <c r="T238" s="1" t="n"/>
      <c r="U238" s="1" t="n"/>
      <c r="V238" s="1" t="n"/>
      <c r="W238" s="1" t="n"/>
      <c r="X238" s="1" t="n"/>
      <c r="Y238" s="1" t="n"/>
      <c r="Z238" s="1" t="n"/>
    </row>
    <row r="239" ht="15.75" customHeight="1" s="311">
      <c r="A239" s="145" t="n"/>
      <c r="B239" s="145" t="n"/>
      <c r="C239" s="145" t="n"/>
      <c r="D239" s="145" t="n"/>
      <c r="E239" s="145" t="n"/>
      <c r="F239" s="145" t="n"/>
      <c r="G239" s="145" t="n"/>
      <c r="H239" s="145" t="n"/>
      <c r="I239" s="145" t="n"/>
      <c r="J239" s="145" t="n"/>
      <c r="K239" s="1" t="n"/>
      <c r="L239" s="1" t="n"/>
      <c r="M239" s="1" t="n"/>
      <c r="N239" s="1" t="n"/>
      <c r="O239" s="1" t="n"/>
      <c r="P239" s="1" t="n"/>
      <c r="Q239" s="1" t="n"/>
      <c r="R239" s="1" t="n"/>
      <c r="S239" s="1" t="n"/>
      <c r="T239" s="1" t="n"/>
      <c r="U239" s="1" t="n"/>
      <c r="V239" s="1" t="n"/>
      <c r="W239" s="1" t="n"/>
      <c r="X239" s="1" t="n"/>
      <c r="Y239" s="1" t="n"/>
      <c r="Z239" s="1" t="n"/>
    </row>
    <row r="240" ht="15.75" customHeight="1" s="311">
      <c r="A240" s="145" t="n"/>
      <c r="B240" s="145" t="n"/>
      <c r="C240" s="145" t="n"/>
      <c r="D240" s="145" t="n"/>
      <c r="E240" s="145" t="n"/>
      <c r="F240" s="145" t="n"/>
      <c r="G240" s="145" t="n"/>
      <c r="H240" s="145" t="n"/>
      <c r="I240" s="145" t="n"/>
      <c r="J240" s="145" t="n"/>
      <c r="K240" s="1" t="n"/>
      <c r="L240" s="1" t="n"/>
      <c r="M240" s="1" t="n"/>
      <c r="N240" s="1" t="n"/>
      <c r="O240" s="1" t="n"/>
      <c r="P240" s="1" t="n"/>
      <c r="Q240" s="1" t="n"/>
      <c r="R240" s="1" t="n"/>
      <c r="S240" s="1" t="n"/>
      <c r="T240" s="1" t="n"/>
      <c r="U240" s="1" t="n"/>
      <c r="V240" s="1" t="n"/>
      <c r="W240" s="1" t="n"/>
      <c r="X240" s="1" t="n"/>
      <c r="Y240" s="1" t="n"/>
      <c r="Z240" s="1" t="n"/>
    </row>
    <row r="241" ht="15.75" customHeight="1" s="311">
      <c r="A241" s="145" t="n"/>
      <c r="B241" s="145" t="n"/>
      <c r="C241" s="145" t="n"/>
      <c r="D241" s="145" t="n"/>
      <c r="E241" s="145" t="n"/>
      <c r="F241" s="145" t="n"/>
      <c r="G241" s="145" t="n"/>
      <c r="H241" s="145" t="n"/>
      <c r="I241" s="145" t="n"/>
      <c r="J241" s="145" t="n"/>
      <c r="K241" s="1" t="n"/>
      <c r="L241" s="1" t="n"/>
      <c r="M241" s="1" t="n"/>
      <c r="N241" s="1" t="n"/>
      <c r="O241" s="1" t="n"/>
      <c r="P241" s="1" t="n"/>
      <c r="Q241" s="1" t="n"/>
      <c r="R241" s="1" t="n"/>
      <c r="S241" s="1" t="n"/>
      <c r="T241" s="1" t="n"/>
      <c r="U241" s="1" t="n"/>
      <c r="V241" s="1" t="n"/>
      <c r="W241" s="1" t="n"/>
      <c r="X241" s="1" t="n"/>
      <c r="Y241" s="1" t="n"/>
      <c r="Z241" s="1" t="n"/>
    </row>
    <row r="242" ht="15.75" customHeight="1" s="311">
      <c r="A242" s="145" t="n"/>
      <c r="B242" s="145" t="n"/>
      <c r="C242" s="145" t="n"/>
      <c r="D242" s="145" t="n"/>
      <c r="E242" s="145" t="n"/>
      <c r="F242" s="145" t="n"/>
      <c r="G242" s="145" t="n"/>
      <c r="H242" s="145" t="n"/>
      <c r="I242" s="145" t="n"/>
      <c r="J242" s="145" t="n"/>
      <c r="K242" s="1" t="n"/>
      <c r="L242" s="1" t="n"/>
      <c r="M242" s="1" t="n"/>
      <c r="N242" s="1" t="n"/>
      <c r="O242" s="1" t="n"/>
      <c r="P242" s="1" t="n"/>
      <c r="Q242" s="1" t="n"/>
      <c r="R242" s="1" t="n"/>
      <c r="S242" s="1" t="n"/>
      <c r="T242" s="1" t="n"/>
      <c r="U242" s="1" t="n"/>
      <c r="V242" s="1" t="n"/>
      <c r="W242" s="1" t="n"/>
      <c r="X242" s="1" t="n"/>
      <c r="Y242" s="1" t="n"/>
      <c r="Z242" s="1" t="n"/>
    </row>
    <row r="243" ht="15.75" customHeight="1" s="311">
      <c r="A243" s="145" t="n"/>
      <c r="B243" s="145" t="n"/>
      <c r="C243" s="145" t="n"/>
      <c r="D243" s="145" t="n"/>
      <c r="E243" s="145" t="n"/>
      <c r="F243" s="145" t="n"/>
      <c r="G243" s="145" t="n"/>
      <c r="H243" s="145" t="n"/>
      <c r="I243" s="145" t="n"/>
      <c r="J243" s="145" t="n"/>
      <c r="K243" s="1" t="n"/>
      <c r="L243" s="1" t="n"/>
      <c r="M243" s="1" t="n"/>
      <c r="N243" s="1" t="n"/>
      <c r="O243" s="1" t="n"/>
      <c r="P243" s="1" t="n"/>
      <c r="Q243" s="1" t="n"/>
      <c r="R243" s="1" t="n"/>
      <c r="S243" s="1" t="n"/>
      <c r="T243" s="1" t="n"/>
      <c r="U243" s="1" t="n"/>
      <c r="V243" s="1" t="n"/>
      <c r="W243" s="1" t="n"/>
      <c r="X243" s="1" t="n"/>
      <c r="Y243" s="1" t="n"/>
      <c r="Z243" s="1" t="n"/>
    </row>
    <row r="244" ht="15.75" customHeight="1" s="311">
      <c r="A244" s="145" t="n"/>
      <c r="B244" s="145" t="n"/>
      <c r="C244" s="145" t="n"/>
      <c r="D244" s="145" t="n"/>
      <c r="E244" s="145" t="n"/>
      <c r="F244" s="145" t="n"/>
      <c r="G244" s="145" t="n"/>
      <c r="H244" s="145" t="n"/>
      <c r="I244" s="145" t="n"/>
      <c r="J244" s="145" t="n"/>
      <c r="K244" s="1" t="n"/>
      <c r="L244" s="1" t="n"/>
      <c r="M244" s="1" t="n"/>
      <c r="N244" s="1" t="n"/>
      <c r="O244" s="1" t="n"/>
      <c r="P244" s="1" t="n"/>
      <c r="Q244" s="1" t="n"/>
      <c r="R244" s="1" t="n"/>
      <c r="S244" s="1" t="n"/>
      <c r="T244" s="1" t="n"/>
      <c r="U244" s="1" t="n"/>
      <c r="V244" s="1" t="n"/>
      <c r="W244" s="1" t="n"/>
      <c r="X244" s="1" t="n"/>
      <c r="Y244" s="1" t="n"/>
      <c r="Z244" s="1" t="n"/>
    </row>
    <row r="245" ht="15.75" customHeight="1" s="311">
      <c r="A245" s="145" t="n"/>
      <c r="B245" s="145" t="n"/>
      <c r="C245" s="145" t="n"/>
      <c r="D245" s="145" t="n"/>
      <c r="E245" s="145" t="n"/>
      <c r="F245" s="145" t="n"/>
      <c r="G245" s="145" t="n"/>
      <c r="H245" s="145" t="n"/>
      <c r="I245" s="145" t="n"/>
      <c r="J245" s="145" t="n"/>
      <c r="K245" s="1" t="n"/>
      <c r="L245" s="1" t="n"/>
      <c r="M245" s="1" t="n"/>
      <c r="N245" s="1" t="n"/>
      <c r="O245" s="1" t="n"/>
      <c r="P245" s="1" t="n"/>
      <c r="Q245" s="1" t="n"/>
      <c r="R245" s="1" t="n"/>
      <c r="S245" s="1" t="n"/>
      <c r="T245" s="1" t="n"/>
      <c r="U245" s="1" t="n"/>
      <c r="V245" s="1" t="n"/>
      <c r="W245" s="1" t="n"/>
      <c r="X245" s="1" t="n"/>
      <c r="Y245" s="1" t="n"/>
      <c r="Z245" s="1" t="n"/>
    </row>
    <row r="246" ht="15.75" customHeight="1" s="311">
      <c r="A246" s="145" t="n"/>
      <c r="B246" s="145" t="n"/>
      <c r="C246" s="145" t="n"/>
      <c r="D246" s="145" t="n"/>
      <c r="E246" s="145" t="n"/>
      <c r="F246" s="145" t="n"/>
      <c r="G246" s="145" t="n"/>
      <c r="H246" s="145" t="n"/>
      <c r="I246" s="145" t="n"/>
      <c r="J246" s="145" t="n"/>
      <c r="K246" s="1" t="n"/>
      <c r="L246" s="1" t="n"/>
      <c r="M246" s="1" t="n"/>
      <c r="N246" s="1" t="n"/>
      <c r="O246" s="1" t="n"/>
      <c r="P246" s="1" t="n"/>
      <c r="Q246" s="1" t="n"/>
      <c r="R246" s="1" t="n"/>
      <c r="S246" s="1" t="n"/>
      <c r="T246" s="1" t="n"/>
      <c r="U246" s="1" t="n"/>
      <c r="V246" s="1" t="n"/>
      <c r="W246" s="1" t="n"/>
      <c r="X246" s="1" t="n"/>
      <c r="Y246" s="1" t="n"/>
      <c r="Z246" s="1" t="n"/>
    </row>
    <row r="247" ht="15.75" customHeight="1" s="311">
      <c r="A247" s="145" t="n"/>
      <c r="B247" s="145" t="n"/>
      <c r="C247" s="145" t="n"/>
      <c r="D247" s="145" t="n"/>
      <c r="E247" s="145" t="n"/>
      <c r="F247" s="145" t="n"/>
      <c r="G247" s="145" t="n"/>
      <c r="H247" s="145" t="n"/>
      <c r="I247" s="145" t="n"/>
      <c r="J247" s="145" t="n"/>
      <c r="K247" s="1" t="n"/>
      <c r="L247" s="1" t="n"/>
      <c r="M247" s="1" t="n"/>
      <c r="N247" s="1" t="n"/>
      <c r="O247" s="1" t="n"/>
      <c r="P247" s="1" t="n"/>
      <c r="Q247" s="1" t="n"/>
      <c r="R247" s="1" t="n"/>
      <c r="S247" s="1" t="n"/>
      <c r="T247" s="1" t="n"/>
      <c r="U247" s="1" t="n"/>
      <c r="V247" s="1" t="n"/>
      <c r="W247" s="1" t="n"/>
      <c r="X247" s="1" t="n"/>
      <c r="Y247" s="1" t="n"/>
      <c r="Z247" s="1" t="n"/>
    </row>
    <row r="248" ht="15.75" customHeight="1" s="311">
      <c r="A248" s="145" t="n"/>
      <c r="B248" s="145" t="n"/>
      <c r="C248" s="145" t="n"/>
      <c r="D248" s="145" t="n"/>
      <c r="E248" s="145" t="n"/>
      <c r="F248" s="145" t="n"/>
      <c r="G248" s="145" t="n"/>
      <c r="H248" s="145" t="n"/>
      <c r="I248" s="145" t="n"/>
      <c r="J248" s="145" t="n"/>
      <c r="K248" s="1" t="n"/>
      <c r="L248" s="1" t="n"/>
      <c r="M248" s="1" t="n"/>
      <c r="N248" s="1" t="n"/>
      <c r="O248" s="1" t="n"/>
      <c r="P248" s="1" t="n"/>
      <c r="Q248" s="1" t="n"/>
      <c r="R248" s="1" t="n"/>
      <c r="S248" s="1" t="n"/>
      <c r="T248" s="1" t="n"/>
      <c r="U248" s="1" t="n"/>
      <c r="V248" s="1" t="n"/>
      <c r="W248" s="1" t="n"/>
      <c r="X248" s="1" t="n"/>
      <c r="Y248" s="1" t="n"/>
      <c r="Z248" s="1" t="n"/>
    </row>
    <row r="249" ht="15.75" customHeight="1" s="311">
      <c r="A249" s="145" t="n"/>
      <c r="B249" s="145" t="n"/>
      <c r="C249" s="145" t="n"/>
      <c r="D249" s="145" t="n"/>
      <c r="E249" s="145" t="n"/>
      <c r="F249" s="145" t="n"/>
      <c r="G249" s="145" t="n"/>
      <c r="H249" s="145" t="n"/>
      <c r="I249" s="145" t="n"/>
      <c r="J249" s="145" t="n"/>
      <c r="K249" s="1" t="n"/>
      <c r="L249" s="1" t="n"/>
      <c r="M249" s="1" t="n"/>
      <c r="N249" s="1" t="n"/>
      <c r="O249" s="1" t="n"/>
      <c r="P249" s="1" t="n"/>
      <c r="Q249" s="1" t="n"/>
      <c r="R249" s="1" t="n"/>
      <c r="S249" s="1" t="n"/>
      <c r="T249" s="1" t="n"/>
      <c r="U249" s="1" t="n"/>
      <c r="V249" s="1" t="n"/>
      <c r="W249" s="1" t="n"/>
      <c r="X249" s="1" t="n"/>
      <c r="Y249" s="1" t="n"/>
      <c r="Z249" s="1" t="n"/>
    </row>
    <row r="250" ht="15.75" customHeight="1" s="311">
      <c r="A250" s="145" t="n"/>
      <c r="B250" s="145" t="n"/>
      <c r="C250" s="145" t="n"/>
      <c r="D250" s="145" t="n"/>
      <c r="E250" s="145" t="n"/>
      <c r="F250" s="145" t="n"/>
      <c r="G250" s="145" t="n"/>
      <c r="H250" s="145" t="n"/>
      <c r="I250" s="145" t="n"/>
      <c r="J250" s="145" t="n"/>
      <c r="K250" s="1" t="n"/>
      <c r="L250" s="1" t="n"/>
      <c r="M250" s="1" t="n"/>
      <c r="N250" s="1" t="n"/>
      <c r="O250" s="1" t="n"/>
      <c r="P250" s="1" t="n"/>
      <c r="Q250" s="1" t="n"/>
      <c r="R250" s="1" t="n"/>
      <c r="S250" s="1" t="n"/>
      <c r="T250" s="1" t="n"/>
      <c r="U250" s="1" t="n"/>
      <c r="V250" s="1" t="n"/>
      <c r="W250" s="1" t="n"/>
      <c r="X250" s="1" t="n"/>
      <c r="Y250" s="1" t="n"/>
      <c r="Z250" s="1" t="n"/>
    </row>
    <row r="251" ht="15.75" customHeight="1" s="311">
      <c r="A251" s="145" t="n"/>
      <c r="B251" s="145" t="n"/>
      <c r="C251" s="145" t="n"/>
      <c r="D251" s="145" t="n"/>
      <c r="E251" s="145" t="n"/>
      <c r="F251" s="145" t="n"/>
      <c r="G251" s="145" t="n"/>
      <c r="H251" s="145" t="n"/>
      <c r="I251" s="145" t="n"/>
      <c r="J251" s="145" t="n"/>
      <c r="K251" s="1" t="n"/>
      <c r="L251" s="1" t="n"/>
      <c r="M251" s="1" t="n"/>
      <c r="N251" s="1" t="n"/>
      <c r="O251" s="1" t="n"/>
      <c r="P251" s="1" t="n"/>
      <c r="Q251" s="1" t="n"/>
      <c r="R251" s="1" t="n"/>
      <c r="S251" s="1" t="n"/>
      <c r="T251" s="1" t="n"/>
      <c r="U251" s="1" t="n"/>
      <c r="V251" s="1" t="n"/>
      <c r="W251" s="1" t="n"/>
      <c r="X251" s="1" t="n"/>
      <c r="Y251" s="1" t="n"/>
      <c r="Z251" s="1" t="n"/>
    </row>
    <row r="252" ht="15.75" customHeight="1" s="311">
      <c r="A252" s="145" t="n"/>
      <c r="B252" s="145" t="n"/>
      <c r="C252" s="145" t="n"/>
      <c r="D252" s="145" t="n"/>
      <c r="E252" s="145" t="n"/>
      <c r="F252" s="145" t="n"/>
      <c r="G252" s="145" t="n"/>
      <c r="H252" s="145" t="n"/>
      <c r="I252" s="145" t="n"/>
      <c r="J252" s="145" t="n"/>
      <c r="K252" s="1" t="n"/>
      <c r="L252" s="1" t="n"/>
      <c r="M252" s="1" t="n"/>
      <c r="N252" s="1" t="n"/>
      <c r="O252" s="1" t="n"/>
      <c r="P252" s="1" t="n"/>
      <c r="Q252" s="1" t="n"/>
      <c r="R252" s="1" t="n"/>
      <c r="S252" s="1" t="n"/>
      <c r="T252" s="1" t="n"/>
      <c r="U252" s="1" t="n"/>
      <c r="V252" s="1" t="n"/>
      <c r="W252" s="1" t="n"/>
      <c r="X252" s="1" t="n"/>
      <c r="Y252" s="1" t="n"/>
      <c r="Z252" s="1" t="n"/>
    </row>
    <row r="253" ht="15.75" customHeight="1" s="311">
      <c r="A253" s="145" t="n"/>
      <c r="B253" s="145" t="n"/>
      <c r="C253" s="145" t="n"/>
      <c r="D253" s="145" t="n"/>
      <c r="E253" s="145" t="n"/>
      <c r="F253" s="145" t="n"/>
      <c r="G253" s="145" t="n"/>
      <c r="H253" s="145" t="n"/>
      <c r="I253" s="145" t="n"/>
      <c r="J253" s="145" t="n"/>
      <c r="K253" s="1" t="n"/>
      <c r="L253" s="1" t="n"/>
      <c r="M253" s="1" t="n"/>
      <c r="N253" s="1" t="n"/>
      <c r="O253" s="1" t="n"/>
      <c r="P253" s="1" t="n"/>
      <c r="Q253" s="1" t="n"/>
      <c r="R253" s="1" t="n"/>
      <c r="S253" s="1" t="n"/>
      <c r="T253" s="1" t="n"/>
      <c r="U253" s="1" t="n"/>
      <c r="V253" s="1" t="n"/>
      <c r="W253" s="1" t="n"/>
      <c r="X253" s="1" t="n"/>
      <c r="Y253" s="1" t="n"/>
      <c r="Z253" s="1" t="n"/>
    </row>
    <row r="254" ht="15.75" customHeight="1" s="311">
      <c r="A254" s="145" t="n"/>
      <c r="B254" s="145" t="n"/>
      <c r="C254" s="145" t="n"/>
      <c r="D254" s="145" t="n"/>
      <c r="E254" s="145" t="n"/>
      <c r="F254" s="145" t="n"/>
      <c r="G254" s="145" t="n"/>
      <c r="H254" s="145" t="n"/>
      <c r="I254" s="145" t="n"/>
      <c r="J254" s="145" t="n"/>
      <c r="K254" s="1" t="n"/>
      <c r="L254" s="1" t="n"/>
      <c r="M254" s="1" t="n"/>
      <c r="N254" s="1" t="n"/>
      <c r="O254" s="1" t="n"/>
      <c r="P254" s="1" t="n"/>
      <c r="Q254" s="1" t="n"/>
      <c r="R254" s="1" t="n"/>
      <c r="S254" s="1" t="n"/>
      <c r="T254" s="1" t="n"/>
      <c r="U254" s="1" t="n"/>
      <c r="V254" s="1" t="n"/>
      <c r="W254" s="1" t="n"/>
      <c r="X254" s="1" t="n"/>
      <c r="Y254" s="1" t="n"/>
      <c r="Z254" s="1" t="n"/>
    </row>
    <row r="255" ht="15.75" customHeight="1" s="311">
      <c r="A255" s="145" t="n"/>
      <c r="B255" s="145" t="n"/>
      <c r="C255" s="145" t="n"/>
      <c r="D255" s="145" t="n"/>
      <c r="E255" s="145" t="n"/>
      <c r="F255" s="145" t="n"/>
      <c r="G255" s="145" t="n"/>
      <c r="H255" s="145" t="n"/>
      <c r="I255" s="145" t="n"/>
      <c r="J255" s="145" t="n"/>
      <c r="K255" s="1" t="n"/>
      <c r="L255" s="1" t="n"/>
      <c r="M255" s="1" t="n"/>
      <c r="N255" s="1" t="n"/>
      <c r="O255" s="1" t="n"/>
      <c r="P255" s="1" t="n"/>
      <c r="Q255" s="1" t="n"/>
      <c r="R255" s="1" t="n"/>
      <c r="S255" s="1" t="n"/>
      <c r="T255" s="1" t="n"/>
      <c r="U255" s="1" t="n"/>
      <c r="V255" s="1" t="n"/>
      <c r="W255" s="1" t="n"/>
      <c r="X255" s="1" t="n"/>
      <c r="Y255" s="1" t="n"/>
      <c r="Z255" s="1" t="n"/>
    </row>
    <row r="256" ht="15.75" customHeight="1" s="311">
      <c r="A256" s="145" t="n"/>
      <c r="B256" s="145" t="n"/>
      <c r="C256" s="145" t="n"/>
      <c r="D256" s="145" t="n"/>
      <c r="E256" s="145" t="n"/>
      <c r="F256" s="145" t="n"/>
      <c r="G256" s="145" t="n"/>
      <c r="H256" s="145" t="n"/>
      <c r="I256" s="145" t="n"/>
      <c r="J256" s="145" t="n"/>
      <c r="K256" s="1" t="n"/>
      <c r="L256" s="1" t="n"/>
      <c r="M256" s="1" t="n"/>
      <c r="N256" s="1" t="n"/>
      <c r="O256" s="1" t="n"/>
      <c r="P256" s="1" t="n"/>
      <c r="Q256" s="1" t="n"/>
      <c r="R256" s="1" t="n"/>
      <c r="S256" s="1" t="n"/>
      <c r="T256" s="1" t="n"/>
      <c r="U256" s="1" t="n"/>
      <c r="V256" s="1" t="n"/>
      <c r="W256" s="1" t="n"/>
      <c r="X256" s="1" t="n"/>
      <c r="Y256" s="1" t="n"/>
      <c r="Z256" s="1" t="n"/>
    </row>
    <row r="257" ht="15.75" customHeight="1" s="311">
      <c r="A257" s="145" t="n"/>
      <c r="B257" s="145" t="n"/>
      <c r="C257" s="145" t="n"/>
      <c r="D257" s="145" t="n"/>
      <c r="E257" s="145" t="n"/>
      <c r="F257" s="145" t="n"/>
      <c r="G257" s="145" t="n"/>
      <c r="H257" s="145" t="n"/>
      <c r="I257" s="145" t="n"/>
      <c r="J257" s="145" t="n"/>
      <c r="K257" s="1" t="n"/>
      <c r="L257" s="1" t="n"/>
      <c r="M257" s="1" t="n"/>
      <c r="N257" s="1" t="n"/>
      <c r="O257" s="1" t="n"/>
      <c r="P257" s="1" t="n"/>
      <c r="Q257" s="1" t="n"/>
      <c r="R257" s="1" t="n"/>
      <c r="S257" s="1" t="n"/>
      <c r="T257" s="1" t="n"/>
      <c r="U257" s="1" t="n"/>
      <c r="V257" s="1" t="n"/>
      <c r="W257" s="1" t="n"/>
      <c r="X257" s="1" t="n"/>
      <c r="Y257" s="1" t="n"/>
      <c r="Z257" s="1" t="n"/>
    </row>
    <row r="258" ht="15.75" customHeight="1" s="311">
      <c r="A258" s="145" t="n"/>
      <c r="B258" s="145" t="n"/>
      <c r="C258" s="145" t="n"/>
      <c r="D258" s="145" t="n"/>
      <c r="E258" s="145" t="n"/>
      <c r="F258" s="145" t="n"/>
      <c r="G258" s="145" t="n"/>
      <c r="H258" s="145" t="n"/>
      <c r="I258" s="145" t="n"/>
      <c r="J258" s="145" t="n"/>
      <c r="K258" s="1" t="n"/>
      <c r="L258" s="1" t="n"/>
      <c r="M258" s="1" t="n"/>
      <c r="N258" s="1" t="n"/>
      <c r="O258" s="1" t="n"/>
      <c r="P258" s="1" t="n"/>
      <c r="Q258" s="1" t="n"/>
      <c r="R258" s="1" t="n"/>
      <c r="S258" s="1" t="n"/>
      <c r="T258" s="1" t="n"/>
      <c r="U258" s="1" t="n"/>
      <c r="V258" s="1" t="n"/>
      <c r="W258" s="1" t="n"/>
      <c r="X258" s="1" t="n"/>
      <c r="Y258" s="1" t="n"/>
      <c r="Z258" s="1" t="n"/>
    </row>
    <row r="259" ht="15.75" customHeight="1" s="311">
      <c r="A259" s="145" t="n"/>
      <c r="B259" s="145" t="n"/>
      <c r="C259" s="145" t="n"/>
      <c r="D259" s="145" t="n"/>
      <c r="E259" s="145" t="n"/>
      <c r="F259" s="145" t="n"/>
      <c r="G259" s="145" t="n"/>
      <c r="H259" s="145" t="n"/>
      <c r="I259" s="145" t="n"/>
      <c r="J259" s="145" t="n"/>
      <c r="K259" s="1" t="n"/>
      <c r="L259" s="1" t="n"/>
      <c r="M259" s="1" t="n"/>
      <c r="N259" s="1" t="n"/>
      <c r="O259" s="1" t="n"/>
      <c r="P259" s="1" t="n"/>
      <c r="Q259" s="1" t="n"/>
      <c r="R259" s="1" t="n"/>
      <c r="S259" s="1" t="n"/>
      <c r="T259" s="1" t="n"/>
      <c r="U259" s="1" t="n"/>
      <c r="V259" s="1" t="n"/>
      <c r="W259" s="1" t="n"/>
      <c r="X259" s="1" t="n"/>
      <c r="Y259" s="1" t="n"/>
      <c r="Z259" s="1" t="n"/>
    </row>
    <row r="260" ht="15.75" customHeight="1" s="311">
      <c r="A260" s="145" t="n"/>
      <c r="B260" s="145" t="n"/>
      <c r="C260" s="145" t="n"/>
      <c r="D260" s="145" t="n"/>
      <c r="E260" s="145" t="n"/>
      <c r="F260" s="145" t="n"/>
      <c r="G260" s="145" t="n"/>
      <c r="H260" s="145" t="n"/>
      <c r="I260" s="145" t="n"/>
      <c r="J260" s="145" t="n"/>
      <c r="K260" s="1" t="n"/>
      <c r="L260" s="1" t="n"/>
      <c r="M260" s="1" t="n"/>
      <c r="N260" s="1" t="n"/>
      <c r="O260" s="1" t="n"/>
      <c r="P260" s="1" t="n"/>
      <c r="Q260" s="1" t="n"/>
      <c r="R260" s="1" t="n"/>
      <c r="S260" s="1" t="n"/>
      <c r="T260" s="1" t="n"/>
      <c r="U260" s="1" t="n"/>
      <c r="V260" s="1" t="n"/>
      <c r="W260" s="1" t="n"/>
      <c r="X260" s="1" t="n"/>
      <c r="Y260" s="1" t="n"/>
      <c r="Z260" s="1" t="n"/>
    </row>
    <row r="261" ht="15.75" customHeight="1" s="311">
      <c r="A261" s="145" t="n"/>
      <c r="B261" s="145" t="n"/>
      <c r="C261" s="145" t="n"/>
      <c r="D261" s="145" t="n"/>
      <c r="E261" s="145" t="n"/>
      <c r="F261" s="145" t="n"/>
      <c r="G261" s="145" t="n"/>
      <c r="H261" s="145" t="n"/>
      <c r="I261" s="145" t="n"/>
      <c r="J261" s="145" t="n"/>
      <c r="K261" s="1" t="n"/>
      <c r="L261" s="1" t="n"/>
      <c r="M261" s="1" t="n"/>
      <c r="N261" s="1" t="n"/>
      <c r="O261" s="1" t="n"/>
      <c r="P261" s="1" t="n"/>
      <c r="Q261" s="1" t="n"/>
      <c r="R261" s="1" t="n"/>
      <c r="S261" s="1" t="n"/>
      <c r="T261" s="1" t="n"/>
      <c r="U261" s="1" t="n"/>
      <c r="V261" s="1" t="n"/>
      <c r="W261" s="1" t="n"/>
      <c r="X261" s="1" t="n"/>
      <c r="Y261" s="1" t="n"/>
      <c r="Z261" s="1" t="n"/>
    </row>
    <row r="262" ht="15.75" customHeight="1" s="311">
      <c r="A262" s="145" t="n"/>
      <c r="B262" s="145" t="n"/>
      <c r="C262" s="145" t="n"/>
      <c r="D262" s="145" t="n"/>
      <c r="E262" s="145" t="n"/>
      <c r="F262" s="145" t="n"/>
      <c r="G262" s="145" t="n"/>
      <c r="H262" s="145" t="n"/>
      <c r="I262" s="145" t="n"/>
      <c r="J262" s="145" t="n"/>
      <c r="K262" s="1" t="n"/>
      <c r="L262" s="1" t="n"/>
      <c r="M262" s="1" t="n"/>
      <c r="N262" s="1" t="n"/>
      <c r="O262" s="1" t="n"/>
      <c r="P262" s="1" t="n"/>
      <c r="Q262" s="1" t="n"/>
      <c r="R262" s="1" t="n"/>
      <c r="S262" s="1" t="n"/>
      <c r="T262" s="1" t="n"/>
      <c r="U262" s="1" t="n"/>
      <c r="V262" s="1" t="n"/>
      <c r="W262" s="1" t="n"/>
      <c r="X262" s="1" t="n"/>
      <c r="Y262" s="1" t="n"/>
      <c r="Z262" s="1" t="n"/>
    </row>
    <row r="263" ht="15.75" customHeight="1" s="311">
      <c r="A263" s="145" t="n"/>
      <c r="B263" s="145" t="n"/>
      <c r="C263" s="145" t="n"/>
      <c r="D263" s="145" t="n"/>
      <c r="E263" s="145" t="n"/>
      <c r="F263" s="145" t="n"/>
      <c r="G263" s="145" t="n"/>
      <c r="H263" s="145" t="n"/>
      <c r="I263" s="145" t="n"/>
      <c r="J263" s="145" t="n"/>
      <c r="K263" s="1" t="n"/>
      <c r="L263" s="1" t="n"/>
      <c r="M263" s="1" t="n"/>
      <c r="N263" s="1" t="n"/>
      <c r="O263" s="1" t="n"/>
      <c r="P263" s="1" t="n"/>
      <c r="Q263" s="1" t="n"/>
      <c r="R263" s="1" t="n"/>
      <c r="S263" s="1" t="n"/>
      <c r="T263" s="1" t="n"/>
      <c r="U263" s="1" t="n"/>
      <c r="V263" s="1" t="n"/>
      <c r="W263" s="1" t="n"/>
      <c r="X263" s="1" t="n"/>
      <c r="Y263" s="1" t="n"/>
      <c r="Z263" s="1" t="n"/>
    </row>
    <row r="264" ht="15.75" customHeight="1" s="311">
      <c r="A264" s="145" t="n"/>
      <c r="B264" s="145" t="n"/>
      <c r="C264" s="145" t="n"/>
      <c r="D264" s="145" t="n"/>
      <c r="E264" s="145" t="n"/>
      <c r="F264" s="145" t="n"/>
      <c r="G264" s="145" t="n"/>
      <c r="H264" s="145" t="n"/>
      <c r="I264" s="145" t="n"/>
      <c r="J264" s="145" t="n"/>
      <c r="K264" s="1" t="n"/>
      <c r="L264" s="1" t="n"/>
      <c r="M264" s="1" t="n"/>
      <c r="N264" s="1" t="n"/>
      <c r="O264" s="1" t="n"/>
      <c r="P264" s="1" t="n"/>
      <c r="Q264" s="1" t="n"/>
      <c r="R264" s="1" t="n"/>
      <c r="S264" s="1" t="n"/>
      <c r="T264" s="1" t="n"/>
      <c r="U264" s="1" t="n"/>
      <c r="V264" s="1" t="n"/>
      <c r="W264" s="1" t="n"/>
      <c r="X264" s="1" t="n"/>
      <c r="Y264" s="1" t="n"/>
      <c r="Z264" s="1" t="n"/>
    </row>
    <row r="265" ht="15.75" customHeight="1" s="311">
      <c r="A265" s="145" t="n"/>
      <c r="B265" s="145" t="n"/>
      <c r="C265" s="145" t="n"/>
      <c r="D265" s="145" t="n"/>
      <c r="E265" s="145" t="n"/>
      <c r="F265" s="145" t="n"/>
      <c r="G265" s="145" t="n"/>
      <c r="H265" s="145" t="n"/>
      <c r="I265" s="145" t="n"/>
      <c r="J265" s="145" t="n"/>
      <c r="K265" s="1" t="n"/>
      <c r="L265" s="1" t="n"/>
      <c r="M265" s="1" t="n"/>
      <c r="N265" s="1" t="n"/>
      <c r="O265" s="1" t="n"/>
      <c r="P265" s="1" t="n"/>
      <c r="Q265" s="1" t="n"/>
      <c r="R265" s="1" t="n"/>
      <c r="S265" s="1" t="n"/>
      <c r="T265" s="1" t="n"/>
      <c r="U265" s="1" t="n"/>
      <c r="V265" s="1" t="n"/>
      <c r="W265" s="1" t="n"/>
      <c r="X265" s="1" t="n"/>
      <c r="Y265" s="1" t="n"/>
      <c r="Z265" s="1" t="n"/>
    </row>
    <row r="266" ht="15.75" customHeight="1" s="311">
      <c r="A266" s="145" t="n"/>
      <c r="B266" s="145" t="n"/>
      <c r="C266" s="145" t="n"/>
      <c r="D266" s="145" t="n"/>
      <c r="E266" s="145" t="n"/>
      <c r="F266" s="145" t="n"/>
      <c r="G266" s="145" t="n"/>
      <c r="H266" s="145" t="n"/>
      <c r="I266" s="145" t="n"/>
      <c r="J266" s="145" t="n"/>
      <c r="K266" s="1" t="n"/>
      <c r="L266" s="1" t="n"/>
      <c r="M266" s="1" t="n"/>
      <c r="N266" s="1" t="n"/>
      <c r="O266" s="1" t="n"/>
      <c r="P266" s="1" t="n"/>
      <c r="Q266" s="1" t="n"/>
      <c r="R266" s="1" t="n"/>
      <c r="S266" s="1" t="n"/>
      <c r="T266" s="1" t="n"/>
      <c r="U266" s="1" t="n"/>
      <c r="V266" s="1" t="n"/>
      <c r="W266" s="1" t="n"/>
      <c r="X266" s="1" t="n"/>
      <c r="Y266" s="1" t="n"/>
      <c r="Z266" s="1" t="n"/>
    </row>
    <row r="267" ht="15.75" customHeight="1" s="311">
      <c r="A267" s="145" t="n"/>
      <c r="B267" s="145" t="n"/>
      <c r="C267" s="145" t="n"/>
      <c r="D267" s="145" t="n"/>
      <c r="E267" s="145" t="n"/>
      <c r="F267" s="145" t="n"/>
      <c r="G267" s="145" t="n"/>
      <c r="H267" s="145" t="n"/>
      <c r="I267" s="145" t="n"/>
      <c r="J267" s="145" t="n"/>
      <c r="K267" s="1" t="n"/>
      <c r="L267" s="1" t="n"/>
      <c r="M267" s="1" t="n"/>
      <c r="N267" s="1" t="n"/>
      <c r="O267" s="1" t="n"/>
      <c r="P267" s="1" t="n"/>
      <c r="Q267" s="1" t="n"/>
      <c r="R267" s="1" t="n"/>
      <c r="S267" s="1" t="n"/>
      <c r="T267" s="1" t="n"/>
      <c r="U267" s="1" t="n"/>
      <c r="V267" s="1" t="n"/>
      <c r="W267" s="1" t="n"/>
      <c r="X267" s="1" t="n"/>
      <c r="Y267" s="1" t="n"/>
      <c r="Z267" s="1" t="n"/>
    </row>
    <row r="268" ht="15.75" customHeight="1" s="311">
      <c r="A268" s="145" t="n"/>
      <c r="B268" s="145" t="n"/>
      <c r="C268" s="145" t="n"/>
      <c r="D268" s="145" t="n"/>
      <c r="E268" s="145" t="n"/>
      <c r="F268" s="145" t="n"/>
      <c r="G268" s="145" t="n"/>
      <c r="H268" s="145" t="n"/>
      <c r="I268" s="145" t="n"/>
      <c r="J268" s="145" t="n"/>
      <c r="K268" s="1" t="n"/>
      <c r="L268" s="1" t="n"/>
      <c r="M268" s="1" t="n"/>
      <c r="N268" s="1" t="n"/>
      <c r="O268" s="1" t="n"/>
      <c r="P268" s="1" t="n"/>
      <c r="Q268" s="1" t="n"/>
      <c r="R268" s="1" t="n"/>
      <c r="S268" s="1" t="n"/>
      <c r="T268" s="1" t="n"/>
      <c r="U268" s="1" t="n"/>
      <c r="V268" s="1" t="n"/>
      <c r="W268" s="1" t="n"/>
      <c r="X268" s="1" t="n"/>
      <c r="Y268" s="1" t="n"/>
      <c r="Z268" s="1" t="n"/>
    </row>
    <row r="269" ht="15.75" customHeight="1" s="311">
      <c r="A269" s="145" t="n"/>
      <c r="B269" s="145" t="n"/>
      <c r="C269" s="145" t="n"/>
      <c r="D269" s="145" t="n"/>
      <c r="E269" s="145" t="n"/>
      <c r="F269" s="145" t="n"/>
      <c r="G269" s="145" t="n"/>
      <c r="H269" s="145" t="n"/>
      <c r="I269" s="145" t="n"/>
      <c r="J269" s="145" t="n"/>
      <c r="K269" s="1" t="n"/>
      <c r="L269" s="1" t="n"/>
      <c r="M269" s="1" t="n"/>
      <c r="N269" s="1" t="n"/>
      <c r="O269" s="1" t="n"/>
      <c r="P269" s="1" t="n"/>
      <c r="Q269" s="1" t="n"/>
      <c r="R269" s="1" t="n"/>
      <c r="S269" s="1" t="n"/>
      <c r="T269" s="1" t="n"/>
      <c r="U269" s="1" t="n"/>
      <c r="V269" s="1" t="n"/>
      <c r="W269" s="1" t="n"/>
      <c r="X269" s="1" t="n"/>
      <c r="Y269" s="1" t="n"/>
      <c r="Z269" s="1" t="n"/>
    </row>
    <row r="270" ht="15.75" customHeight="1" s="311">
      <c r="A270" s="145" t="n"/>
      <c r="B270" s="145" t="n"/>
      <c r="C270" s="145" t="n"/>
      <c r="D270" s="145" t="n"/>
      <c r="E270" s="145" t="n"/>
      <c r="F270" s="145" t="n"/>
      <c r="G270" s="145" t="n"/>
      <c r="H270" s="145" t="n"/>
      <c r="I270" s="145" t="n"/>
      <c r="J270" s="145" t="n"/>
      <c r="K270" s="1" t="n"/>
      <c r="L270" s="1" t="n"/>
      <c r="M270" s="1" t="n"/>
      <c r="N270" s="1" t="n"/>
      <c r="O270" s="1" t="n"/>
      <c r="P270" s="1" t="n"/>
      <c r="Q270" s="1" t="n"/>
      <c r="R270" s="1" t="n"/>
      <c r="S270" s="1" t="n"/>
      <c r="T270" s="1" t="n"/>
      <c r="U270" s="1" t="n"/>
      <c r="V270" s="1" t="n"/>
      <c r="W270" s="1" t="n"/>
      <c r="X270" s="1" t="n"/>
      <c r="Y270" s="1" t="n"/>
      <c r="Z270" s="1" t="n"/>
    </row>
    <row r="271" ht="15.75" customHeight="1" s="311">
      <c r="A271" s="145" t="n"/>
      <c r="B271" s="145" t="n"/>
      <c r="C271" s="145" t="n"/>
      <c r="D271" s="145" t="n"/>
      <c r="E271" s="145" t="n"/>
      <c r="F271" s="145" t="n"/>
      <c r="G271" s="145" t="n"/>
      <c r="H271" s="145" t="n"/>
      <c r="I271" s="145" t="n"/>
      <c r="J271" s="145" t="n"/>
      <c r="K271" s="1" t="n"/>
      <c r="L271" s="1" t="n"/>
      <c r="M271" s="1" t="n"/>
      <c r="N271" s="1" t="n"/>
      <c r="O271" s="1" t="n"/>
      <c r="P271" s="1" t="n"/>
      <c r="Q271" s="1" t="n"/>
      <c r="R271" s="1" t="n"/>
      <c r="S271" s="1" t="n"/>
      <c r="T271" s="1" t="n"/>
      <c r="U271" s="1" t="n"/>
      <c r="V271" s="1" t="n"/>
      <c r="W271" s="1" t="n"/>
      <c r="X271" s="1" t="n"/>
      <c r="Y271" s="1" t="n"/>
      <c r="Z271" s="1" t="n"/>
    </row>
    <row r="272" ht="15.75" customHeight="1" s="311">
      <c r="A272" s="145" t="n"/>
      <c r="B272" s="145" t="n"/>
      <c r="C272" s="145" t="n"/>
      <c r="D272" s="145" t="n"/>
      <c r="E272" s="145" t="n"/>
      <c r="F272" s="145" t="n"/>
      <c r="G272" s="145" t="n"/>
      <c r="H272" s="145" t="n"/>
      <c r="I272" s="145" t="n"/>
      <c r="J272" s="145" t="n"/>
      <c r="K272" s="1" t="n"/>
      <c r="L272" s="1" t="n"/>
      <c r="M272" s="1" t="n"/>
      <c r="N272" s="1" t="n"/>
      <c r="O272" s="1" t="n"/>
      <c r="P272" s="1" t="n"/>
      <c r="Q272" s="1" t="n"/>
      <c r="R272" s="1" t="n"/>
      <c r="S272" s="1" t="n"/>
      <c r="T272" s="1" t="n"/>
      <c r="U272" s="1" t="n"/>
      <c r="V272" s="1" t="n"/>
      <c r="W272" s="1" t="n"/>
      <c r="X272" s="1" t="n"/>
      <c r="Y272" s="1" t="n"/>
      <c r="Z272" s="1" t="n"/>
    </row>
    <row r="273" ht="15.75" customHeight="1" s="311">
      <c r="A273" s="145" t="n"/>
      <c r="B273" s="145" t="n"/>
      <c r="C273" s="145" t="n"/>
      <c r="D273" s="145" t="n"/>
      <c r="E273" s="145" t="n"/>
      <c r="F273" s="145" t="n"/>
      <c r="G273" s="145" t="n"/>
      <c r="H273" s="145" t="n"/>
      <c r="I273" s="145" t="n"/>
      <c r="J273" s="145" t="n"/>
      <c r="K273" s="1" t="n"/>
      <c r="L273" s="1" t="n"/>
      <c r="M273" s="1" t="n"/>
      <c r="N273" s="1" t="n"/>
      <c r="O273" s="1" t="n"/>
      <c r="P273" s="1" t="n"/>
      <c r="Q273" s="1" t="n"/>
      <c r="R273" s="1" t="n"/>
      <c r="S273" s="1" t="n"/>
      <c r="T273" s="1" t="n"/>
      <c r="U273" s="1" t="n"/>
      <c r="V273" s="1" t="n"/>
      <c r="W273" s="1" t="n"/>
      <c r="X273" s="1" t="n"/>
      <c r="Y273" s="1" t="n"/>
      <c r="Z273" s="1" t="n"/>
    </row>
    <row r="274" ht="15.75" customHeight="1" s="311">
      <c r="A274" s="145" t="n"/>
      <c r="B274" s="145" t="n"/>
      <c r="C274" s="145" t="n"/>
      <c r="D274" s="145" t="n"/>
      <c r="E274" s="145" t="n"/>
      <c r="F274" s="145" t="n"/>
      <c r="G274" s="145" t="n"/>
      <c r="H274" s="145" t="n"/>
      <c r="I274" s="145" t="n"/>
      <c r="J274" s="145" t="n"/>
      <c r="K274" s="1" t="n"/>
      <c r="L274" s="1" t="n"/>
      <c r="M274" s="1" t="n"/>
      <c r="N274" s="1" t="n"/>
      <c r="O274" s="1" t="n"/>
      <c r="P274" s="1" t="n"/>
      <c r="Q274" s="1" t="n"/>
      <c r="R274" s="1" t="n"/>
      <c r="S274" s="1" t="n"/>
      <c r="T274" s="1" t="n"/>
      <c r="U274" s="1" t="n"/>
      <c r="V274" s="1" t="n"/>
      <c r="W274" s="1" t="n"/>
      <c r="X274" s="1" t="n"/>
      <c r="Y274" s="1" t="n"/>
      <c r="Z274" s="1" t="n"/>
    </row>
    <row r="275" ht="15.75" customHeight="1" s="311">
      <c r="A275" s="145" t="n"/>
      <c r="B275" s="145" t="n"/>
      <c r="C275" s="145" t="n"/>
      <c r="D275" s="145" t="n"/>
      <c r="E275" s="145" t="n"/>
      <c r="F275" s="145" t="n"/>
      <c r="G275" s="145" t="n"/>
      <c r="H275" s="145" t="n"/>
      <c r="I275" s="145" t="n"/>
      <c r="J275" s="145" t="n"/>
      <c r="K275" s="1" t="n"/>
      <c r="L275" s="1" t="n"/>
      <c r="M275" s="1" t="n"/>
      <c r="N275" s="1" t="n"/>
      <c r="O275" s="1" t="n"/>
      <c r="P275" s="1" t="n"/>
      <c r="Q275" s="1" t="n"/>
      <c r="R275" s="1" t="n"/>
      <c r="S275" s="1" t="n"/>
      <c r="T275" s="1" t="n"/>
      <c r="U275" s="1" t="n"/>
      <c r="V275" s="1" t="n"/>
      <c r="W275" s="1" t="n"/>
      <c r="X275" s="1" t="n"/>
      <c r="Y275" s="1" t="n"/>
      <c r="Z275" s="1" t="n"/>
    </row>
    <row r="276" ht="15.75" customHeight="1" s="311">
      <c r="A276" s="145" t="n"/>
      <c r="B276" s="145" t="n"/>
      <c r="C276" s="145" t="n"/>
      <c r="D276" s="145" t="n"/>
      <c r="E276" s="145" t="n"/>
      <c r="F276" s="145" t="n"/>
      <c r="G276" s="145" t="n"/>
      <c r="H276" s="145" t="n"/>
      <c r="I276" s="145" t="n"/>
      <c r="J276" s="145" t="n"/>
      <c r="K276" s="1" t="n"/>
      <c r="L276" s="1" t="n"/>
      <c r="M276" s="1" t="n"/>
      <c r="N276" s="1" t="n"/>
      <c r="O276" s="1" t="n"/>
      <c r="P276" s="1" t="n"/>
      <c r="Q276" s="1" t="n"/>
      <c r="R276" s="1" t="n"/>
      <c r="S276" s="1" t="n"/>
      <c r="T276" s="1" t="n"/>
      <c r="U276" s="1" t="n"/>
      <c r="V276" s="1" t="n"/>
      <c r="W276" s="1" t="n"/>
      <c r="X276" s="1" t="n"/>
      <c r="Y276" s="1" t="n"/>
      <c r="Z276" s="1" t="n"/>
    </row>
    <row r="277" ht="15.75" customHeight="1" s="311">
      <c r="A277" s="145" t="n"/>
      <c r="B277" s="145" t="n"/>
      <c r="C277" s="145" t="n"/>
      <c r="D277" s="145" t="n"/>
      <c r="E277" s="145" t="n"/>
      <c r="F277" s="145" t="n"/>
      <c r="G277" s="145" t="n"/>
      <c r="H277" s="145" t="n"/>
      <c r="I277" s="145" t="n"/>
      <c r="J277" s="145" t="n"/>
      <c r="K277" s="1" t="n"/>
      <c r="L277" s="1" t="n"/>
      <c r="M277" s="1" t="n"/>
      <c r="N277" s="1" t="n"/>
      <c r="O277" s="1" t="n"/>
      <c r="P277" s="1" t="n"/>
      <c r="Q277" s="1" t="n"/>
      <c r="R277" s="1" t="n"/>
      <c r="S277" s="1" t="n"/>
      <c r="T277" s="1" t="n"/>
      <c r="U277" s="1" t="n"/>
      <c r="V277" s="1" t="n"/>
      <c r="W277" s="1" t="n"/>
      <c r="X277" s="1" t="n"/>
      <c r="Y277" s="1" t="n"/>
      <c r="Z277" s="1" t="n"/>
    </row>
    <row r="278" ht="15.75" customHeight="1" s="311">
      <c r="A278" s="145" t="n"/>
      <c r="B278" s="145" t="n"/>
      <c r="C278" s="145" t="n"/>
      <c r="D278" s="145" t="n"/>
      <c r="E278" s="145" t="n"/>
      <c r="F278" s="145" t="n"/>
      <c r="G278" s="145" t="n"/>
      <c r="H278" s="145" t="n"/>
      <c r="I278" s="145" t="n"/>
      <c r="J278" s="145" t="n"/>
      <c r="K278" s="1" t="n"/>
      <c r="L278" s="1" t="n"/>
      <c r="M278" s="1" t="n"/>
      <c r="N278" s="1" t="n"/>
      <c r="O278" s="1" t="n"/>
      <c r="P278" s="1" t="n"/>
      <c r="Q278" s="1" t="n"/>
      <c r="R278" s="1" t="n"/>
      <c r="S278" s="1" t="n"/>
      <c r="T278" s="1" t="n"/>
      <c r="U278" s="1" t="n"/>
      <c r="V278" s="1" t="n"/>
      <c r="W278" s="1" t="n"/>
      <c r="X278" s="1" t="n"/>
      <c r="Y278" s="1" t="n"/>
      <c r="Z278" s="1" t="n"/>
    </row>
    <row r="279" ht="15.75" customHeight="1" s="311">
      <c r="A279" s="145" t="n"/>
      <c r="B279" s="145" t="n"/>
      <c r="C279" s="145" t="n"/>
      <c r="D279" s="145" t="n"/>
      <c r="E279" s="145" t="n"/>
      <c r="F279" s="145" t="n"/>
      <c r="G279" s="145" t="n"/>
      <c r="H279" s="145" t="n"/>
      <c r="I279" s="145" t="n"/>
      <c r="J279" s="145" t="n"/>
      <c r="K279" s="1" t="n"/>
      <c r="L279" s="1" t="n"/>
      <c r="M279" s="1" t="n"/>
      <c r="N279" s="1" t="n"/>
      <c r="O279" s="1" t="n"/>
      <c r="P279" s="1" t="n"/>
      <c r="Q279" s="1" t="n"/>
      <c r="R279" s="1" t="n"/>
      <c r="S279" s="1" t="n"/>
      <c r="T279" s="1" t="n"/>
      <c r="U279" s="1" t="n"/>
      <c r="V279" s="1" t="n"/>
      <c r="W279" s="1" t="n"/>
      <c r="X279" s="1" t="n"/>
      <c r="Y279" s="1" t="n"/>
      <c r="Z279" s="1" t="n"/>
    </row>
    <row r="280" ht="15.75" customHeight="1" s="311">
      <c r="A280" s="145" t="n"/>
      <c r="B280" s="145" t="n"/>
      <c r="C280" s="145" t="n"/>
      <c r="D280" s="145" t="n"/>
      <c r="E280" s="145" t="n"/>
      <c r="F280" s="145" t="n"/>
      <c r="G280" s="145" t="n"/>
      <c r="H280" s="145" t="n"/>
      <c r="I280" s="145" t="n"/>
      <c r="J280" s="145" t="n"/>
      <c r="K280" s="1" t="n"/>
      <c r="L280" s="1" t="n"/>
      <c r="M280" s="1" t="n"/>
      <c r="N280" s="1" t="n"/>
      <c r="O280" s="1" t="n"/>
      <c r="P280" s="1" t="n"/>
      <c r="Q280" s="1" t="n"/>
      <c r="R280" s="1" t="n"/>
      <c r="S280" s="1" t="n"/>
      <c r="T280" s="1" t="n"/>
      <c r="U280" s="1" t="n"/>
      <c r="V280" s="1" t="n"/>
      <c r="W280" s="1" t="n"/>
      <c r="X280" s="1" t="n"/>
      <c r="Y280" s="1" t="n"/>
      <c r="Z280" s="1" t="n"/>
    </row>
    <row r="281" ht="15.75" customHeight="1" s="311">
      <c r="A281" s="145" t="n"/>
      <c r="B281" s="145" t="n"/>
      <c r="C281" s="145" t="n"/>
      <c r="D281" s="145" t="n"/>
      <c r="E281" s="145" t="n"/>
      <c r="F281" s="145" t="n"/>
      <c r="G281" s="145" t="n"/>
      <c r="H281" s="145" t="n"/>
      <c r="I281" s="145" t="n"/>
      <c r="J281" s="145" t="n"/>
      <c r="K281" s="1" t="n"/>
      <c r="L281" s="1" t="n"/>
      <c r="M281" s="1" t="n"/>
      <c r="N281" s="1" t="n"/>
      <c r="O281" s="1" t="n"/>
      <c r="P281" s="1" t="n"/>
      <c r="Q281" s="1" t="n"/>
      <c r="R281" s="1" t="n"/>
      <c r="S281" s="1" t="n"/>
      <c r="T281" s="1" t="n"/>
      <c r="U281" s="1" t="n"/>
      <c r="V281" s="1" t="n"/>
      <c r="W281" s="1" t="n"/>
      <c r="X281" s="1" t="n"/>
      <c r="Y281" s="1" t="n"/>
      <c r="Z281" s="1" t="n"/>
    </row>
    <row r="282" ht="15.75" customHeight="1" s="311">
      <c r="A282" s="145" t="n"/>
      <c r="B282" s="145" t="n"/>
      <c r="C282" s="145" t="n"/>
      <c r="D282" s="145" t="n"/>
      <c r="E282" s="145" t="n"/>
      <c r="F282" s="145" t="n"/>
      <c r="G282" s="145" t="n"/>
      <c r="H282" s="145" t="n"/>
      <c r="I282" s="145" t="n"/>
      <c r="J282" s="145" t="n"/>
      <c r="K282" s="1" t="n"/>
      <c r="L282" s="1" t="n"/>
      <c r="M282" s="1" t="n"/>
      <c r="N282" s="1" t="n"/>
      <c r="O282" s="1" t="n"/>
      <c r="P282" s="1" t="n"/>
      <c r="Q282" s="1" t="n"/>
      <c r="R282" s="1" t="n"/>
      <c r="S282" s="1" t="n"/>
      <c r="T282" s="1" t="n"/>
      <c r="U282" s="1" t="n"/>
      <c r="V282" s="1" t="n"/>
      <c r="W282" s="1" t="n"/>
      <c r="X282" s="1" t="n"/>
      <c r="Y282" s="1" t="n"/>
      <c r="Z282" s="1" t="n"/>
    </row>
    <row r="283" ht="15.75" customHeight="1" s="311">
      <c r="A283" s="145" t="n"/>
      <c r="B283" s="145" t="n"/>
      <c r="C283" s="145" t="n"/>
      <c r="D283" s="145" t="n"/>
      <c r="E283" s="145" t="n"/>
      <c r="F283" s="145" t="n"/>
      <c r="G283" s="145" t="n"/>
      <c r="H283" s="145" t="n"/>
      <c r="I283" s="145" t="n"/>
      <c r="J283" s="145" t="n"/>
      <c r="K283" s="1" t="n"/>
      <c r="L283" s="1" t="n"/>
      <c r="M283" s="1" t="n"/>
      <c r="N283" s="1" t="n"/>
      <c r="O283" s="1" t="n"/>
      <c r="P283" s="1" t="n"/>
      <c r="Q283" s="1" t="n"/>
      <c r="R283" s="1" t="n"/>
      <c r="S283" s="1" t="n"/>
      <c r="T283" s="1" t="n"/>
      <c r="U283" s="1" t="n"/>
      <c r="V283" s="1" t="n"/>
      <c r="W283" s="1" t="n"/>
      <c r="X283" s="1" t="n"/>
      <c r="Y283" s="1" t="n"/>
      <c r="Z283" s="1" t="n"/>
    </row>
    <row r="284" ht="15.75" customHeight="1" s="311">
      <c r="A284" s="145" t="n"/>
      <c r="B284" s="145" t="n"/>
      <c r="C284" s="145" t="n"/>
      <c r="D284" s="145" t="n"/>
      <c r="E284" s="145" t="n"/>
      <c r="F284" s="145" t="n"/>
      <c r="G284" s="145" t="n"/>
      <c r="H284" s="145" t="n"/>
      <c r="I284" s="145" t="n"/>
      <c r="J284" s="145" t="n"/>
      <c r="K284" s="1" t="n"/>
      <c r="L284" s="1" t="n"/>
      <c r="M284" s="1" t="n"/>
      <c r="N284" s="1" t="n"/>
      <c r="O284" s="1" t="n"/>
      <c r="P284" s="1" t="n"/>
      <c r="Q284" s="1" t="n"/>
      <c r="R284" s="1" t="n"/>
      <c r="S284" s="1" t="n"/>
      <c r="T284" s="1" t="n"/>
      <c r="U284" s="1" t="n"/>
      <c r="V284" s="1" t="n"/>
      <c r="W284" s="1" t="n"/>
      <c r="X284" s="1" t="n"/>
      <c r="Y284" s="1" t="n"/>
      <c r="Z284" s="1" t="n"/>
    </row>
    <row r="285" ht="15.75" customHeight="1" s="311">
      <c r="A285" s="145" t="n"/>
      <c r="B285" s="145" t="n"/>
      <c r="C285" s="145" t="n"/>
      <c r="D285" s="145" t="n"/>
      <c r="E285" s="145" t="n"/>
      <c r="F285" s="145" t="n"/>
      <c r="G285" s="145" t="n"/>
      <c r="H285" s="145" t="n"/>
      <c r="I285" s="145" t="n"/>
      <c r="J285" s="145" t="n"/>
      <c r="K285" s="1" t="n"/>
      <c r="L285" s="1" t="n"/>
      <c r="M285" s="1" t="n"/>
      <c r="N285" s="1" t="n"/>
      <c r="O285" s="1" t="n"/>
      <c r="P285" s="1" t="n"/>
      <c r="Q285" s="1" t="n"/>
      <c r="R285" s="1" t="n"/>
      <c r="S285" s="1" t="n"/>
      <c r="T285" s="1" t="n"/>
      <c r="U285" s="1" t="n"/>
      <c r="V285" s="1" t="n"/>
      <c r="W285" s="1" t="n"/>
      <c r="X285" s="1" t="n"/>
      <c r="Y285" s="1" t="n"/>
      <c r="Z285" s="1" t="n"/>
    </row>
    <row r="286" ht="15.75" customHeight="1" s="311">
      <c r="A286" s="145" t="n"/>
      <c r="B286" s="145" t="n"/>
      <c r="C286" s="145" t="n"/>
      <c r="D286" s="145" t="n"/>
      <c r="E286" s="145" t="n"/>
      <c r="F286" s="145" t="n"/>
      <c r="G286" s="145" t="n"/>
      <c r="H286" s="145" t="n"/>
      <c r="I286" s="145" t="n"/>
      <c r="J286" s="145" t="n"/>
      <c r="K286" s="1" t="n"/>
      <c r="L286" s="1" t="n"/>
      <c r="M286" s="1" t="n"/>
      <c r="N286" s="1" t="n"/>
      <c r="O286" s="1" t="n"/>
      <c r="P286" s="1" t="n"/>
      <c r="Q286" s="1" t="n"/>
      <c r="R286" s="1" t="n"/>
      <c r="S286" s="1" t="n"/>
      <c r="T286" s="1" t="n"/>
      <c r="U286" s="1" t="n"/>
      <c r="V286" s="1" t="n"/>
      <c r="W286" s="1" t="n"/>
      <c r="X286" s="1" t="n"/>
      <c r="Y286" s="1" t="n"/>
      <c r="Z286" s="1" t="n"/>
    </row>
    <row r="287" ht="15.75" customHeight="1" s="311">
      <c r="A287" s="145" t="n"/>
      <c r="B287" s="145" t="n"/>
      <c r="C287" s="145" t="n"/>
      <c r="D287" s="145" t="n"/>
      <c r="E287" s="145" t="n"/>
      <c r="F287" s="145" t="n"/>
      <c r="G287" s="145" t="n"/>
      <c r="H287" s="145" t="n"/>
      <c r="I287" s="145" t="n"/>
      <c r="J287" s="145" t="n"/>
      <c r="K287" s="1" t="n"/>
      <c r="L287" s="1" t="n"/>
      <c r="M287" s="1" t="n"/>
      <c r="N287" s="1" t="n"/>
      <c r="O287" s="1" t="n"/>
      <c r="P287" s="1" t="n"/>
      <c r="Q287" s="1" t="n"/>
      <c r="R287" s="1" t="n"/>
      <c r="S287" s="1" t="n"/>
      <c r="T287" s="1" t="n"/>
      <c r="U287" s="1" t="n"/>
      <c r="V287" s="1" t="n"/>
      <c r="W287" s="1" t="n"/>
      <c r="X287" s="1" t="n"/>
      <c r="Y287" s="1" t="n"/>
      <c r="Z287" s="1" t="n"/>
    </row>
    <row r="288" ht="15.75" customHeight="1" s="311">
      <c r="A288" s="145" t="n"/>
      <c r="B288" s="145" t="n"/>
      <c r="C288" s="145" t="n"/>
      <c r="D288" s="145" t="n"/>
      <c r="E288" s="145" t="n"/>
      <c r="F288" s="145" t="n"/>
      <c r="G288" s="145" t="n"/>
      <c r="H288" s="145" t="n"/>
      <c r="I288" s="145" t="n"/>
      <c r="J288" s="145" t="n"/>
      <c r="K288" s="1" t="n"/>
      <c r="L288" s="1" t="n"/>
      <c r="M288" s="1" t="n"/>
      <c r="N288" s="1" t="n"/>
      <c r="O288" s="1" t="n"/>
      <c r="P288" s="1" t="n"/>
      <c r="Q288" s="1" t="n"/>
      <c r="R288" s="1" t="n"/>
      <c r="S288" s="1" t="n"/>
      <c r="T288" s="1" t="n"/>
      <c r="U288" s="1" t="n"/>
      <c r="V288" s="1" t="n"/>
      <c r="W288" s="1" t="n"/>
      <c r="X288" s="1" t="n"/>
      <c r="Y288" s="1" t="n"/>
      <c r="Z288" s="1" t="n"/>
    </row>
    <row r="289" ht="15.75" customHeight="1" s="311">
      <c r="A289" s="145" t="n"/>
      <c r="B289" s="145" t="n"/>
      <c r="C289" s="145" t="n"/>
      <c r="D289" s="145" t="n"/>
      <c r="E289" s="145" t="n"/>
      <c r="F289" s="145" t="n"/>
      <c r="G289" s="145" t="n"/>
      <c r="H289" s="145" t="n"/>
      <c r="I289" s="145" t="n"/>
      <c r="J289" s="145" t="n"/>
      <c r="K289" s="1" t="n"/>
      <c r="L289" s="1" t="n"/>
      <c r="M289" s="1" t="n"/>
      <c r="N289" s="1" t="n"/>
      <c r="O289" s="1" t="n"/>
      <c r="P289" s="1" t="n"/>
      <c r="Q289" s="1" t="n"/>
      <c r="R289" s="1" t="n"/>
      <c r="S289" s="1" t="n"/>
      <c r="T289" s="1" t="n"/>
      <c r="U289" s="1" t="n"/>
      <c r="V289" s="1" t="n"/>
      <c r="W289" s="1" t="n"/>
      <c r="X289" s="1" t="n"/>
      <c r="Y289" s="1" t="n"/>
      <c r="Z289" s="1" t="n"/>
    </row>
    <row r="290" ht="15.75" customHeight="1" s="311">
      <c r="A290" s="145" t="n"/>
      <c r="B290" s="145" t="n"/>
      <c r="C290" s="145" t="n"/>
      <c r="D290" s="145" t="n"/>
      <c r="E290" s="145" t="n"/>
      <c r="F290" s="145" t="n"/>
      <c r="G290" s="145" t="n"/>
      <c r="H290" s="145" t="n"/>
      <c r="I290" s="145" t="n"/>
      <c r="J290" s="145" t="n"/>
      <c r="K290" s="1" t="n"/>
      <c r="L290" s="1" t="n"/>
      <c r="M290" s="1" t="n"/>
      <c r="N290" s="1" t="n"/>
      <c r="O290" s="1" t="n"/>
      <c r="P290" s="1" t="n"/>
      <c r="Q290" s="1" t="n"/>
      <c r="R290" s="1" t="n"/>
      <c r="S290" s="1" t="n"/>
      <c r="T290" s="1" t="n"/>
      <c r="U290" s="1" t="n"/>
      <c r="V290" s="1" t="n"/>
      <c r="W290" s="1" t="n"/>
      <c r="X290" s="1" t="n"/>
      <c r="Y290" s="1" t="n"/>
      <c r="Z290" s="1" t="n"/>
    </row>
    <row r="291" ht="15.75" customHeight="1" s="311">
      <c r="A291" s="145" t="n"/>
      <c r="B291" s="145" t="n"/>
      <c r="C291" s="145" t="n"/>
      <c r="D291" s="145" t="n"/>
      <c r="E291" s="145" t="n"/>
      <c r="F291" s="145" t="n"/>
      <c r="G291" s="145" t="n"/>
      <c r="H291" s="145" t="n"/>
      <c r="I291" s="145" t="n"/>
      <c r="J291" s="145" t="n"/>
      <c r="K291" s="1" t="n"/>
      <c r="L291" s="1" t="n"/>
      <c r="M291" s="1" t="n"/>
      <c r="N291" s="1" t="n"/>
      <c r="O291" s="1" t="n"/>
      <c r="P291" s="1" t="n"/>
      <c r="Q291" s="1" t="n"/>
      <c r="R291" s="1" t="n"/>
      <c r="S291" s="1" t="n"/>
      <c r="T291" s="1" t="n"/>
      <c r="U291" s="1" t="n"/>
      <c r="V291" s="1" t="n"/>
      <c r="W291" s="1" t="n"/>
      <c r="X291" s="1" t="n"/>
      <c r="Y291" s="1" t="n"/>
      <c r="Z291" s="1" t="n"/>
    </row>
    <row r="292" ht="15.75" customHeight="1" s="311">
      <c r="A292" s="145" t="n"/>
      <c r="B292" s="145" t="n"/>
      <c r="C292" s="145" t="n"/>
      <c r="D292" s="145" t="n"/>
      <c r="E292" s="145" t="n"/>
      <c r="F292" s="145" t="n"/>
      <c r="G292" s="145" t="n"/>
      <c r="H292" s="145" t="n"/>
      <c r="I292" s="145" t="n"/>
      <c r="J292" s="145" t="n"/>
      <c r="K292" s="1" t="n"/>
      <c r="L292" s="1" t="n"/>
      <c r="M292" s="1" t="n"/>
      <c r="N292" s="1" t="n"/>
      <c r="O292" s="1" t="n"/>
      <c r="P292" s="1" t="n"/>
      <c r="Q292" s="1" t="n"/>
      <c r="R292" s="1" t="n"/>
      <c r="S292" s="1" t="n"/>
      <c r="T292" s="1" t="n"/>
      <c r="U292" s="1" t="n"/>
      <c r="V292" s="1" t="n"/>
      <c r="W292" s="1" t="n"/>
      <c r="X292" s="1" t="n"/>
      <c r="Y292" s="1" t="n"/>
      <c r="Z292" s="1" t="n"/>
    </row>
    <row r="293" ht="15.75" customHeight="1" s="311">
      <c r="A293" s="145" t="n"/>
      <c r="B293" s="145" t="n"/>
      <c r="C293" s="145" t="n"/>
      <c r="D293" s="145" t="n"/>
      <c r="E293" s="145" t="n"/>
      <c r="F293" s="145" t="n"/>
      <c r="G293" s="145" t="n"/>
      <c r="H293" s="145" t="n"/>
      <c r="I293" s="145" t="n"/>
      <c r="J293" s="145" t="n"/>
      <c r="K293" s="1" t="n"/>
      <c r="L293" s="1" t="n"/>
      <c r="M293" s="1" t="n"/>
      <c r="N293" s="1" t="n"/>
      <c r="O293" s="1" t="n"/>
      <c r="P293" s="1" t="n"/>
      <c r="Q293" s="1" t="n"/>
      <c r="R293" s="1" t="n"/>
      <c r="S293" s="1" t="n"/>
      <c r="T293" s="1" t="n"/>
      <c r="U293" s="1" t="n"/>
      <c r="V293" s="1" t="n"/>
      <c r="W293" s="1" t="n"/>
      <c r="X293" s="1" t="n"/>
      <c r="Y293" s="1" t="n"/>
      <c r="Z293" s="1" t="n"/>
    </row>
    <row r="294" ht="15.75" customHeight="1" s="311">
      <c r="A294" s="145" t="n"/>
      <c r="B294" s="145" t="n"/>
      <c r="C294" s="145" t="n"/>
      <c r="D294" s="145" t="n"/>
      <c r="E294" s="145" t="n"/>
      <c r="F294" s="145" t="n"/>
      <c r="G294" s="145" t="n"/>
      <c r="H294" s="145" t="n"/>
      <c r="I294" s="145" t="n"/>
      <c r="J294" s="145" t="n"/>
      <c r="K294" s="1" t="n"/>
      <c r="L294" s="1" t="n"/>
      <c r="M294" s="1" t="n"/>
      <c r="N294" s="1" t="n"/>
      <c r="O294" s="1" t="n"/>
      <c r="P294" s="1" t="n"/>
      <c r="Q294" s="1" t="n"/>
      <c r="R294" s="1" t="n"/>
      <c r="S294" s="1" t="n"/>
      <c r="T294" s="1" t="n"/>
      <c r="U294" s="1" t="n"/>
      <c r="V294" s="1" t="n"/>
      <c r="W294" s="1" t="n"/>
      <c r="X294" s="1" t="n"/>
      <c r="Y294" s="1" t="n"/>
      <c r="Z294" s="1" t="n"/>
    </row>
    <row r="295" ht="15.75" customHeight="1" s="311">
      <c r="A295" s="145" t="n"/>
      <c r="B295" s="145" t="n"/>
      <c r="C295" s="145" t="n"/>
      <c r="D295" s="145" t="n"/>
      <c r="E295" s="145" t="n"/>
      <c r="F295" s="145" t="n"/>
      <c r="G295" s="145" t="n"/>
      <c r="H295" s="145" t="n"/>
      <c r="I295" s="145" t="n"/>
      <c r="J295" s="145" t="n"/>
      <c r="K295" s="1" t="n"/>
      <c r="L295" s="1" t="n"/>
      <c r="M295" s="1" t="n"/>
      <c r="N295" s="1" t="n"/>
      <c r="O295" s="1" t="n"/>
      <c r="P295" s="1" t="n"/>
      <c r="Q295" s="1" t="n"/>
      <c r="R295" s="1" t="n"/>
      <c r="S295" s="1" t="n"/>
      <c r="T295" s="1" t="n"/>
      <c r="U295" s="1" t="n"/>
      <c r="V295" s="1" t="n"/>
      <c r="W295" s="1" t="n"/>
      <c r="X295" s="1" t="n"/>
      <c r="Y295" s="1" t="n"/>
      <c r="Z295" s="1" t="n"/>
    </row>
    <row r="296" ht="15.75" customHeight="1" s="311">
      <c r="A296" s="145" t="n"/>
      <c r="B296" s="145" t="n"/>
      <c r="C296" s="145" t="n"/>
      <c r="D296" s="145" t="n"/>
      <c r="E296" s="145" t="n"/>
      <c r="F296" s="145" t="n"/>
      <c r="G296" s="145" t="n"/>
      <c r="H296" s="145" t="n"/>
      <c r="I296" s="145" t="n"/>
      <c r="J296" s="145" t="n"/>
      <c r="K296" s="1" t="n"/>
      <c r="L296" s="1" t="n"/>
      <c r="M296" s="1" t="n"/>
      <c r="N296" s="1" t="n"/>
      <c r="O296" s="1" t="n"/>
      <c r="P296" s="1" t="n"/>
      <c r="Q296" s="1" t="n"/>
      <c r="R296" s="1" t="n"/>
      <c r="S296" s="1" t="n"/>
      <c r="T296" s="1" t="n"/>
      <c r="U296" s="1" t="n"/>
      <c r="V296" s="1" t="n"/>
      <c r="W296" s="1" t="n"/>
      <c r="X296" s="1" t="n"/>
      <c r="Y296" s="1" t="n"/>
      <c r="Z296" s="1" t="n"/>
    </row>
    <row r="297" ht="15.75" customHeight="1" s="311">
      <c r="A297" s="145" t="n"/>
      <c r="B297" s="145" t="n"/>
      <c r="C297" s="145" t="n"/>
      <c r="D297" s="145" t="n"/>
      <c r="E297" s="145" t="n"/>
      <c r="F297" s="145" t="n"/>
      <c r="G297" s="145" t="n"/>
      <c r="H297" s="145" t="n"/>
      <c r="I297" s="145" t="n"/>
      <c r="J297" s="145" t="n"/>
      <c r="K297" s="1" t="n"/>
      <c r="L297" s="1" t="n"/>
      <c r="M297" s="1" t="n"/>
      <c r="N297" s="1" t="n"/>
      <c r="O297" s="1" t="n"/>
      <c r="P297" s="1" t="n"/>
      <c r="Q297" s="1" t="n"/>
      <c r="R297" s="1" t="n"/>
      <c r="S297" s="1" t="n"/>
      <c r="T297" s="1" t="n"/>
      <c r="U297" s="1" t="n"/>
      <c r="V297" s="1" t="n"/>
      <c r="W297" s="1" t="n"/>
      <c r="X297" s="1" t="n"/>
      <c r="Y297" s="1" t="n"/>
      <c r="Z297" s="1" t="n"/>
    </row>
    <row r="298" ht="15.75" customHeight="1" s="311">
      <c r="A298" s="145" t="n"/>
      <c r="B298" s="145" t="n"/>
      <c r="C298" s="145" t="n"/>
      <c r="D298" s="145" t="n"/>
      <c r="E298" s="145" t="n"/>
      <c r="F298" s="145" t="n"/>
      <c r="G298" s="145" t="n"/>
      <c r="H298" s="145" t="n"/>
      <c r="I298" s="145" t="n"/>
      <c r="J298" s="145" t="n"/>
      <c r="K298" s="1" t="n"/>
      <c r="L298" s="1" t="n"/>
      <c r="M298" s="1" t="n"/>
      <c r="N298" s="1" t="n"/>
      <c r="O298" s="1" t="n"/>
      <c r="P298" s="1" t="n"/>
      <c r="Q298" s="1" t="n"/>
      <c r="R298" s="1" t="n"/>
      <c r="S298" s="1" t="n"/>
      <c r="T298" s="1" t="n"/>
      <c r="U298" s="1" t="n"/>
      <c r="V298" s="1" t="n"/>
      <c r="W298" s="1" t="n"/>
      <c r="X298" s="1" t="n"/>
      <c r="Y298" s="1" t="n"/>
      <c r="Z298" s="1" t="n"/>
    </row>
    <row r="299" ht="15.75" customHeight="1" s="311">
      <c r="A299" s="145" t="n"/>
      <c r="B299" s="145" t="n"/>
      <c r="C299" s="145" t="n"/>
      <c r="D299" s="145" t="n"/>
      <c r="E299" s="145" t="n"/>
      <c r="F299" s="145" t="n"/>
      <c r="G299" s="145" t="n"/>
      <c r="H299" s="145" t="n"/>
      <c r="I299" s="145" t="n"/>
      <c r="J299" s="145" t="n"/>
      <c r="K299" s="1" t="n"/>
      <c r="L299" s="1" t="n"/>
      <c r="M299" s="1" t="n"/>
      <c r="N299" s="1" t="n"/>
      <c r="O299" s="1" t="n"/>
      <c r="P299" s="1" t="n"/>
      <c r="Q299" s="1" t="n"/>
      <c r="R299" s="1" t="n"/>
      <c r="S299" s="1" t="n"/>
      <c r="T299" s="1" t="n"/>
      <c r="U299" s="1" t="n"/>
      <c r="V299" s="1" t="n"/>
      <c r="W299" s="1" t="n"/>
      <c r="X299" s="1" t="n"/>
      <c r="Y299" s="1" t="n"/>
      <c r="Z299" s="1" t="n"/>
    </row>
    <row r="300" ht="15.75" customHeight="1" s="311">
      <c r="A300" s="145" t="n"/>
      <c r="B300" s="145" t="n"/>
      <c r="C300" s="145" t="n"/>
      <c r="D300" s="145" t="n"/>
      <c r="E300" s="145" t="n"/>
      <c r="F300" s="145" t="n"/>
      <c r="G300" s="145" t="n"/>
      <c r="H300" s="145" t="n"/>
      <c r="I300" s="145" t="n"/>
      <c r="J300" s="145" t="n"/>
      <c r="K300" s="1" t="n"/>
      <c r="L300" s="1" t="n"/>
      <c r="M300" s="1" t="n"/>
      <c r="N300" s="1" t="n"/>
      <c r="O300" s="1" t="n"/>
      <c r="P300" s="1" t="n"/>
      <c r="Q300" s="1" t="n"/>
      <c r="R300" s="1" t="n"/>
      <c r="S300" s="1" t="n"/>
      <c r="T300" s="1" t="n"/>
      <c r="U300" s="1" t="n"/>
      <c r="V300" s="1" t="n"/>
      <c r="W300" s="1" t="n"/>
      <c r="X300" s="1" t="n"/>
      <c r="Y300" s="1" t="n"/>
      <c r="Z300" s="1" t="n"/>
    </row>
    <row r="301" ht="15.75" customHeight="1" s="311">
      <c r="A301" s="145" t="n"/>
      <c r="B301" s="145" t="n"/>
      <c r="C301" s="145" t="n"/>
      <c r="D301" s="145" t="n"/>
      <c r="E301" s="145" t="n"/>
      <c r="F301" s="145" t="n"/>
      <c r="G301" s="145" t="n"/>
      <c r="H301" s="145" t="n"/>
      <c r="I301" s="145" t="n"/>
      <c r="J301" s="145" t="n"/>
      <c r="K301" s="1" t="n"/>
      <c r="L301" s="1" t="n"/>
      <c r="M301" s="1" t="n"/>
      <c r="N301" s="1" t="n"/>
      <c r="O301" s="1" t="n"/>
      <c r="P301" s="1" t="n"/>
      <c r="Q301" s="1" t="n"/>
      <c r="R301" s="1" t="n"/>
      <c r="S301" s="1" t="n"/>
      <c r="T301" s="1" t="n"/>
      <c r="U301" s="1" t="n"/>
      <c r="V301" s="1" t="n"/>
      <c r="W301" s="1" t="n"/>
      <c r="X301" s="1" t="n"/>
      <c r="Y301" s="1" t="n"/>
      <c r="Z301" s="1" t="n"/>
    </row>
    <row r="302" ht="15.75" customHeight="1" s="311">
      <c r="A302" s="145" t="n"/>
      <c r="B302" s="145" t="n"/>
      <c r="C302" s="145" t="n"/>
      <c r="D302" s="145" t="n"/>
      <c r="E302" s="145" t="n"/>
      <c r="F302" s="145" t="n"/>
      <c r="G302" s="145" t="n"/>
      <c r="H302" s="145" t="n"/>
      <c r="I302" s="145" t="n"/>
      <c r="J302" s="145" t="n"/>
      <c r="K302" s="1" t="n"/>
      <c r="L302" s="1" t="n"/>
      <c r="M302" s="1" t="n"/>
      <c r="N302" s="1" t="n"/>
      <c r="O302" s="1" t="n"/>
      <c r="P302" s="1" t="n"/>
      <c r="Q302" s="1" t="n"/>
      <c r="R302" s="1" t="n"/>
      <c r="S302" s="1" t="n"/>
      <c r="T302" s="1" t="n"/>
      <c r="U302" s="1" t="n"/>
      <c r="V302" s="1" t="n"/>
      <c r="W302" s="1" t="n"/>
      <c r="X302" s="1" t="n"/>
      <c r="Y302" s="1" t="n"/>
      <c r="Z302" s="1" t="n"/>
    </row>
    <row r="303" ht="15.75" customHeight="1" s="311">
      <c r="A303" s="145" t="n"/>
      <c r="B303" s="145" t="n"/>
      <c r="C303" s="145" t="n"/>
      <c r="D303" s="145" t="n"/>
      <c r="E303" s="145" t="n"/>
      <c r="F303" s="145" t="n"/>
      <c r="G303" s="145" t="n"/>
      <c r="H303" s="145" t="n"/>
      <c r="I303" s="145" t="n"/>
      <c r="J303" s="145" t="n"/>
      <c r="K303" s="1" t="n"/>
      <c r="L303" s="1" t="n"/>
      <c r="M303" s="1" t="n"/>
      <c r="N303" s="1" t="n"/>
      <c r="O303" s="1" t="n"/>
      <c r="P303" s="1" t="n"/>
      <c r="Q303" s="1" t="n"/>
      <c r="R303" s="1" t="n"/>
      <c r="S303" s="1" t="n"/>
      <c r="T303" s="1" t="n"/>
      <c r="U303" s="1" t="n"/>
      <c r="V303" s="1" t="n"/>
      <c r="W303" s="1" t="n"/>
      <c r="X303" s="1" t="n"/>
      <c r="Y303" s="1" t="n"/>
      <c r="Z303" s="1" t="n"/>
    </row>
    <row r="304" ht="15.75" customHeight="1" s="311">
      <c r="A304" s="145" t="n"/>
      <c r="B304" s="145" t="n"/>
      <c r="C304" s="145" t="n"/>
      <c r="D304" s="145" t="n"/>
      <c r="E304" s="145" t="n"/>
      <c r="F304" s="145" t="n"/>
      <c r="G304" s="145" t="n"/>
      <c r="H304" s="145" t="n"/>
      <c r="I304" s="145" t="n"/>
      <c r="J304" s="145" t="n"/>
      <c r="K304" s="1" t="n"/>
      <c r="L304" s="1" t="n"/>
      <c r="M304" s="1" t="n"/>
      <c r="N304" s="1" t="n"/>
      <c r="O304" s="1" t="n"/>
      <c r="P304" s="1" t="n"/>
      <c r="Q304" s="1" t="n"/>
      <c r="R304" s="1" t="n"/>
      <c r="S304" s="1" t="n"/>
      <c r="T304" s="1" t="n"/>
      <c r="U304" s="1" t="n"/>
      <c r="V304" s="1" t="n"/>
      <c r="W304" s="1" t="n"/>
      <c r="X304" s="1" t="n"/>
      <c r="Y304" s="1" t="n"/>
      <c r="Z304" s="1" t="n"/>
    </row>
    <row r="305" ht="15.75" customHeight="1" s="311">
      <c r="A305" s="145" t="n"/>
      <c r="B305" s="145" t="n"/>
      <c r="C305" s="145" t="n"/>
      <c r="D305" s="145" t="n"/>
      <c r="E305" s="145" t="n"/>
      <c r="F305" s="145" t="n"/>
      <c r="G305" s="145" t="n"/>
      <c r="H305" s="145" t="n"/>
      <c r="I305" s="145" t="n"/>
      <c r="J305" s="145" t="n"/>
      <c r="K305" s="1" t="n"/>
      <c r="L305" s="1" t="n"/>
      <c r="M305" s="1" t="n"/>
      <c r="N305" s="1" t="n"/>
      <c r="O305" s="1" t="n"/>
      <c r="P305" s="1" t="n"/>
      <c r="Q305" s="1" t="n"/>
      <c r="R305" s="1" t="n"/>
      <c r="S305" s="1" t="n"/>
      <c r="T305" s="1" t="n"/>
      <c r="U305" s="1" t="n"/>
      <c r="V305" s="1" t="n"/>
      <c r="W305" s="1" t="n"/>
      <c r="X305" s="1" t="n"/>
      <c r="Y305" s="1" t="n"/>
      <c r="Z305" s="1" t="n"/>
    </row>
    <row r="306" ht="15.75" customHeight="1" s="311">
      <c r="A306" s="145" t="n"/>
      <c r="B306" s="145" t="n"/>
      <c r="C306" s="145" t="n"/>
      <c r="D306" s="145" t="n"/>
      <c r="E306" s="145" t="n"/>
      <c r="F306" s="145" t="n"/>
      <c r="G306" s="145" t="n"/>
      <c r="H306" s="145" t="n"/>
      <c r="I306" s="145" t="n"/>
      <c r="J306" s="145" t="n"/>
      <c r="K306" s="1" t="n"/>
      <c r="L306" s="1" t="n"/>
      <c r="M306" s="1" t="n"/>
      <c r="N306" s="1" t="n"/>
      <c r="O306" s="1" t="n"/>
      <c r="P306" s="1" t="n"/>
      <c r="Q306" s="1" t="n"/>
      <c r="R306" s="1" t="n"/>
      <c r="S306" s="1" t="n"/>
      <c r="T306" s="1" t="n"/>
      <c r="U306" s="1" t="n"/>
      <c r="V306" s="1" t="n"/>
      <c r="W306" s="1" t="n"/>
      <c r="X306" s="1" t="n"/>
      <c r="Y306" s="1" t="n"/>
      <c r="Z306" s="1" t="n"/>
    </row>
    <row r="307" ht="15.75" customHeight="1" s="311">
      <c r="A307" s="145" t="n"/>
      <c r="B307" s="145" t="n"/>
      <c r="C307" s="145" t="n"/>
      <c r="D307" s="145" t="n"/>
      <c r="E307" s="145" t="n"/>
      <c r="F307" s="145" t="n"/>
      <c r="G307" s="145" t="n"/>
      <c r="H307" s="145" t="n"/>
      <c r="I307" s="145" t="n"/>
      <c r="J307" s="145" t="n"/>
      <c r="K307" s="1" t="n"/>
      <c r="L307" s="1" t="n"/>
      <c r="M307" s="1" t="n"/>
      <c r="N307" s="1" t="n"/>
      <c r="O307" s="1" t="n"/>
      <c r="P307" s="1" t="n"/>
      <c r="Q307" s="1" t="n"/>
      <c r="R307" s="1" t="n"/>
      <c r="S307" s="1" t="n"/>
      <c r="T307" s="1" t="n"/>
      <c r="U307" s="1" t="n"/>
      <c r="V307" s="1" t="n"/>
      <c r="W307" s="1" t="n"/>
      <c r="X307" s="1" t="n"/>
      <c r="Y307" s="1" t="n"/>
      <c r="Z307" s="1" t="n"/>
    </row>
    <row r="308" ht="15.75" customHeight="1" s="311">
      <c r="A308" s="145" t="n"/>
      <c r="B308" s="145" t="n"/>
      <c r="C308" s="145" t="n"/>
      <c r="D308" s="145" t="n"/>
      <c r="E308" s="145" t="n"/>
      <c r="F308" s="145" t="n"/>
      <c r="G308" s="145" t="n"/>
      <c r="H308" s="145" t="n"/>
      <c r="I308" s="145" t="n"/>
      <c r="J308" s="145" t="n"/>
      <c r="K308" s="1" t="n"/>
      <c r="L308" s="1" t="n"/>
      <c r="M308" s="1" t="n"/>
      <c r="N308" s="1" t="n"/>
      <c r="O308" s="1" t="n"/>
      <c r="P308" s="1" t="n"/>
      <c r="Q308" s="1" t="n"/>
      <c r="R308" s="1" t="n"/>
      <c r="S308" s="1" t="n"/>
      <c r="T308" s="1" t="n"/>
      <c r="U308" s="1" t="n"/>
      <c r="V308" s="1" t="n"/>
      <c r="W308" s="1" t="n"/>
      <c r="X308" s="1" t="n"/>
      <c r="Y308" s="1" t="n"/>
      <c r="Z308" s="1" t="n"/>
    </row>
    <row r="309" ht="15.75" customHeight="1" s="311">
      <c r="A309" s="145" t="n"/>
      <c r="B309" s="145" t="n"/>
      <c r="C309" s="145" t="n"/>
      <c r="D309" s="145" t="n"/>
      <c r="E309" s="145" t="n"/>
      <c r="F309" s="145" t="n"/>
      <c r="G309" s="145" t="n"/>
      <c r="H309" s="145" t="n"/>
      <c r="I309" s="145" t="n"/>
      <c r="J309" s="145" t="n"/>
      <c r="K309" s="1" t="n"/>
      <c r="L309" s="1" t="n"/>
      <c r="M309" s="1" t="n"/>
      <c r="N309" s="1" t="n"/>
      <c r="O309" s="1" t="n"/>
      <c r="P309" s="1" t="n"/>
      <c r="Q309" s="1" t="n"/>
      <c r="R309" s="1" t="n"/>
      <c r="S309" s="1" t="n"/>
      <c r="T309" s="1" t="n"/>
      <c r="U309" s="1" t="n"/>
      <c r="V309" s="1" t="n"/>
      <c r="W309" s="1" t="n"/>
      <c r="X309" s="1" t="n"/>
      <c r="Y309" s="1" t="n"/>
      <c r="Z309" s="1" t="n"/>
    </row>
    <row r="310" ht="15.75" customHeight="1" s="311">
      <c r="A310" s="145" t="n"/>
      <c r="B310" s="145" t="n"/>
      <c r="C310" s="145" t="n"/>
      <c r="D310" s="145" t="n"/>
      <c r="E310" s="145" t="n"/>
      <c r="F310" s="145" t="n"/>
      <c r="G310" s="145" t="n"/>
      <c r="H310" s="145" t="n"/>
      <c r="I310" s="145" t="n"/>
      <c r="J310" s="145" t="n"/>
      <c r="K310" s="1" t="n"/>
      <c r="L310" s="1" t="n"/>
      <c r="M310" s="1" t="n"/>
      <c r="N310" s="1" t="n"/>
      <c r="O310" s="1" t="n"/>
      <c r="P310" s="1" t="n"/>
      <c r="Q310" s="1" t="n"/>
      <c r="R310" s="1" t="n"/>
      <c r="S310" s="1" t="n"/>
      <c r="T310" s="1" t="n"/>
      <c r="U310" s="1" t="n"/>
      <c r="V310" s="1" t="n"/>
      <c r="W310" s="1" t="n"/>
      <c r="X310" s="1" t="n"/>
      <c r="Y310" s="1" t="n"/>
      <c r="Z310" s="1" t="n"/>
    </row>
    <row r="311" ht="15.75" customHeight="1" s="311">
      <c r="A311" s="145" t="n"/>
      <c r="B311" s="145" t="n"/>
      <c r="C311" s="145" t="n"/>
      <c r="D311" s="145" t="n"/>
      <c r="E311" s="145" t="n"/>
      <c r="F311" s="145" t="n"/>
      <c r="G311" s="145" t="n"/>
      <c r="H311" s="145" t="n"/>
      <c r="I311" s="145" t="n"/>
      <c r="J311" s="145" t="n"/>
      <c r="K311" s="1" t="n"/>
      <c r="L311" s="1" t="n"/>
      <c r="M311" s="1" t="n"/>
      <c r="N311" s="1" t="n"/>
      <c r="O311" s="1" t="n"/>
      <c r="P311" s="1" t="n"/>
      <c r="Q311" s="1" t="n"/>
      <c r="R311" s="1" t="n"/>
      <c r="S311" s="1" t="n"/>
      <c r="T311" s="1" t="n"/>
      <c r="U311" s="1" t="n"/>
      <c r="V311" s="1" t="n"/>
      <c r="W311" s="1" t="n"/>
      <c r="X311" s="1" t="n"/>
      <c r="Y311" s="1" t="n"/>
      <c r="Z311" s="1" t="n"/>
    </row>
    <row r="312" ht="15.75" customHeight="1" s="311">
      <c r="A312" s="145" t="n"/>
      <c r="B312" s="145" t="n"/>
      <c r="C312" s="145" t="n"/>
      <c r="D312" s="145" t="n"/>
      <c r="E312" s="145" t="n"/>
      <c r="F312" s="145" t="n"/>
      <c r="G312" s="145" t="n"/>
      <c r="H312" s="145" t="n"/>
      <c r="I312" s="145" t="n"/>
      <c r="J312" s="145" t="n"/>
      <c r="K312" s="1" t="n"/>
      <c r="L312" s="1" t="n"/>
      <c r="M312" s="1" t="n"/>
      <c r="N312" s="1" t="n"/>
      <c r="O312" s="1" t="n"/>
      <c r="P312" s="1" t="n"/>
      <c r="Q312" s="1" t="n"/>
      <c r="R312" s="1" t="n"/>
      <c r="S312" s="1" t="n"/>
      <c r="T312" s="1" t="n"/>
      <c r="U312" s="1" t="n"/>
      <c r="V312" s="1" t="n"/>
      <c r="W312" s="1" t="n"/>
      <c r="X312" s="1" t="n"/>
      <c r="Y312" s="1" t="n"/>
      <c r="Z312" s="1" t="n"/>
    </row>
    <row r="313" ht="15.75" customHeight="1" s="311">
      <c r="A313" s="145" t="n"/>
      <c r="B313" s="145" t="n"/>
      <c r="C313" s="145" t="n"/>
      <c r="D313" s="145" t="n"/>
      <c r="E313" s="145" t="n"/>
      <c r="F313" s="145" t="n"/>
      <c r="G313" s="145" t="n"/>
      <c r="H313" s="145" t="n"/>
      <c r="I313" s="145" t="n"/>
      <c r="J313" s="145" t="n"/>
      <c r="K313" s="1" t="n"/>
      <c r="L313" s="1" t="n"/>
      <c r="M313" s="1" t="n"/>
      <c r="N313" s="1" t="n"/>
      <c r="O313" s="1" t="n"/>
      <c r="P313" s="1" t="n"/>
      <c r="Q313" s="1" t="n"/>
      <c r="R313" s="1" t="n"/>
      <c r="S313" s="1" t="n"/>
      <c r="T313" s="1" t="n"/>
      <c r="U313" s="1" t="n"/>
      <c r="V313" s="1" t="n"/>
      <c r="W313" s="1" t="n"/>
      <c r="X313" s="1" t="n"/>
      <c r="Y313" s="1" t="n"/>
      <c r="Z313" s="1" t="n"/>
    </row>
    <row r="314" ht="15.75" customHeight="1" s="311">
      <c r="A314" s="145" t="n"/>
      <c r="B314" s="145" t="n"/>
      <c r="C314" s="145" t="n"/>
      <c r="D314" s="145" t="n"/>
      <c r="E314" s="145" t="n"/>
      <c r="F314" s="145" t="n"/>
      <c r="G314" s="145" t="n"/>
      <c r="H314" s="145" t="n"/>
      <c r="I314" s="145" t="n"/>
      <c r="J314" s="145" t="n"/>
      <c r="K314" s="1" t="n"/>
      <c r="L314" s="1" t="n"/>
      <c r="M314" s="1" t="n"/>
      <c r="N314" s="1" t="n"/>
      <c r="O314" s="1" t="n"/>
      <c r="P314" s="1" t="n"/>
      <c r="Q314" s="1" t="n"/>
      <c r="R314" s="1" t="n"/>
      <c r="S314" s="1" t="n"/>
      <c r="T314" s="1" t="n"/>
      <c r="U314" s="1" t="n"/>
      <c r="V314" s="1" t="n"/>
      <c r="W314" s="1" t="n"/>
      <c r="X314" s="1" t="n"/>
      <c r="Y314" s="1" t="n"/>
      <c r="Z314" s="1" t="n"/>
    </row>
    <row r="315" ht="15.75" customHeight="1" s="311">
      <c r="A315" s="145" t="n"/>
      <c r="B315" s="145" t="n"/>
      <c r="C315" s="145" t="n"/>
      <c r="D315" s="145" t="n"/>
      <c r="E315" s="145" t="n"/>
      <c r="F315" s="145" t="n"/>
      <c r="G315" s="145" t="n"/>
      <c r="H315" s="145" t="n"/>
      <c r="I315" s="145" t="n"/>
      <c r="J315" s="145" t="n"/>
      <c r="K315" s="1" t="n"/>
      <c r="L315" s="1" t="n"/>
      <c r="M315" s="1" t="n"/>
      <c r="N315" s="1" t="n"/>
      <c r="O315" s="1" t="n"/>
      <c r="P315" s="1" t="n"/>
      <c r="Q315" s="1" t="n"/>
      <c r="R315" s="1" t="n"/>
      <c r="S315" s="1" t="n"/>
      <c r="T315" s="1" t="n"/>
      <c r="U315" s="1" t="n"/>
      <c r="V315" s="1" t="n"/>
      <c r="W315" s="1" t="n"/>
      <c r="X315" s="1" t="n"/>
      <c r="Y315" s="1" t="n"/>
      <c r="Z315" s="1" t="n"/>
    </row>
    <row r="316" ht="15.75" customHeight="1" s="311">
      <c r="A316" s="145" t="n"/>
      <c r="B316" s="145" t="n"/>
      <c r="C316" s="145" t="n"/>
      <c r="D316" s="145" t="n"/>
      <c r="E316" s="145" t="n"/>
      <c r="F316" s="145" t="n"/>
      <c r="G316" s="145" t="n"/>
      <c r="H316" s="145" t="n"/>
      <c r="I316" s="145" t="n"/>
      <c r="J316" s="145" t="n"/>
      <c r="K316" s="1" t="n"/>
      <c r="L316" s="1" t="n"/>
      <c r="M316" s="1" t="n"/>
      <c r="N316" s="1" t="n"/>
      <c r="O316" s="1" t="n"/>
      <c r="P316" s="1" t="n"/>
      <c r="Q316" s="1" t="n"/>
      <c r="R316" s="1" t="n"/>
      <c r="S316" s="1" t="n"/>
      <c r="T316" s="1" t="n"/>
      <c r="U316" s="1" t="n"/>
      <c r="V316" s="1" t="n"/>
      <c r="W316" s="1" t="n"/>
      <c r="X316" s="1" t="n"/>
      <c r="Y316" s="1" t="n"/>
      <c r="Z316" s="1" t="n"/>
    </row>
    <row r="317" ht="15.75" customHeight="1" s="311">
      <c r="A317" s="145" t="n"/>
      <c r="B317" s="145" t="n"/>
      <c r="C317" s="145" t="n"/>
      <c r="D317" s="145" t="n"/>
      <c r="E317" s="145" t="n"/>
      <c r="F317" s="145" t="n"/>
      <c r="G317" s="145" t="n"/>
      <c r="H317" s="145" t="n"/>
      <c r="I317" s="145" t="n"/>
      <c r="J317" s="145" t="n"/>
      <c r="K317" s="1" t="n"/>
      <c r="L317" s="1" t="n"/>
      <c r="M317" s="1" t="n"/>
      <c r="N317" s="1" t="n"/>
      <c r="O317" s="1" t="n"/>
      <c r="P317" s="1" t="n"/>
      <c r="Q317" s="1" t="n"/>
      <c r="R317" s="1" t="n"/>
      <c r="S317" s="1" t="n"/>
      <c r="T317" s="1" t="n"/>
      <c r="U317" s="1" t="n"/>
      <c r="V317" s="1" t="n"/>
      <c r="W317" s="1" t="n"/>
      <c r="X317" s="1" t="n"/>
      <c r="Y317" s="1" t="n"/>
      <c r="Z317" s="1" t="n"/>
    </row>
    <row r="318" ht="15.75" customHeight="1" s="311">
      <c r="A318" s="145" t="n"/>
      <c r="B318" s="145" t="n"/>
      <c r="C318" s="145" t="n"/>
      <c r="D318" s="145" t="n"/>
      <c r="E318" s="145" t="n"/>
      <c r="F318" s="145" t="n"/>
      <c r="G318" s="145" t="n"/>
      <c r="H318" s="145" t="n"/>
      <c r="I318" s="145" t="n"/>
      <c r="J318" s="145" t="n"/>
      <c r="K318" s="1" t="n"/>
      <c r="L318" s="1" t="n"/>
      <c r="M318" s="1" t="n"/>
      <c r="N318" s="1" t="n"/>
      <c r="O318" s="1" t="n"/>
      <c r="P318" s="1" t="n"/>
      <c r="Q318" s="1" t="n"/>
      <c r="R318" s="1" t="n"/>
      <c r="S318" s="1" t="n"/>
      <c r="T318" s="1" t="n"/>
      <c r="U318" s="1" t="n"/>
      <c r="V318" s="1" t="n"/>
      <c r="W318" s="1" t="n"/>
      <c r="X318" s="1" t="n"/>
      <c r="Y318" s="1" t="n"/>
      <c r="Z318" s="1" t="n"/>
    </row>
    <row r="319" ht="15.75" customHeight="1" s="311">
      <c r="A319" s="145" t="n"/>
      <c r="B319" s="145" t="n"/>
      <c r="C319" s="145" t="n"/>
      <c r="D319" s="145" t="n"/>
      <c r="E319" s="145" t="n"/>
      <c r="F319" s="145" t="n"/>
      <c r="G319" s="145" t="n"/>
      <c r="H319" s="145" t="n"/>
      <c r="I319" s="145" t="n"/>
      <c r="J319" s="145" t="n"/>
      <c r="K319" s="1" t="n"/>
      <c r="L319" s="1" t="n"/>
      <c r="M319" s="1" t="n"/>
      <c r="N319" s="1" t="n"/>
      <c r="O319" s="1" t="n"/>
      <c r="P319" s="1" t="n"/>
      <c r="Q319" s="1" t="n"/>
      <c r="R319" s="1" t="n"/>
      <c r="S319" s="1" t="n"/>
      <c r="T319" s="1" t="n"/>
      <c r="U319" s="1" t="n"/>
      <c r="V319" s="1" t="n"/>
      <c r="W319" s="1" t="n"/>
      <c r="X319" s="1" t="n"/>
      <c r="Y319" s="1" t="n"/>
      <c r="Z319" s="1" t="n"/>
    </row>
    <row r="320" ht="15.75" customHeight="1" s="311">
      <c r="A320" s="145" t="n"/>
      <c r="B320" s="145" t="n"/>
      <c r="C320" s="145" t="n"/>
      <c r="D320" s="145" t="n"/>
      <c r="E320" s="145" t="n"/>
      <c r="F320" s="145" t="n"/>
      <c r="G320" s="145" t="n"/>
      <c r="H320" s="145" t="n"/>
      <c r="I320" s="145" t="n"/>
      <c r="J320" s="145" t="n"/>
      <c r="K320" s="1" t="n"/>
      <c r="L320" s="1" t="n"/>
      <c r="M320" s="1" t="n"/>
      <c r="N320" s="1" t="n"/>
      <c r="O320" s="1" t="n"/>
      <c r="P320" s="1" t="n"/>
      <c r="Q320" s="1" t="n"/>
      <c r="R320" s="1" t="n"/>
      <c r="S320" s="1" t="n"/>
      <c r="T320" s="1" t="n"/>
      <c r="U320" s="1" t="n"/>
      <c r="V320" s="1" t="n"/>
      <c r="W320" s="1" t="n"/>
      <c r="X320" s="1" t="n"/>
      <c r="Y320" s="1" t="n"/>
      <c r="Z320" s="1" t="n"/>
    </row>
    <row r="321" ht="15.75" customHeight="1" s="311">
      <c r="A321" s="145" t="n"/>
      <c r="B321" s="145" t="n"/>
      <c r="C321" s="145" t="n"/>
      <c r="D321" s="145" t="n"/>
      <c r="E321" s="145" t="n"/>
      <c r="F321" s="145" t="n"/>
      <c r="G321" s="145" t="n"/>
      <c r="H321" s="145" t="n"/>
      <c r="I321" s="145" t="n"/>
      <c r="J321" s="145" t="n"/>
      <c r="K321" s="1" t="n"/>
      <c r="L321" s="1" t="n"/>
      <c r="M321" s="1" t="n"/>
      <c r="N321" s="1" t="n"/>
      <c r="O321" s="1" t="n"/>
      <c r="P321" s="1" t="n"/>
      <c r="Q321" s="1" t="n"/>
      <c r="R321" s="1" t="n"/>
      <c r="S321" s="1" t="n"/>
      <c r="T321" s="1" t="n"/>
      <c r="U321" s="1" t="n"/>
      <c r="V321" s="1" t="n"/>
      <c r="W321" s="1" t="n"/>
      <c r="X321" s="1" t="n"/>
      <c r="Y321" s="1" t="n"/>
      <c r="Z321" s="1" t="n"/>
    </row>
    <row r="322" ht="15.75" customHeight="1" s="311">
      <c r="A322" s="145" t="n"/>
      <c r="B322" s="145" t="n"/>
      <c r="C322" s="145" t="n"/>
      <c r="D322" s="145" t="n"/>
      <c r="E322" s="145" t="n"/>
      <c r="F322" s="145" t="n"/>
      <c r="G322" s="145" t="n"/>
      <c r="H322" s="145" t="n"/>
      <c r="I322" s="145" t="n"/>
      <c r="J322" s="145" t="n"/>
      <c r="K322" s="1" t="n"/>
      <c r="L322" s="1" t="n"/>
      <c r="M322" s="1" t="n"/>
      <c r="N322" s="1" t="n"/>
      <c r="O322" s="1" t="n"/>
      <c r="P322" s="1" t="n"/>
      <c r="Q322" s="1" t="n"/>
      <c r="R322" s="1" t="n"/>
      <c r="S322" s="1" t="n"/>
      <c r="T322" s="1" t="n"/>
      <c r="U322" s="1" t="n"/>
      <c r="V322" s="1" t="n"/>
      <c r="W322" s="1" t="n"/>
      <c r="X322" s="1" t="n"/>
      <c r="Y322" s="1" t="n"/>
      <c r="Z322" s="1" t="n"/>
    </row>
    <row r="323" ht="15.75" customHeight="1" s="311">
      <c r="A323" s="145" t="n"/>
      <c r="B323" s="145" t="n"/>
      <c r="C323" s="145" t="n"/>
      <c r="D323" s="145" t="n"/>
      <c r="E323" s="145" t="n"/>
      <c r="F323" s="145" t="n"/>
      <c r="G323" s="145" t="n"/>
      <c r="H323" s="145" t="n"/>
      <c r="I323" s="145" t="n"/>
      <c r="J323" s="145" t="n"/>
      <c r="K323" s="1" t="n"/>
      <c r="L323" s="1" t="n"/>
      <c r="M323" s="1" t="n"/>
      <c r="N323" s="1" t="n"/>
      <c r="O323" s="1" t="n"/>
      <c r="P323" s="1" t="n"/>
      <c r="Q323" s="1" t="n"/>
      <c r="R323" s="1" t="n"/>
      <c r="S323" s="1" t="n"/>
      <c r="T323" s="1" t="n"/>
      <c r="U323" s="1" t="n"/>
      <c r="V323" s="1" t="n"/>
      <c r="W323" s="1" t="n"/>
      <c r="X323" s="1" t="n"/>
      <c r="Y323" s="1" t="n"/>
      <c r="Z323" s="1" t="n"/>
    </row>
    <row r="324" ht="15.75" customHeight="1" s="311">
      <c r="A324" s="145" t="n"/>
      <c r="B324" s="145" t="n"/>
      <c r="C324" s="145" t="n"/>
      <c r="D324" s="145" t="n"/>
      <c r="E324" s="145" t="n"/>
      <c r="F324" s="145" t="n"/>
      <c r="G324" s="145" t="n"/>
      <c r="H324" s="145" t="n"/>
      <c r="I324" s="145" t="n"/>
      <c r="J324" s="145" t="n"/>
      <c r="K324" s="1" t="n"/>
      <c r="L324" s="1" t="n"/>
      <c r="M324" s="1" t="n"/>
      <c r="N324" s="1" t="n"/>
      <c r="O324" s="1" t="n"/>
      <c r="P324" s="1" t="n"/>
      <c r="Q324" s="1" t="n"/>
      <c r="R324" s="1" t="n"/>
      <c r="S324" s="1" t="n"/>
      <c r="T324" s="1" t="n"/>
      <c r="U324" s="1" t="n"/>
      <c r="V324" s="1" t="n"/>
      <c r="W324" s="1" t="n"/>
      <c r="X324" s="1" t="n"/>
      <c r="Y324" s="1" t="n"/>
      <c r="Z324" s="1" t="n"/>
    </row>
    <row r="325" ht="15.75" customHeight="1" s="311">
      <c r="A325" s="145" t="n"/>
      <c r="B325" s="145" t="n"/>
      <c r="C325" s="145" t="n"/>
      <c r="D325" s="145" t="n"/>
      <c r="E325" s="145" t="n"/>
      <c r="F325" s="145" t="n"/>
      <c r="G325" s="145" t="n"/>
      <c r="H325" s="145" t="n"/>
      <c r="I325" s="145" t="n"/>
      <c r="J325" s="145" t="n"/>
      <c r="K325" s="1" t="n"/>
      <c r="L325" s="1" t="n"/>
      <c r="M325" s="1" t="n"/>
      <c r="N325" s="1" t="n"/>
      <c r="O325" s="1" t="n"/>
      <c r="P325" s="1" t="n"/>
      <c r="Q325" s="1" t="n"/>
      <c r="R325" s="1" t="n"/>
      <c r="S325" s="1" t="n"/>
      <c r="T325" s="1" t="n"/>
      <c r="U325" s="1" t="n"/>
      <c r="V325" s="1" t="n"/>
      <c r="W325" s="1" t="n"/>
      <c r="X325" s="1" t="n"/>
      <c r="Y325" s="1" t="n"/>
      <c r="Z325" s="1" t="n"/>
    </row>
    <row r="326" ht="15.75" customHeight="1" s="311">
      <c r="A326" s="145" t="n"/>
      <c r="B326" s="145" t="n"/>
      <c r="C326" s="145" t="n"/>
      <c r="D326" s="145" t="n"/>
      <c r="E326" s="145" t="n"/>
      <c r="F326" s="145" t="n"/>
      <c r="G326" s="145" t="n"/>
      <c r="H326" s="145" t="n"/>
      <c r="I326" s="145" t="n"/>
      <c r="J326" s="145" t="n"/>
      <c r="K326" s="1" t="n"/>
      <c r="L326" s="1" t="n"/>
      <c r="M326" s="1" t="n"/>
      <c r="N326" s="1" t="n"/>
      <c r="O326" s="1" t="n"/>
      <c r="P326" s="1" t="n"/>
      <c r="Q326" s="1" t="n"/>
      <c r="R326" s="1" t="n"/>
      <c r="S326" s="1" t="n"/>
      <c r="T326" s="1" t="n"/>
      <c r="U326" s="1" t="n"/>
      <c r="V326" s="1" t="n"/>
      <c r="W326" s="1" t="n"/>
      <c r="X326" s="1" t="n"/>
      <c r="Y326" s="1" t="n"/>
      <c r="Z326" s="1" t="n"/>
    </row>
    <row r="327" ht="15.75" customHeight="1" s="311">
      <c r="A327" s="145" t="n"/>
      <c r="B327" s="145" t="n"/>
      <c r="C327" s="145" t="n"/>
      <c r="D327" s="145" t="n"/>
      <c r="E327" s="145" t="n"/>
      <c r="F327" s="145" t="n"/>
      <c r="G327" s="145" t="n"/>
      <c r="H327" s="145" t="n"/>
      <c r="I327" s="145" t="n"/>
      <c r="J327" s="145" t="n"/>
      <c r="K327" s="1" t="n"/>
      <c r="L327" s="1" t="n"/>
      <c r="M327" s="1" t="n"/>
      <c r="N327" s="1" t="n"/>
      <c r="O327" s="1" t="n"/>
      <c r="P327" s="1" t="n"/>
      <c r="Q327" s="1" t="n"/>
      <c r="R327" s="1" t="n"/>
      <c r="S327" s="1" t="n"/>
      <c r="T327" s="1" t="n"/>
      <c r="U327" s="1" t="n"/>
      <c r="V327" s="1" t="n"/>
      <c r="W327" s="1" t="n"/>
      <c r="X327" s="1" t="n"/>
      <c r="Y327" s="1" t="n"/>
      <c r="Z327" s="1" t="n"/>
    </row>
    <row r="328" ht="15.75" customHeight="1" s="311">
      <c r="A328" s="145" t="n"/>
      <c r="B328" s="145" t="n"/>
      <c r="C328" s="145" t="n"/>
      <c r="D328" s="145" t="n"/>
      <c r="E328" s="145" t="n"/>
      <c r="F328" s="145" t="n"/>
      <c r="G328" s="145" t="n"/>
      <c r="H328" s="145" t="n"/>
      <c r="I328" s="145" t="n"/>
      <c r="J328" s="145" t="n"/>
      <c r="K328" s="1" t="n"/>
      <c r="L328" s="1" t="n"/>
      <c r="M328" s="1" t="n"/>
      <c r="N328" s="1" t="n"/>
      <c r="O328" s="1" t="n"/>
      <c r="P328" s="1" t="n"/>
      <c r="Q328" s="1" t="n"/>
      <c r="R328" s="1" t="n"/>
      <c r="S328" s="1" t="n"/>
      <c r="T328" s="1" t="n"/>
      <c r="U328" s="1" t="n"/>
      <c r="V328" s="1" t="n"/>
      <c r="W328" s="1" t="n"/>
      <c r="X328" s="1" t="n"/>
      <c r="Y328" s="1" t="n"/>
      <c r="Z328" s="1" t="n"/>
    </row>
    <row r="329" ht="15.75" customHeight="1" s="311">
      <c r="A329" s="145" t="n"/>
      <c r="B329" s="145" t="n"/>
      <c r="C329" s="145" t="n"/>
      <c r="D329" s="145" t="n"/>
      <c r="E329" s="145" t="n"/>
      <c r="F329" s="145" t="n"/>
      <c r="G329" s="145" t="n"/>
      <c r="H329" s="145" t="n"/>
      <c r="I329" s="145" t="n"/>
      <c r="J329" s="145" t="n"/>
      <c r="K329" s="1" t="n"/>
      <c r="L329" s="1" t="n"/>
      <c r="M329" s="1" t="n"/>
      <c r="N329" s="1" t="n"/>
      <c r="O329" s="1" t="n"/>
      <c r="P329" s="1" t="n"/>
      <c r="Q329" s="1" t="n"/>
      <c r="R329" s="1" t="n"/>
      <c r="S329" s="1" t="n"/>
      <c r="T329" s="1" t="n"/>
      <c r="U329" s="1" t="n"/>
      <c r="V329" s="1" t="n"/>
      <c r="W329" s="1" t="n"/>
      <c r="X329" s="1" t="n"/>
      <c r="Y329" s="1" t="n"/>
      <c r="Z329" s="1" t="n"/>
    </row>
    <row r="330" ht="15.75" customHeight="1" s="311">
      <c r="A330" s="145" t="n"/>
      <c r="B330" s="145" t="n"/>
      <c r="C330" s="145" t="n"/>
      <c r="D330" s="145" t="n"/>
      <c r="E330" s="145" t="n"/>
      <c r="F330" s="145" t="n"/>
      <c r="G330" s="145" t="n"/>
      <c r="H330" s="145" t="n"/>
      <c r="I330" s="145" t="n"/>
      <c r="J330" s="145" t="n"/>
      <c r="K330" s="1" t="n"/>
      <c r="L330" s="1" t="n"/>
      <c r="M330" s="1" t="n"/>
      <c r="N330" s="1" t="n"/>
      <c r="O330" s="1" t="n"/>
      <c r="P330" s="1" t="n"/>
      <c r="Q330" s="1" t="n"/>
      <c r="R330" s="1" t="n"/>
      <c r="S330" s="1" t="n"/>
      <c r="T330" s="1" t="n"/>
      <c r="U330" s="1" t="n"/>
      <c r="V330" s="1" t="n"/>
      <c r="W330" s="1" t="n"/>
      <c r="X330" s="1" t="n"/>
      <c r="Y330" s="1" t="n"/>
      <c r="Z330" s="1" t="n"/>
    </row>
    <row r="331" ht="15.75" customHeight="1" s="311">
      <c r="A331" s="145" t="n"/>
      <c r="B331" s="145" t="n"/>
      <c r="C331" s="145" t="n"/>
      <c r="D331" s="145" t="n"/>
      <c r="E331" s="145" t="n"/>
      <c r="F331" s="145" t="n"/>
      <c r="G331" s="145" t="n"/>
      <c r="H331" s="145" t="n"/>
      <c r="I331" s="145" t="n"/>
      <c r="J331" s="145" t="n"/>
      <c r="K331" s="1" t="n"/>
      <c r="L331" s="1" t="n"/>
      <c r="M331" s="1" t="n"/>
      <c r="N331" s="1" t="n"/>
      <c r="O331" s="1" t="n"/>
      <c r="P331" s="1" t="n"/>
      <c r="Q331" s="1" t="n"/>
      <c r="R331" s="1" t="n"/>
      <c r="S331" s="1" t="n"/>
      <c r="T331" s="1" t="n"/>
      <c r="U331" s="1" t="n"/>
      <c r="V331" s="1" t="n"/>
      <c r="W331" s="1" t="n"/>
      <c r="X331" s="1" t="n"/>
      <c r="Y331" s="1" t="n"/>
      <c r="Z331" s="1" t="n"/>
    </row>
    <row r="332" ht="15.75" customHeight="1" s="311">
      <c r="A332" s="145" t="n"/>
      <c r="B332" s="145" t="n"/>
      <c r="C332" s="145" t="n"/>
      <c r="D332" s="145" t="n"/>
      <c r="E332" s="145" t="n"/>
      <c r="F332" s="145" t="n"/>
      <c r="G332" s="145" t="n"/>
      <c r="H332" s="145" t="n"/>
      <c r="I332" s="145" t="n"/>
      <c r="J332" s="145" t="n"/>
      <c r="K332" s="1" t="n"/>
      <c r="L332" s="1" t="n"/>
      <c r="M332" s="1" t="n"/>
      <c r="N332" s="1" t="n"/>
      <c r="O332" s="1" t="n"/>
      <c r="P332" s="1" t="n"/>
      <c r="Q332" s="1" t="n"/>
      <c r="R332" s="1" t="n"/>
      <c r="S332" s="1" t="n"/>
      <c r="T332" s="1" t="n"/>
      <c r="U332" s="1" t="n"/>
      <c r="V332" s="1" t="n"/>
      <c r="W332" s="1" t="n"/>
      <c r="X332" s="1" t="n"/>
      <c r="Y332" s="1" t="n"/>
      <c r="Z332" s="1" t="n"/>
    </row>
    <row r="333" ht="15.75" customHeight="1" s="311">
      <c r="A333" s="145" t="n"/>
      <c r="B333" s="145" t="n"/>
      <c r="C333" s="145" t="n"/>
      <c r="D333" s="145" t="n"/>
      <c r="E333" s="145" t="n"/>
      <c r="F333" s="145" t="n"/>
      <c r="G333" s="145" t="n"/>
      <c r="H333" s="145" t="n"/>
      <c r="I333" s="145" t="n"/>
      <c r="J333" s="145" t="n"/>
      <c r="K333" s="1" t="n"/>
      <c r="L333" s="1" t="n"/>
      <c r="M333" s="1" t="n"/>
      <c r="N333" s="1" t="n"/>
      <c r="O333" s="1" t="n"/>
      <c r="P333" s="1" t="n"/>
      <c r="Q333" s="1" t="n"/>
      <c r="R333" s="1" t="n"/>
      <c r="S333" s="1" t="n"/>
      <c r="T333" s="1" t="n"/>
      <c r="U333" s="1" t="n"/>
      <c r="V333" s="1" t="n"/>
      <c r="W333" s="1" t="n"/>
      <c r="X333" s="1" t="n"/>
      <c r="Y333" s="1" t="n"/>
      <c r="Z333" s="1" t="n"/>
    </row>
    <row r="334" ht="15.75" customHeight="1" s="311">
      <c r="A334" s="145" t="n"/>
      <c r="B334" s="145" t="n"/>
      <c r="C334" s="145" t="n"/>
      <c r="D334" s="145" t="n"/>
      <c r="E334" s="145" t="n"/>
      <c r="F334" s="145" t="n"/>
      <c r="G334" s="145" t="n"/>
      <c r="H334" s="145" t="n"/>
      <c r="I334" s="145" t="n"/>
      <c r="J334" s="145" t="n"/>
      <c r="K334" s="1" t="n"/>
      <c r="L334" s="1" t="n"/>
      <c r="M334" s="1" t="n"/>
      <c r="N334" s="1" t="n"/>
      <c r="O334" s="1" t="n"/>
      <c r="P334" s="1" t="n"/>
      <c r="Q334" s="1" t="n"/>
      <c r="R334" s="1" t="n"/>
      <c r="S334" s="1" t="n"/>
      <c r="T334" s="1" t="n"/>
      <c r="U334" s="1" t="n"/>
      <c r="V334" s="1" t="n"/>
      <c r="W334" s="1" t="n"/>
      <c r="X334" s="1" t="n"/>
      <c r="Y334" s="1" t="n"/>
      <c r="Z334" s="1" t="n"/>
    </row>
    <row r="335" ht="15.75" customHeight="1" s="311">
      <c r="A335" s="145" t="n"/>
      <c r="B335" s="145" t="n"/>
      <c r="C335" s="145" t="n"/>
      <c r="D335" s="145" t="n"/>
      <c r="E335" s="145" t="n"/>
      <c r="F335" s="145" t="n"/>
      <c r="G335" s="145" t="n"/>
      <c r="H335" s="145" t="n"/>
      <c r="I335" s="145" t="n"/>
      <c r="J335" s="145" t="n"/>
      <c r="K335" s="1" t="n"/>
      <c r="L335" s="1" t="n"/>
      <c r="M335" s="1" t="n"/>
      <c r="N335" s="1" t="n"/>
      <c r="O335" s="1" t="n"/>
      <c r="P335" s="1" t="n"/>
      <c r="Q335" s="1" t="n"/>
      <c r="R335" s="1" t="n"/>
      <c r="S335" s="1" t="n"/>
      <c r="T335" s="1" t="n"/>
      <c r="U335" s="1" t="n"/>
      <c r="V335" s="1" t="n"/>
      <c r="W335" s="1" t="n"/>
      <c r="X335" s="1" t="n"/>
      <c r="Y335" s="1" t="n"/>
      <c r="Z335" s="1" t="n"/>
    </row>
    <row r="336" ht="15.75" customHeight="1" s="311">
      <c r="A336" s="145" t="n"/>
      <c r="B336" s="145" t="n"/>
      <c r="C336" s="145" t="n"/>
      <c r="D336" s="145" t="n"/>
      <c r="E336" s="145" t="n"/>
      <c r="F336" s="145" t="n"/>
      <c r="G336" s="145" t="n"/>
      <c r="H336" s="145" t="n"/>
      <c r="I336" s="145" t="n"/>
      <c r="J336" s="145" t="n"/>
      <c r="K336" s="1" t="n"/>
      <c r="L336" s="1" t="n"/>
      <c r="M336" s="1" t="n"/>
      <c r="N336" s="1" t="n"/>
      <c r="O336" s="1" t="n"/>
      <c r="P336" s="1" t="n"/>
      <c r="Q336" s="1" t="n"/>
      <c r="R336" s="1" t="n"/>
      <c r="S336" s="1" t="n"/>
      <c r="T336" s="1" t="n"/>
      <c r="U336" s="1" t="n"/>
      <c r="V336" s="1" t="n"/>
      <c r="W336" s="1" t="n"/>
      <c r="X336" s="1" t="n"/>
      <c r="Y336" s="1" t="n"/>
      <c r="Z336" s="1" t="n"/>
    </row>
    <row r="337" ht="15.75" customHeight="1" s="311">
      <c r="A337" s="145" t="n"/>
      <c r="B337" s="145" t="n"/>
      <c r="C337" s="145" t="n"/>
      <c r="D337" s="145" t="n"/>
      <c r="E337" s="145" t="n"/>
      <c r="F337" s="145" t="n"/>
      <c r="G337" s="145" t="n"/>
      <c r="H337" s="145" t="n"/>
      <c r="I337" s="145" t="n"/>
      <c r="J337" s="145" t="n"/>
      <c r="K337" s="1" t="n"/>
      <c r="L337" s="1" t="n"/>
      <c r="M337" s="1" t="n"/>
      <c r="N337" s="1" t="n"/>
      <c r="O337" s="1" t="n"/>
      <c r="P337" s="1" t="n"/>
      <c r="Q337" s="1" t="n"/>
      <c r="R337" s="1" t="n"/>
      <c r="S337" s="1" t="n"/>
      <c r="T337" s="1" t="n"/>
      <c r="U337" s="1" t="n"/>
      <c r="V337" s="1" t="n"/>
      <c r="W337" s="1" t="n"/>
      <c r="X337" s="1" t="n"/>
      <c r="Y337" s="1" t="n"/>
      <c r="Z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1">
      <c r="A359" s="1" t="n"/>
      <c r="B359" s="1" t="n"/>
      <c r="C359" s="1" t="n"/>
      <c r="D359" s="1" t="n"/>
      <c r="E359" s="1" t="n"/>
      <c r="F359" s="1" t="n"/>
      <c r="G359" s="1" t="n"/>
      <c r="H359" s="1" t="n"/>
      <c r="I359" s="1" t="n"/>
      <c r="J359" s="1" t="n"/>
    </row>
    <row r="360" ht="15.75" customHeight="1" s="311">
      <c r="A360" s="1" t="n"/>
      <c r="B360" s="1" t="n"/>
      <c r="C360" s="1" t="n"/>
      <c r="D360" s="1" t="n"/>
      <c r="E360" s="1" t="n"/>
      <c r="F360" s="1" t="n"/>
      <c r="G360" s="1" t="n"/>
      <c r="H360" s="1" t="n"/>
      <c r="I360" s="1" t="n"/>
      <c r="J360" s="1" t="n"/>
    </row>
    <row r="361" ht="15.75" customHeight="1" s="311">
      <c r="A361" s="1" t="n"/>
      <c r="B361" s="1" t="n"/>
      <c r="C361" s="1" t="n"/>
      <c r="D361" s="1" t="n"/>
      <c r="E361" s="1" t="n"/>
      <c r="F361" s="1" t="n"/>
      <c r="G361" s="1" t="n"/>
      <c r="H361" s="1" t="n"/>
      <c r="I361" s="1" t="n"/>
      <c r="J361" s="1" t="n"/>
    </row>
    <row r="362" ht="15.75" customHeight="1" s="311">
      <c r="A362" s="1" t="n"/>
      <c r="B362" s="1" t="n"/>
      <c r="C362" s="1" t="n"/>
      <c r="D362" s="1" t="n"/>
      <c r="E362" s="1" t="n"/>
      <c r="F362" s="1" t="n"/>
      <c r="G362" s="1" t="n"/>
      <c r="H362" s="1" t="n"/>
      <c r="I362" s="1" t="n"/>
      <c r="J362" s="1" t="n"/>
    </row>
    <row r="363" ht="15.75" customHeight="1" s="311">
      <c r="A363" s="1" t="n"/>
      <c r="B363" s="1" t="n"/>
      <c r="C363" s="1" t="n"/>
      <c r="D363" s="1" t="n"/>
      <c r="E363" s="1" t="n"/>
      <c r="F363" s="1" t="n"/>
      <c r="G363" s="1" t="n"/>
      <c r="H363" s="1" t="n"/>
      <c r="I363" s="1" t="n"/>
      <c r="J363" s="1" t="n"/>
    </row>
    <row r="364" ht="15.75" customHeight="1" s="311">
      <c r="A364" s="1" t="n"/>
      <c r="B364" s="1" t="n"/>
      <c r="C364" s="1" t="n"/>
      <c r="D364" s="1" t="n"/>
      <c r="E364" s="1" t="n"/>
      <c r="F364" s="1" t="n"/>
      <c r="G364" s="1" t="n"/>
      <c r="H364" s="1" t="n"/>
      <c r="I364" s="1" t="n"/>
      <c r="J364" s="1" t="n"/>
    </row>
    <row r="365" ht="15.75" customHeight="1" s="311">
      <c r="A365" s="1" t="n"/>
      <c r="B365" s="1" t="n"/>
      <c r="C365" s="1" t="n"/>
      <c r="D365" s="1" t="n"/>
      <c r="E365" s="1" t="n"/>
      <c r="F365" s="1" t="n"/>
      <c r="G365" s="1" t="n"/>
      <c r="H365" s="1" t="n"/>
      <c r="I365" s="1" t="n"/>
      <c r="J365" s="1" t="n"/>
    </row>
    <row r="366" ht="15.75" customHeight="1" s="311">
      <c r="A366" s="1" t="n"/>
      <c r="B366" s="1" t="n"/>
      <c r="C366" s="1" t="n"/>
      <c r="D366" s="1" t="n"/>
      <c r="E366" s="1" t="n"/>
      <c r="F366" s="1" t="n"/>
      <c r="G366" s="1" t="n"/>
      <c r="H366" s="1" t="n"/>
      <c r="I366" s="1" t="n"/>
      <c r="J366" s="1" t="n"/>
    </row>
    <row r="367" ht="15.75" customHeight="1" s="311">
      <c r="A367" s="1" t="n"/>
      <c r="B367" s="1" t="n"/>
      <c r="C367" s="1" t="n"/>
      <c r="D367" s="1" t="n"/>
      <c r="E367" s="1" t="n"/>
      <c r="F367" s="1" t="n"/>
      <c r="G367" s="1" t="n"/>
      <c r="H367" s="1" t="n"/>
      <c r="I367" s="1" t="n"/>
      <c r="J367" s="1" t="n"/>
    </row>
    <row r="368" ht="15.75" customHeight="1" s="311">
      <c r="A368" s="1" t="n"/>
      <c r="B368" s="1" t="n"/>
      <c r="C368" s="1" t="n"/>
      <c r="D368" s="1" t="n"/>
      <c r="E368" s="1" t="n"/>
      <c r="F368" s="1" t="n"/>
      <c r="G368" s="1" t="n"/>
      <c r="H368" s="1" t="n"/>
      <c r="I368" s="1" t="n"/>
      <c r="J368" s="1" t="n"/>
    </row>
    <row r="369" ht="15.75" customHeight="1" s="311">
      <c r="A369" s="1" t="n"/>
      <c r="B369" s="1" t="n"/>
      <c r="C369" s="1" t="n"/>
      <c r="D369" s="1" t="n"/>
      <c r="E369" s="1" t="n"/>
      <c r="F369" s="1" t="n"/>
      <c r="G369" s="1" t="n"/>
      <c r="H369" s="1" t="n"/>
      <c r="I369" s="1" t="n"/>
      <c r="J369" s="1" t="n"/>
    </row>
    <row r="370" ht="15.75" customHeight="1" s="311">
      <c r="A370" s="1" t="n"/>
      <c r="B370" s="1" t="n"/>
      <c r="C370" s="1" t="n"/>
      <c r="D370" s="1" t="n"/>
      <c r="E370" s="1" t="n"/>
      <c r="F370" s="1" t="n"/>
      <c r="G370" s="1" t="n"/>
      <c r="H370" s="1" t="n"/>
      <c r="I370" s="1" t="n"/>
      <c r="J370" s="1" t="n"/>
    </row>
    <row r="371" ht="15.75" customHeight="1" s="311">
      <c r="A371" s="1" t="n"/>
      <c r="B371" s="1" t="n"/>
      <c r="C371" s="1" t="n"/>
      <c r="D371" s="1" t="n"/>
      <c r="E371" s="1" t="n"/>
      <c r="F371" s="1" t="n"/>
      <c r="G371" s="1" t="n"/>
      <c r="H371" s="1" t="n"/>
      <c r="I371" s="1" t="n"/>
      <c r="J371" s="1" t="n"/>
    </row>
    <row r="372" ht="15.75" customHeight="1" s="311">
      <c r="A372" s="1" t="n"/>
      <c r="B372" s="1" t="n"/>
      <c r="C372" s="1" t="n"/>
      <c r="D372" s="1" t="n"/>
      <c r="E372" s="1" t="n"/>
      <c r="F372" s="1" t="n"/>
      <c r="G372" s="1" t="n"/>
      <c r="H372" s="1" t="n"/>
      <c r="I372" s="1" t="n"/>
      <c r="J372" s="1" t="n"/>
    </row>
    <row r="373" ht="15.75" customHeight="1" s="311">
      <c r="A373" s="1" t="n"/>
      <c r="B373" s="1" t="n"/>
      <c r="C373" s="1" t="n"/>
      <c r="D373" s="1" t="n"/>
      <c r="E373" s="1" t="n"/>
      <c r="F373" s="1" t="n"/>
      <c r="G373" s="1" t="n"/>
      <c r="H373" s="1" t="n"/>
      <c r="I373" s="1" t="n"/>
      <c r="J373" s="1" t="n"/>
    </row>
    <row r="374" ht="15.75" customHeight="1" s="311">
      <c r="A374" s="1" t="n"/>
      <c r="B374" s="1" t="n"/>
      <c r="C374" s="1" t="n"/>
      <c r="D374" s="1" t="n"/>
      <c r="E374" s="1" t="n"/>
      <c r="F374" s="1" t="n"/>
      <c r="G374" s="1" t="n"/>
      <c r="H374" s="1" t="n"/>
      <c r="I374" s="1" t="n"/>
      <c r="J374" s="1" t="n"/>
    </row>
    <row r="375" ht="15.75" customHeight="1" s="311">
      <c r="A375" s="1" t="n"/>
      <c r="B375" s="1" t="n"/>
      <c r="C375" s="1" t="n"/>
      <c r="D375" s="1" t="n"/>
      <c r="E375" s="1" t="n"/>
      <c r="F375" s="1" t="n"/>
      <c r="G375" s="1" t="n"/>
      <c r="H375" s="1" t="n"/>
      <c r="I375" s="1" t="n"/>
      <c r="J375" s="1" t="n"/>
    </row>
    <row r="376" ht="15.75" customHeight="1" s="311">
      <c r="A376" s="1" t="n"/>
      <c r="B376" s="1" t="n"/>
      <c r="C376" s="1" t="n"/>
      <c r="D376" s="1" t="n"/>
      <c r="E376" s="1" t="n"/>
      <c r="F376" s="1" t="n"/>
      <c r="G376" s="1" t="n"/>
      <c r="H376" s="1" t="n"/>
      <c r="I376" s="1" t="n"/>
      <c r="J376" s="1" t="n"/>
    </row>
    <row r="377" ht="15.75" customHeight="1" s="311">
      <c r="A377" s="1" t="n"/>
      <c r="B377" s="1" t="n"/>
      <c r="C377" s="1" t="n"/>
      <c r="D377" s="1" t="n"/>
      <c r="E377" s="1" t="n"/>
      <c r="F377" s="1" t="n"/>
      <c r="G377" s="1" t="n"/>
      <c r="H377" s="1" t="n"/>
      <c r="I377" s="1" t="n"/>
      <c r="J377" s="1" t="n"/>
    </row>
    <row r="378" ht="15.75" customHeight="1" s="311">
      <c r="A378" s="1" t="n"/>
      <c r="B378" s="1" t="n"/>
      <c r="C378" s="1" t="n"/>
      <c r="D378" s="1" t="n"/>
      <c r="E378" s="1" t="n"/>
      <c r="F378" s="1" t="n"/>
      <c r="G378" s="1" t="n"/>
      <c r="H378" s="1" t="n"/>
      <c r="I378" s="1" t="n"/>
      <c r="J378" s="1" t="n"/>
    </row>
    <row r="379" ht="15.75" customHeight="1" s="311">
      <c r="A379" s="1" t="n"/>
      <c r="B379" s="1" t="n"/>
      <c r="C379" s="1" t="n"/>
      <c r="D379" s="1" t="n"/>
      <c r="E379" s="1" t="n"/>
      <c r="F379" s="1" t="n"/>
      <c r="G379" s="1" t="n"/>
      <c r="H379" s="1" t="n"/>
      <c r="I379" s="1" t="n"/>
      <c r="J379" s="1" t="n"/>
    </row>
    <row r="380" ht="15.75" customHeight="1" s="311">
      <c r="A380" s="1" t="n"/>
      <c r="B380" s="1" t="n"/>
      <c r="C380" s="1" t="n"/>
      <c r="D380" s="1" t="n"/>
      <c r="E380" s="1" t="n"/>
      <c r="F380" s="1" t="n"/>
      <c r="G380" s="1" t="n"/>
      <c r="H380" s="1" t="n"/>
      <c r="I380" s="1" t="n"/>
      <c r="J380" s="1" t="n"/>
    </row>
    <row r="381" ht="15.75" customHeight="1" s="311">
      <c r="A381" s="1" t="n"/>
      <c r="B381" s="1" t="n"/>
      <c r="C381" s="1" t="n"/>
      <c r="D381" s="1" t="n"/>
      <c r="E381" s="1" t="n"/>
      <c r="F381" s="1" t="n"/>
      <c r="G381" s="1" t="n"/>
      <c r="H381" s="1" t="n"/>
      <c r="I381" s="1" t="n"/>
      <c r="J381" s="1" t="n"/>
    </row>
    <row r="382" ht="15.75" customHeight="1" s="311">
      <c r="A382" s="1" t="n"/>
      <c r="B382" s="1" t="n"/>
      <c r="C382" s="1" t="n"/>
      <c r="D382" s="1" t="n"/>
      <c r="E382" s="1" t="n"/>
      <c r="F382" s="1" t="n"/>
      <c r="G382" s="1" t="n"/>
      <c r="H382" s="1" t="n"/>
      <c r="I382" s="1" t="n"/>
      <c r="J382" s="1" t="n"/>
    </row>
    <row r="383" ht="15.75" customHeight="1" s="311">
      <c r="A383" s="1" t="n"/>
      <c r="B383" s="1" t="n"/>
      <c r="C383" s="1" t="n"/>
      <c r="D383" s="1" t="n"/>
      <c r="E383" s="1" t="n"/>
      <c r="F383" s="1" t="n"/>
      <c r="G383" s="1" t="n"/>
      <c r="H383" s="1" t="n"/>
      <c r="I383" s="1" t="n"/>
      <c r="J383" s="1" t="n"/>
    </row>
    <row r="384" ht="15.75" customHeight="1" s="311">
      <c r="A384" s="1" t="n"/>
      <c r="B384" s="1" t="n"/>
      <c r="C384" s="1" t="n"/>
      <c r="D384" s="1" t="n"/>
      <c r="E384" s="1" t="n"/>
      <c r="F384" s="1" t="n"/>
      <c r="G384" s="1" t="n"/>
      <c r="H384" s="1" t="n"/>
      <c r="I384" s="1" t="n"/>
      <c r="J384" s="1" t="n"/>
    </row>
    <row r="385" ht="15.75" customHeight="1" s="311">
      <c r="A385" s="1" t="n"/>
      <c r="B385" s="1" t="n"/>
      <c r="C385" s="1" t="n"/>
      <c r="D385" s="1" t="n"/>
      <c r="E385" s="1" t="n"/>
      <c r="F385" s="1" t="n"/>
      <c r="G385" s="1" t="n"/>
      <c r="H385" s="1" t="n"/>
      <c r="I385" s="1" t="n"/>
      <c r="J385" s="1" t="n"/>
    </row>
    <row r="386" ht="15.75" customHeight="1" s="311">
      <c r="A386" s="1" t="n"/>
      <c r="B386" s="1" t="n"/>
      <c r="C386" s="1" t="n"/>
      <c r="D386" s="1" t="n"/>
      <c r="E386" s="1" t="n"/>
      <c r="F386" s="1" t="n"/>
      <c r="G386" s="1" t="n"/>
      <c r="H386" s="1" t="n"/>
      <c r="I386" s="1" t="n"/>
      <c r="J386" s="1" t="n"/>
    </row>
    <row r="387" ht="15.75" customHeight="1" s="311">
      <c r="A387" s="1" t="n"/>
      <c r="B387" s="1" t="n"/>
      <c r="C387" s="1" t="n"/>
      <c r="D387" s="1" t="n"/>
      <c r="E387" s="1" t="n"/>
      <c r="F387" s="1" t="n"/>
      <c r="G387" s="1" t="n"/>
      <c r="H387" s="1" t="n"/>
      <c r="I387" s="1" t="n"/>
      <c r="J387" s="1" t="n"/>
    </row>
    <row r="388" ht="15.75" customHeight="1" s="311">
      <c r="A388" s="1" t="n"/>
      <c r="B388" s="1" t="n"/>
      <c r="C388" s="1" t="n"/>
      <c r="D388" s="1" t="n"/>
      <c r="E388" s="1" t="n"/>
      <c r="F388" s="1" t="n"/>
      <c r="G388" s="1" t="n"/>
      <c r="H388" s="1" t="n"/>
      <c r="I388" s="1" t="n"/>
      <c r="J388" s="1" t="n"/>
    </row>
    <row r="389" ht="15.75" customHeight="1" s="311">
      <c r="A389" s="1" t="n"/>
      <c r="B389" s="1" t="n"/>
      <c r="C389" s="1" t="n"/>
      <c r="D389" s="1" t="n"/>
      <c r="E389" s="1" t="n"/>
      <c r="F389" s="1" t="n"/>
      <c r="G389" s="1" t="n"/>
      <c r="H389" s="1" t="n"/>
      <c r="I389" s="1" t="n"/>
      <c r="J389" s="1" t="n"/>
    </row>
    <row r="390" ht="15.75" customHeight="1" s="311">
      <c r="A390" s="1" t="n"/>
      <c r="B390" s="1" t="n"/>
      <c r="C390" s="1" t="n"/>
      <c r="D390" s="1" t="n"/>
      <c r="E390" s="1" t="n"/>
      <c r="F390" s="1" t="n"/>
      <c r="G390" s="1" t="n"/>
      <c r="H390" s="1" t="n"/>
      <c r="I390" s="1" t="n"/>
      <c r="J390" s="1" t="n"/>
    </row>
    <row r="391" ht="15.75" customHeight="1" s="311">
      <c r="A391" s="1" t="n"/>
      <c r="B391" s="1" t="n"/>
      <c r="C391" s="1" t="n"/>
      <c r="D391" s="1" t="n"/>
      <c r="E391" s="1" t="n"/>
      <c r="F391" s="1" t="n"/>
      <c r="G391" s="1" t="n"/>
      <c r="H391" s="1" t="n"/>
      <c r="I391" s="1" t="n"/>
      <c r="J391" s="1" t="n"/>
    </row>
    <row r="392" ht="15.75" customHeight="1" s="311">
      <c r="A392" s="1" t="n"/>
      <c r="B392" s="1" t="n"/>
      <c r="C392" s="1" t="n"/>
      <c r="D392" s="1" t="n"/>
      <c r="E392" s="1" t="n"/>
      <c r="F392" s="1" t="n"/>
      <c r="G392" s="1" t="n"/>
      <c r="H392" s="1" t="n"/>
      <c r="I392" s="1" t="n"/>
      <c r="J392" s="1" t="n"/>
    </row>
    <row r="393" ht="15.75" customHeight="1" s="311">
      <c r="A393" s="1" t="n"/>
      <c r="B393" s="1" t="n"/>
      <c r="C393" s="1" t="n"/>
      <c r="D393" s="1" t="n"/>
      <c r="E393" s="1" t="n"/>
      <c r="F393" s="1" t="n"/>
      <c r="G393" s="1" t="n"/>
      <c r="H393" s="1" t="n"/>
      <c r="I393" s="1" t="n"/>
      <c r="J393" s="1" t="n"/>
    </row>
    <row r="394" ht="15.75" customHeight="1" s="311">
      <c r="A394" s="1" t="n"/>
      <c r="B394" s="1" t="n"/>
      <c r="C394" s="1" t="n"/>
      <c r="D394" s="1" t="n"/>
      <c r="E394" s="1" t="n"/>
      <c r="F394" s="1" t="n"/>
      <c r="G394" s="1" t="n"/>
      <c r="H394" s="1" t="n"/>
      <c r="I394" s="1" t="n"/>
      <c r="J394" s="1" t="n"/>
    </row>
    <row r="395" ht="15.75" customHeight="1" s="311">
      <c r="A395" s="1" t="n"/>
      <c r="B395" s="1" t="n"/>
      <c r="C395" s="1" t="n"/>
      <c r="D395" s="1" t="n"/>
      <c r="E395" s="1" t="n"/>
      <c r="F395" s="1" t="n"/>
      <c r="G395" s="1" t="n"/>
      <c r="H395" s="1" t="n"/>
      <c r="I395" s="1" t="n"/>
      <c r="J395" s="1" t="n"/>
    </row>
    <row r="396" ht="15.75" customHeight="1" s="311">
      <c r="A396" s="1" t="n"/>
      <c r="B396" s="1" t="n"/>
      <c r="C396" s="1" t="n"/>
      <c r="D396" s="1" t="n"/>
      <c r="E396" s="1" t="n"/>
      <c r="F396" s="1" t="n"/>
      <c r="G396" s="1" t="n"/>
      <c r="H396" s="1" t="n"/>
      <c r="I396" s="1" t="n"/>
      <c r="J396" s="1" t="n"/>
    </row>
    <row r="397" ht="15.75" customHeight="1" s="311">
      <c r="A397" s="1" t="n"/>
      <c r="B397" s="1" t="n"/>
      <c r="C397" s="1" t="n"/>
      <c r="D397" s="1" t="n"/>
      <c r="E397" s="1" t="n"/>
      <c r="F397" s="1" t="n"/>
      <c r="G397" s="1" t="n"/>
      <c r="H397" s="1" t="n"/>
      <c r="I397" s="1" t="n"/>
      <c r="J397" s="1" t="n"/>
    </row>
    <row r="398" ht="15.75" customHeight="1" s="311">
      <c r="A398" s="1" t="n"/>
      <c r="B398" s="1" t="n"/>
      <c r="C398" s="1" t="n"/>
      <c r="D398" s="1" t="n"/>
      <c r="E398" s="1" t="n"/>
      <c r="F398" s="1" t="n"/>
      <c r="G398" s="1" t="n"/>
      <c r="H398" s="1" t="n"/>
      <c r="I398" s="1" t="n"/>
      <c r="J398" s="1" t="n"/>
    </row>
    <row r="399" ht="15.75" customHeight="1" s="311">
      <c r="A399" s="1" t="n"/>
      <c r="B399" s="1" t="n"/>
      <c r="C399" s="1" t="n"/>
      <c r="D399" s="1" t="n"/>
      <c r="E399" s="1" t="n"/>
      <c r="F399" s="1" t="n"/>
      <c r="G399" s="1" t="n"/>
      <c r="H399" s="1" t="n"/>
      <c r="I399" s="1" t="n"/>
      <c r="J399" s="1" t="n"/>
    </row>
    <row r="400" ht="15.75" customHeight="1" s="311">
      <c r="A400" s="1" t="n"/>
      <c r="B400" s="1" t="n"/>
      <c r="C400" s="1" t="n"/>
      <c r="D400" s="1" t="n"/>
      <c r="E400" s="1" t="n"/>
      <c r="F400" s="1" t="n"/>
      <c r="G400" s="1" t="n"/>
      <c r="H400" s="1" t="n"/>
      <c r="I400" s="1" t="n"/>
      <c r="J400" s="1" t="n"/>
    </row>
    <row r="401" ht="15.75" customHeight="1" s="311">
      <c r="A401" s="1" t="n"/>
      <c r="B401" s="1" t="n"/>
      <c r="C401" s="1" t="n"/>
      <c r="D401" s="1" t="n"/>
      <c r="E401" s="1" t="n"/>
      <c r="F401" s="1" t="n"/>
      <c r="G401" s="1" t="n"/>
      <c r="H401" s="1" t="n"/>
      <c r="I401" s="1" t="n"/>
      <c r="J401" s="1" t="n"/>
    </row>
    <row r="402" ht="15.75" customHeight="1" s="311">
      <c r="A402" s="1" t="n"/>
      <c r="B402" s="1" t="n"/>
      <c r="C402" s="1" t="n"/>
      <c r="D402" s="1" t="n"/>
      <c r="E402" s="1" t="n"/>
      <c r="F402" s="1" t="n"/>
      <c r="G402" s="1" t="n"/>
      <c r="H402" s="1" t="n"/>
      <c r="I402" s="1" t="n"/>
      <c r="J402" s="1" t="n"/>
    </row>
    <row r="403" ht="15.75" customHeight="1" s="311">
      <c r="A403" s="1" t="n"/>
      <c r="B403" s="1" t="n"/>
      <c r="C403" s="1" t="n"/>
      <c r="D403" s="1" t="n"/>
      <c r="E403" s="1" t="n"/>
      <c r="F403" s="1" t="n"/>
      <c r="G403" s="1" t="n"/>
      <c r="H403" s="1" t="n"/>
      <c r="I403" s="1" t="n"/>
      <c r="J403" s="1" t="n"/>
    </row>
    <row r="404" ht="15.75" customHeight="1" s="311">
      <c r="A404" s="1" t="n"/>
      <c r="B404" s="1" t="n"/>
      <c r="C404" s="1" t="n"/>
      <c r="D404" s="1" t="n"/>
      <c r="E404" s="1" t="n"/>
      <c r="F404" s="1" t="n"/>
      <c r="G404" s="1" t="n"/>
      <c r="H404" s="1" t="n"/>
      <c r="I404" s="1" t="n"/>
      <c r="J404" s="1" t="n"/>
    </row>
    <row r="405" ht="15.75" customHeight="1" s="311">
      <c r="A405" s="1" t="n"/>
      <c r="B405" s="1" t="n"/>
      <c r="C405" s="1" t="n"/>
      <c r="D405" s="1" t="n"/>
      <c r="E405" s="1" t="n"/>
      <c r="F405" s="1" t="n"/>
      <c r="G405" s="1" t="n"/>
      <c r="H405" s="1" t="n"/>
      <c r="I405" s="1" t="n"/>
      <c r="J405" s="1" t="n"/>
    </row>
    <row r="406" ht="15.75" customHeight="1" s="311">
      <c r="A406" s="1" t="n"/>
      <c r="B406" s="1" t="n"/>
      <c r="C406" s="1" t="n"/>
      <c r="D406" s="1" t="n"/>
      <c r="E406" s="1" t="n"/>
      <c r="F406" s="1" t="n"/>
      <c r="G406" s="1" t="n"/>
      <c r="H406" s="1" t="n"/>
      <c r="I406" s="1" t="n"/>
      <c r="J406" s="1" t="n"/>
    </row>
    <row r="407" ht="15.75" customHeight="1" s="311">
      <c r="A407" s="1" t="n"/>
      <c r="B407" s="1" t="n"/>
      <c r="C407" s="1" t="n"/>
      <c r="D407" s="1" t="n"/>
      <c r="E407" s="1" t="n"/>
      <c r="F407" s="1" t="n"/>
      <c r="G407" s="1" t="n"/>
      <c r="H407" s="1" t="n"/>
      <c r="I407" s="1" t="n"/>
      <c r="J407" s="1" t="n"/>
    </row>
    <row r="408" ht="15.75" customHeight="1" s="311">
      <c r="A408" s="1" t="n"/>
      <c r="B408" s="1" t="n"/>
      <c r="C408" s="1" t="n"/>
      <c r="D408" s="1" t="n"/>
      <c r="E408" s="1" t="n"/>
      <c r="F408" s="1" t="n"/>
      <c r="G408" s="1" t="n"/>
      <c r="H408" s="1" t="n"/>
      <c r="I408" s="1" t="n"/>
      <c r="J408" s="1" t="n"/>
    </row>
    <row r="409" ht="15.75" customHeight="1" s="311">
      <c r="A409" s="1" t="n"/>
      <c r="B409" s="1" t="n"/>
      <c r="C409" s="1" t="n"/>
      <c r="D409" s="1" t="n"/>
      <c r="E409" s="1" t="n"/>
      <c r="F409" s="1" t="n"/>
      <c r="G409" s="1" t="n"/>
      <c r="H409" s="1" t="n"/>
      <c r="I409" s="1" t="n"/>
      <c r="J409" s="1" t="n"/>
    </row>
    <row r="410" ht="15.75" customHeight="1" s="311">
      <c r="A410" s="1" t="n"/>
      <c r="B410" s="1" t="n"/>
      <c r="C410" s="1" t="n"/>
      <c r="D410" s="1" t="n"/>
      <c r="E410" s="1" t="n"/>
      <c r="F410" s="1" t="n"/>
      <c r="G410" s="1" t="n"/>
      <c r="H410" s="1" t="n"/>
      <c r="I410" s="1" t="n"/>
      <c r="J410" s="1" t="n"/>
    </row>
    <row r="411" ht="15.75" customHeight="1" s="311">
      <c r="A411" s="1" t="n"/>
      <c r="B411" s="1" t="n"/>
      <c r="C411" s="1" t="n"/>
      <c r="D411" s="1" t="n"/>
      <c r="E411" s="1" t="n"/>
      <c r="F411" s="1" t="n"/>
      <c r="G411" s="1" t="n"/>
      <c r="H411" s="1" t="n"/>
      <c r="I411" s="1" t="n"/>
      <c r="J411" s="1" t="n"/>
    </row>
    <row r="412" ht="15.75" customHeight="1" s="311">
      <c r="A412" s="1" t="n"/>
      <c r="B412" s="1" t="n"/>
      <c r="C412" s="1" t="n"/>
      <c r="D412" s="1" t="n"/>
      <c r="E412" s="1" t="n"/>
      <c r="F412" s="1" t="n"/>
      <c r="G412" s="1" t="n"/>
      <c r="H412" s="1" t="n"/>
      <c r="I412" s="1" t="n"/>
      <c r="J412" s="1" t="n"/>
    </row>
    <row r="413" ht="15.75" customHeight="1" s="311">
      <c r="A413" s="1" t="n"/>
      <c r="B413" s="1" t="n"/>
      <c r="C413" s="1" t="n"/>
      <c r="D413" s="1" t="n"/>
      <c r="E413" s="1" t="n"/>
      <c r="F413" s="1" t="n"/>
      <c r="G413" s="1" t="n"/>
      <c r="H413" s="1" t="n"/>
      <c r="I413" s="1" t="n"/>
      <c r="J413" s="1" t="n"/>
    </row>
    <row r="414" ht="15.75" customHeight="1" s="311">
      <c r="A414" s="1" t="n"/>
      <c r="B414" s="1" t="n"/>
      <c r="C414" s="1" t="n"/>
      <c r="D414" s="1" t="n"/>
      <c r="E414" s="1" t="n"/>
      <c r="F414" s="1" t="n"/>
      <c r="G414" s="1" t="n"/>
      <c r="H414" s="1" t="n"/>
      <c r="I414" s="1" t="n"/>
      <c r="J414" s="1" t="n"/>
    </row>
    <row r="415" ht="15.75" customHeight="1" s="311">
      <c r="A415" s="1" t="n"/>
      <c r="B415" s="1" t="n"/>
      <c r="C415" s="1" t="n"/>
      <c r="D415" s="1" t="n"/>
      <c r="E415" s="1" t="n"/>
      <c r="F415" s="1" t="n"/>
      <c r="G415" s="1" t="n"/>
      <c r="H415" s="1" t="n"/>
      <c r="I415" s="1" t="n"/>
      <c r="J415" s="1" t="n"/>
    </row>
    <row r="416" ht="15.75" customHeight="1" s="311">
      <c r="A416" s="1" t="n"/>
      <c r="B416" s="1" t="n"/>
      <c r="C416" s="1" t="n"/>
      <c r="D416" s="1" t="n"/>
      <c r="E416" s="1" t="n"/>
      <c r="F416" s="1" t="n"/>
      <c r="G416" s="1" t="n"/>
      <c r="H416" s="1" t="n"/>
      <c r="I416" s="1" t="n"/>
      <c r="J416" s="1" t="n"/>
    </row>
    <row r="417" ht="15.75" customHeight="1" s="311">
      <c r="A417" s="1" t="n"/>
      <c r="B417" s="1" t="n"/>
      <c r="C417" s="1" t="n"/>
      <c r="D417" s="1" t="n"/>
      <c r="E417" s="1" t="n"/>
      <c r="F417" s="1" t="n"/>
      <c r="G417" s="1" t="n"/>
      <c r="H417" s="1" t="n"/>
      <c r="I417" s="1" t="n"/>
      <c r="J417" s="1" t="n"/>
    </row>
    <row r="418" ht="15.75" customHeight="1" s="311">
      <c r="A418" s="1" t="n"/>
      <c r="B418" s="1" t="n"/>
      <c r="C418" s="1" t="n"/>
      <c r="D418" s="1" t="n"/>
      <c r="E418" s="1" t="n"/>
      <c r="F418" s="1" t="n"/>
      <c r="G418" s="1" t="n"/>
      <c r="H418" s="1" t="n"/>
      <c r="I418" s="1" t="n"/>
      <c r="J418" s="1" t="n"/>
    </row>
    <row r="419" ht="15.75" customHeight="1" s="311">
      <c r="A419" s="1" t="n"/>
      <c r="B419" s="1" t="n"/>
      <c r="C419" s="1" t="n"/>
      <c r="D419" s="1" t="n"/>
      <c r="E419" s="1" t="n"/>
      <c r="F419" s="1" t="n"/>
      <c r="G419" s="1" t="n"/>
      <c r="H419" s="1" t="n"/>
      <c r="I419" s="1" t="n"/>
      <c r="J419" s="1" t="n"/>
    </row>
    <row r="420" ht="15.75" customHeight="1" s="311">
      <c r="A420" s="1" t="n"/>
      <c r="B420" s="1" t="n"/>
      <c r="C420" s="1" t="n"/>
      <c r="D420" s="1" t="n"/>
      <c r="E420" s="1" t="n"/>
      <c r="F420" s="1" t="n"/>
      <c r="G420" s="1" t="n"/>
      <c r="H420" s="1" t="n"/>
      <c r="I420" s="1" t="n"/>
      <c r="J420" s="1" t="n"/>
    </row>
    <row r="421" ht="15.75" customHeight="1" s="311">
      <c r="A421" s="1" t="n"/>
      <c r="B421" s="1" t="n"/>
      <c r="C421" s="1" t="n"/>
      <c r="D421" s="1" t="n"/>
      <c r="E421" s="1" t="n"/>
      <c r="F421" s="1" t="n"/>
      <c r="G421" s="1" t="n"/>
      <c r="H421" s="1" t="n"/>
      <c r="I421" s="1" t="n"/>
      <c r="J421" s="1" t="n"/>
    </row>
    <row r="422" ht="15.75" customHeight="1" s="311">
      <c r="A422" s="1" t="n"/>
      <c r="B422" s="1" t="n"/>
      <c r="C422" s="1" t="n"/>
      <c r="D422" s="1" t="n"/>
      <c r="E422" s="1" t="n"/>
      <c r="F422" s="1" t="n"/>
      <c r="G422" s="1" t="n"/>
      <c r="H422" s="1" t="n"/>
      <c r="I422" s="1" t="n"/>
      <c r="J422" s="1" t="n"/>
    </row>
    <row r="423" ht="15.75" customHeight="1" s="311">
      <c r="A423" s="1" t="n"/>
      <c r="B423" s="1" t="n"/>
      <c r="C423" s="1" t="n"/>
      <c r="D423" s="1" t="n"/>
      <c r="E423" s="1" t="n"/>
      <c r="F423" s="1" t="n"/>
      <c r="G423" s="1" t="n"/>
      <c r="H423" s="1" t="n"/>
      <c r="I423" s="1" t="n"/>
      <c r="J423" s="1" t="n"/>
    </row>
    <row r="424" ht="15.75" customHeight="1" s="311">
      <c r="A424" s="1" t="n"/>
      <c r="B424" s="1" t="n"/>
      <c r="C424" s="1" t="n"/>
      <c r="D424" s="1" t="n"/>
      <c r="E424" s="1" t="n"/>
      <c r="F424" s="1" t="n"/>
      <c r="G424" s="1" t="n"/>
      <c r="H424" s="1" t="n"/>
      <c r="I424" s="1" t="n"/>
      <c r="J424" s="1" t="n"/>
    </row>
    <row r="425" ht="15.75" customHeight="1" s="311">
      <c r="A425" s="1" t="n"/>
      <c r="B425" s="1" t="n"/>
      <c r="C425" s="1" t="n"/>
      <c r="D425" s="1" t="n"/>
      <c r="E425" s="1" t="n"/>
      <c r="F425" s="1" t="n"/>
      <c r="G425" s="1" t="n"/>
      <c r="H425" s="1" t="n"/>
      <c r="I425" s="1" t="n"/>
      <c r="J425" s="1" t="n"/>
    </row>
    <row r="426" ht="15.75" customHeight="1" s="311">
      <c r="A426" s="1" t="n"/>
      <c r="B426" s="1" t="n"/>
      <c r="C426" s="1" t="n"/>
      <c r="D426" s="1" t="n"/>
      <c r="E426" s="1" t="n"/>
      <c r="F426" s="1" t="n"/>
      <c r="G426" s="1" t="n"/>
      <c r="H426" s="1" t="n"/>
      <c r="I426" s="1" t="n"/>
      <c r="J426" s="1" t="n"/>
    </row>
    <row r="427" ht="15.75" customHeight="1" s="311">
      <c r="A427" s="1" t="n"/>
      <c r="B427" s="1" t="n"/>
      <c r="C427" s="1" t="n"/>
      <c r="D427" s="1" t="n"/>
      <c r="E427" s="1" t="n"/>
      <c r="F427" s="1" t="n"/>
      <c r="G427" s="1" t="n"/>
      <c r="H427" s="1" t="n"/>
      <c r="I427" s="1" t="n"/>
      <c r="J427" s="1" t="n"/>
    </row>
    <row r="428" ht="15.75" customHeight="1" s="311">
      <c r="A428" s="1" t="n"/>
      <c r="B428" s="1" t="n"/>
      <c r="C428" s="1" t="n"/>
      <c r="D428" s="1" t="n"/>
      <c r="E428" s="1" t="n"/>
      <c r="F428" s="1" t="n"/>
      <c r="G428" s="1" t="n"/>
      <c r="H428" s="1" t="n"/>
      <c r="I428" s="1" t="n"/>
      <c r="J428" s="1" t="n"/>
    </row>
    <row r="429" ht="15.75" customHeight="1" s="311">
      <c r="A429" s="1" t="n"/>
      <c r="B429" s="1" t="n"/>
      <c r="C429" s="1" t="n"/>
      <c r="D429" s="1" t="n"/>
      <c r="E429" s="1" t="n"/>
      <c r="F429" s="1" t="n"/>
      <c r="G429" s="1" t="n"/>
      <c r="H429" s="1" t="n"/>
      <c r="I429" s="1" t="n"/>
      <c r="J429" s="1" t="n"/>
    </row>
    <row r="430" ht="15.75" customHeight="1" s="311">
      <c r="A430" s="1" t="n"/>
      <c r="B430" s="1" t="n"/>
      <c r="C430" s="1" t="n"/>
      <c r="D430" s="1" t="n"/>
      <c r="E430" s="1" t="n"/>
      <c r="F430" s="1" t="n"/>
      <c r="G430" s="1" t="n"/>
      <c r="H430" s="1" t="n"/>
      <c r="I430" s="1" t="n"/>
      <c r="J430" s="1" t="n"/>
    </row>
    <row r="431" ht="15.75" customHeight="1" s="311">
      <c r="A431" s="1" t="n"/>
      <c r="B431" s="1" t="n"/>
      <c r="C431" s="1" t="n"/>
      <c r="D431" s="1" t="n"/>
      <c r="E431" s="1" t="n"/>
      <c r="F431" s="1" t="n"/>
      <c r="G431" s="1" t="n"/>
      <c r="H431" s="1" t="n"/>
      <c r="I431" s="1" t="n"/>
      <c r="J431" s="1" t="n"/>
    </row>
    <row r="432" ht="15.75" customHeight="1" s="311">
      <c r="A432" s="1" t="n"/>
      <c r="B432" s="1" t="n"/>
      <c r="C432" s="1" t="n"/>
      <c r="D432" s="1" t="n"/>
      <c r="E432" s="1" t="n"/>
      <c r="F432" s="1" t="n"/>
      <c r="G432" s="1" t="n"/>
      <c r="H432" s="1" t="n"/>
      <c r="I432" s="1" t="n"/>
      <c r="J432" s="1" t="n"/>
    </row>
    <row r="433" ht="15.75" customHeight="1" s="311">
      <c r="A433" s="1" t="n"/>
      <c r="B433" s="1" t="n"/>
      <c r="C433" s="1" t="n"/>
      <c r="D433" s="1" t="n"/>
      <c r="E433" s="1" t="n"/>
      <c r="F433" s="1" t="n"/>
      <c r="G433" s="1" t="n"/>
      <c r="H433" s="1" t="n"/>
      <c r="I433" s="1" t="n"/>
      <c r="J433" s="1" t="n"/>
    </row>
    <row r="434" ht="15.75" customHeight="1" s="311">
      <c r="A434" s="1" t="n"/>
      <c r="B434" s="1" t="n"/>
      <c r="C434" s="1" t="n"/>
      <c r="D434" s="1" t="n"/>
      <c r="E434" s="1" t="n"/>
      <c r="F434" s="1" t="n"/>
      <c r="G434" s="1" t="n"/>
      <c r="H434" s="1" t="n"/>
      <c r="I434" s="1" t="n"/>
      <c r="J434" s="1" t="n"/>
    </row>
    <row r="435" ht="15.75" customHeight="1" s="311">
      <c r="A435" s="1" t="n"/>
      <c r="B435" s="1" t="n"/>
      <c r="C435" s="1" t="n"/>
      <c r="D435" s="1" t="n"/>
      <c r="E435" s="1" t="n"/>
      <c r="F435" s="1" t="n"/>
      <c r="G435" s="1" t="n"/>
      <c r="H435" s="1" t="n"/>
      <c r="I435" s="1" t="n"/>
      <c r="J435" s="1" t="n"/>
    </row>
    <row r="436" ht="15.75" customHeight="1" s="311">
      <c r="A436" s="1" t="n"/>
      <c r="B436" s="1" t="n"/>
      <c r="C436" s="1" t="n"/>
      <c r="D436" s="1" t="n"/>
      <c r="E436" s="1" t="n"/>
      <c r="F436" s="1" t="n"/>
      <c r="G436" s="1" t="n"/>
      <c r="H436" s="1" t="n"/>
      <c r="I436" s="1" t="n"/>
      <c r="J436" s="1" t="n"/>
    </row>
    <row r="437" ht="15.75" customHeight="1" s="311">
      <c r="A437" s="1" t="n"/>
      <c r="B437" s="1" t="n"/>
      <c r="C437" s="1" t="n"/>
      <c r="D437" s="1" t="n"/>
      <c r="E437" s="1" t="n"/>
      <c r="F437" s="1" t="n"/>
      <c r="G437" s="1" t="n"/>
      <c r="H437" s="1" t="n"/>
      <c r="I437" s="1" t="n"/>
      <c r="J437" s="1" t="n"/>
    </row>
    <row r="438" ht="15.75" customHeight="1" s="311">
      <c r="A438" s="1" t="n"/>
      <c r="B438" s="1" t="n"/>
      <c r="C438" s="1" t="n"/>
      <c r="D438" s="1" t="n"/>
      <c r="E438" s="1" t="n"/>
      <c r="F438" s="1" t="n"/>
      <c r="G438" s="1" t="n"/>
      <c r="H438" s="1" t="n"/>
      <c r="I438" s="1" t="n"/>
      <c r="J438" s="1" t="n"/>
    </row>
    <row r="439" ht="15.75" customHeight="1" s="311">
      <c r="A439" s="1" t="n"/>
      <c r="B439" s="1" t="n"/>
      <c r="C439" s="1" t="n"/>
      <c r="D439" s="1" t="n"/>
      <c r="E439" s="1" t="n"/>
      <c r="F439" s="1" t="n"/>
      <c r="G439" s="1" t="n"/>
      <c r="H439" s="1" t="n"/>
      <c r="I439" s="1" t="n"/>
      <c r="J439" s="1" t="n"/>
    </row>
    <row r="440" ht="15.75" customHeight="1" s="311">
      <c r="A440" s="1" t="n"/>
      <c r="B440" s="1" t="n"/>
      <c r="C440" s="1" t="n"/>
      <c r="D440" s="1" t="n"/>
      <c r="E440" s="1" t="n"/>
      <c r="F440" s="1" t="n"/>
      <c r="G440" s="1" t="n"/>
      <c r="H440" s="1" t="n"/>
      <c r="I440" s="1" t="n"/>
      <c r="J440" s="1" t="n"/>
    </row>
    <row r="441" ht="15.75" customHeight="1" s="311">
      <c r="A441" s="1" t="n"/>
      <c r="B441" s="1" t="n"/>
      <c r="C441" s="1" t="n"/>
      <c r="D441" s="1" t="n"/>
      <c r="E441" s="1" t="n"/>
      <c r="F441" s="1" t="n"/>
      <c r="G441" s="1" t="n"/>
      <c r="H441" s="1" t="n"/>
      <c r="I441" s="1" t="n"/>
      <c r="J441" s="1" t="n"/>
    </row>
    <row r="442" ht="15.75" customHeight="1" s="311">
      <c r="A442" s="1" t="n"/>
      <c r="B442" s="1" t="n"/>
      <c r="C442" s="1" t="n"/>
      <c r="D442" s="1" t="n"/>
      <c r="E442" s="1" t="n"/>
      <c r="F442" s="1" t="n"/>
      <c r="G442" s="1" t="n"/>
      <c r="H442" s="1" t="n"/>
      <c r="I442" s="1" t="n"/>
      <c r="J442" s="1" t="n"/>
    </row>
    <row r="443" ht="15.75" customHeight="1" s="311">
      <c r="A443" s="1" t="n"/>
      <c r="B443" s="1" t="n"/>
      <c r="C443" s="1" t="n"/>
      <c r="D443" s="1" t="n"/>
      <c r="E443" s="1" t="n"/>
      <c r="F443" s="1" t="n"/>
      <c r="G443" s="1" t="n"/>
      <c r="H443" s="1" t="n"/>
      <c r="I443" s="1" t="n"/>
      <c r="J443" s="1" t="n"/>
    </row>
    <row r="444" ht="15.75" customHeight="1" s="311">
      <c r="A444" s="1" t="n"/>
      <c r="B444" s="1" t="n"/>
      <c r="C444" s="1" t="n"/>
      <c r="D444" s="1" t="n"/>
      <c r="E444" s="1" t="n"/>
      <c r="F444" s="1" t="n"/>
      <c r="G444" s="1" t="n"/>
      <c r="H444" s="1" t="n"/>
      <c r="I444" s="1" t="n"/>
      <c r="J444" s="1" t="n"/>
    </row>
    <row r="445" ht="15.75" customHeight="1" s="311">
      <c r="A445" s="1" t="n"/>
      <c r="B445" s="1" t="n"/>
      <c r="C445" s="1" t="n"/>
      <c r="D445" s="1" t="n"/>
      <c r="E445" s="1" t="n"/>
      <c r="F445" s="1" t="n"/>
      <c r="G445" s="1" t="n"/>
      <c r="H445" s="1" t="n"/>
      <c r="I445" s="1" t="n"/>
      <c r="J445" s="1" t="n"/>
    </row>
    <row r="446" ht="15.75" customHeight="1" s="311">
      <c r="A446" s="1" t="n"/>
      <c r="B446" s="1" t="n"/>
      <c r="C446" s="1" t="n"/>
      <c r="D446" s="1" t="n"/>
      <c r="E446" s="1" t="n"/>
      <c r="F446" s="1" t="n"/>
      <c r="G446" s="1" t="n"/>
      <c r="H446" s="1" t="n"/>
      <c r="I446" s="1" t="n"/>
      <c r="J446" s="1" t="n"/>
    </row>
    <row r="447" ht="15.75" customHeight="1" s="311">
      <c r="A447" s="1" t="n"/>
      <c r="B447" s="1" t="n"/>
      <c r="C447" s="1" t="n"/>
      <c r="D447" s="1" t="n"/>
      <c r="E447" s="1" t="n"/>
      <c r="F447" s="1" t="n"/>
      <c r="G447" s="1" t="n"/>
      <c r="H447" s="1" t="n"/>
      <c r="I447" s="1" t="n"/>
      <c r="J447" s="1" t="n"/>
    </row>
    <row r="448" ht="15.75" customHeight="1" s="311">
      <c r="A448" s="1" t="n"/>
      <c r="B448" s="1" t="n"/>
      <c r="C448" s="1" t="n"/>
      <c r="D448" s="1" t="n"/>
      <c r="E448" s="1" t="n"/>
      <c r="F448" s="1" t="n"/>
      <c r="G448" s="1" t="n"/>
      <c r="H448" s="1" t="n"/>
      <c r="I448" s="1" t="n"/>
      <c r="J448" s="1" t="n"/>
    </row>
    <row r="449" ht="15.75" customHeight="1" s="311">
      <c r="A449" s="1" t="n"/>
      <c r="B449" s="1" t="n"/>
      <c r="C449" s="1" t="n"/>
      <c r="D449" s="1" t="n"/>
      <c r="E449" s="1" t="n"/>
      <c r="F449" s="1" t="n"/>
      <c r="G449" s="1" t="n"/>
      <c r="H449" s="1" t="n"/>
      <c r="I449" s="1" t="n"/>
      <c r="J449" s="1" t="n"/>
    </row>
    <row r="450" ht="15.75" customHeight="1" s="311">
      <c r="A450" s="1" t="n"/>
      <c r="B450" s="1" t="n"/>
      <c r="C450" s="1" t="n"/>
      <c r="D450" s="1" t="n"/>
      <c r="E450" s="1" t="n"/>
      <c r="F450" s="1" t="n"/>
      <c r="G450" s="1" t="n"/>
      <c r="H450" s="1" t="n"/>
      <c r="I450" s="1" t="n"/>
      <c r="J450" s="1" t="n"/>
    </row>
    <row r="451" ht="15.75" customHeight="1" s="311">
      <c r="A451" s="1" t="n"/>
      <c r="B451" s="1" t="n"/>
      <c r="C451" s="1" t="n"/>
      <c r="D451" s="1" t="n"/>
      <c r="E451" s="1" t="n"/>
      <c r="F451" s="1" t="n"/>
      <c r="G451" s="1" t="n"/>
      <c r="H451" s="1" t="n"/>
      <c r="I451" s="1" t="n"/>
      <c r="J451" s="1" t="n"/>
    </row>
    <row r="452" ht="15.75" customHeight="1" s="311">
      <c r="A452" s="1" t="n"/>
      <c r="B452" s="1" t="n"/>
      <c r="C452" s="1" t="n"/>
      <c r="D452" s="1" t="n"/>
      <c r="E452" s="1" t="n"/>
      <c r="F452" s="1" t="n"/>
      <c r="G452" s="1" t="n"/>
      <c r="H452" s="1" t="n"/>
      <c r="I452" s="1" t="n"/>
      <c r="J452" s="1" t="n"/>
    </row>
    <row r="453" ht="15.75" customHeight="1" s="311">
      <c r="A453" s="1" t="n"/>
      <c r="B453" s="1" t="n"/>
      <c r="C453" s="1" t="n"/>
      <c r="D453" s="1" t="n"/>
      <c r="E453" s="1" t="n"/>
      <c r="F453" s="1" t="n"/>
      <c r="G453" s="1" t="n"/>
      <c r="H453" s="1" t="n"/>
      <c r="I453" s="1" t="n"/>
      <c r="J453" s="1" t="n"/>
    </row>
    <row r="454" ht="15.75" customHeight="1" s="311">
      <c r="A454" s="1" t="n"/>
      <c r="B454" s="1" t="n"/>
      <c r="C454" s="1" t="n"/>
      <c r="D454" s="1" t="n"/>
      <c r="E454" s="1" t="n"/>
      <c r="F454" s="1" t="n"/>
      <c r="G454" s="1" t="n"/>
      <c r="H454" s="1" t="n"/>
      <c r="I454" s="1" t="n"/>
      <c r="J454" s="1" t="n"/>
    </row>
    <row r="455" ht="15.75" customHeight="1" s="311">
      <c r="A455" s="1" t="n"/>
      <c r="B455" s="1" t="n"/>
      <c r="C455" s="1" t="n"/>
      <c r="D455" s="1" t="n"/>
      <c r="E455" s="1" t="n"/>
      <c r="F455" s="1" t="n"/>
      <c r="G455" s="1" t="n"/>
      <c r="H455" s="1" t="n"/>
      <c r="I455" s="1" t="n"/>
      <c r="J455" s="1" t="n"/>
    </row>
    <row r="456" ht="15.75" customHeight="1" s="311">
      <c r="A456" s="1" t="n"/>
      <c r="B456" s="1" t="n"/>
      <c r="C456" s="1" t="n"/>
      <c r="D456" s="1" t="n"/>
      <c r="E456" s="1" t="n"/>
      <c r="F456" s="1" t="n"/>
      <c r="G456" s="1" t="n"/>
      <c r="H456" s="1" t="n"/>
      <c r="I456" s="1" t="n"/>
      <c r="J456" s="1" t="n"/>
    </row>
    <row r="457" ht="15.75" customHeight="1" s="311">
      <c r="A457" s="1" t="n"/>
      <c r="B457" s="1" t="n"/>
      <c r="C457" s="1" t="n"/>
      <c r="D457" s="1" t="n"/>
      <c r="E457" s="1" t="n"/>
      <c r="F457" s="1" t="n"/>
      <c r="G457" s="1" t="n"/>
      <c r="H457" s="1" t="n"/>
      <c r="I457" s="1" t="n"/>
      <c r="J457" s="1" t="n"/>
    </row>
    <row r="458" ht="15.75" customHeight="1" s="311">
      <c r="A458" s="1" t="n"/>
      <c r="B458" s="1" t="n"/>
      <c r="C458" s="1" t="n"/>
      <c r="D458" s="1" t="n"/>
      <c r="E458" s="1" t="n"/>
      <c r="F458" s="1" t="n"/>
      <c r="G458" s="1" t="n"/>
      <c r="H458" s="1" t="n"/>
      <c r="I458" s="1" t="n"/>
      <c r="J458" s="1" t="n"/>
    </row>
    <row r="459" ht="15.75" customHeight="1" s="311">
      <c r="A459" s="1" t="n"/>
      <c r="B459" s="1" t="n"/>
      <c r="C459" s="1" t="n"/>
      <c r="D459" s="1" t="n"/>
      <c r="E459" s="1" t="n"/>
      <c r="F459" s="1" t="n"/>
      <c r="G459" s="1" t="n"/>
      <c r="H459" s="1" t="n"/>
      <c r="I459" s="1" t="n"/>
      <c r="J459" s="1" t="n"/>
    </row>
    <row r="460" ht="15.75" customHeight="1" s="311">
      <c r="A460" s="1" t="n"/>
      <c r="B460" s="1" t="n"/>
      <c r="C460" s="1" t="n"/>
      <c r="D460" s="1" t="n"/>
      <c r="E460" s="1" t="n"/>
      <c r="F460" s="1" t="n"/>
      <c r="G460" s="1" t="n"/>
      <c r="H460" s="1" t="n"/>
      <c r="I460" s="1" t="n"/>
      <c r="J460" s="1" t="n"/>
    </row>
    <row r="461" ht="15.75" customHeight="1" s="311">
      <c r="A461" s="1" t="n"/>
      <c r="B461" s="1" t="n"/>
      <c r="C461" s="1" t="n"/>
      <c r="D461" s="1" t="n"/>
      <c r="E461" s="1" t="n"/>
      <c r="F461" s="1" t="n"/>
      <c r="G461" s="1" t="n"/>
      <c r="H461" s="1" t="n"/>
      <c r="I461" s="1" t="n"/>
      <c r="J461" s="1" t="n"/>
    </row>
    <row r="462" ht="15.75" customHeight="1" s="311">
      <c r="A462" s="1" t="n"/>
      <c r="B462" s="1" t="n"/>
      <c r="C462" s="1" t="n"/>
      <c r="D462" s="1" t="n"/>
      <c r="E462" s="1" t="n"/>
      <c r="F462" s="1" t="n"/>
      <c r="G462" s="1" t="n"/>
      <c r="H462" s="1" t="n"/>
      <c r="I462" s="1" t="n"/>
      <c r="J462" s="1" t="n"/>
    </row>
    <row r="463" ht="15.75" customHeight="1" s="311">
      <c r="A463" s="1" t="n"/>
      <c r="B463" s="1" t="n"/>
      <c r="C463" s="1" t="n"/>
      <c r="D463" s="1" t="n"/>
      <c r="E463" s="1" t="n"/>
      <c r="F463" s="1" t="n"/>
      <c r="G463" s="1" t="n"/>
      <c r="H463" s="1" t="n"/>
      <c r="I463" s="1" t="n"/>
      <c r="J463" s="1" t="n"/>
    </row>
    <row r="464" ht="15.75" customHeight="1" s="311">
      <c r="A464" s="1" t="n"/>
      <c r="B464" s="1" t="n"/>
      <c r="C464" s="1" t="n"/>
      <c r="D464" s="1" t="n"/>
      <c r="E464" s="1" t="n"/>
      <c r="F464" s="1" t="n"/>
      <c r="G464" s="1" t="n"/>
      <c r="H464" s="1" t="n"/>
      <c r="I464" s="1" t="n"/>
      <c r="J464" s="1" t="n"/>
    </row>
    <row r="465" ht="15.75" customHeight="1" s="311">
      <c r="A465" s="1" t="n"/>
      <c r="B465" s="1" t="n"/>
      <c r="C465" s="1" t="n"/>
      <c r="D465" s="1" t="n"/>
      <c r="E465" s="1" t="n"/>
      <c r="F465" s="1" t="n"/>
      <c r="G465" s="1" t="n"/>
      <c r="H465" s="1" t="n"/>
      <c r="I465" s="1" t="n"/>
      <c r="J465" s="1" t="n"/>
    </row>
    <row r="466" ht="15.75" customHeight="1" s="311">
      <c r="A466" s="1" t="n"/>
      <c r="B466" s="1" t="n"/>
      <c r="C466" s="1" t="n"/>
      <c r="D466" s="1" t="n"/>
      <c r="E466" s="1" t="n"/>
      <c r="F466" s="1" t="n"/>
      <c r="G466" s="1" t="n"/>
      <c r="H466" s="1" t="n"/>
      <c r="I466" s="1" t="n"/>
      <c r="J466" s="1" t="n"/>
    </row>
    <row r="467" ht="15.75" customHeight="1" s="311">
      <c r="A467" s="1" t="n"/>
      <c r="B467" s="1" t="n"/>
      <c r="C467" s="1" t="n"/>
      <c r="D467" s="1" t="n"/>
      <c r="E467" s="1" t="n"/>
      <c r="F467" s="1" t="n"/>
      <c r="G467" s="1" t="n"/>
      <c r="H467" s="1" t="n"/>
      <c r="I467" s="1" t="n"/>
      <c r="J467" s="1" t="n"/>
    </row>
    <row r="468" ht="15.75" customHeight="1" s="311">
      <c r="A468" s="1" t="n"/>
      <c r="B468" s="1" t="n"/>
      <c r="C468" s="1" t="n"/>
      <c r="D468" s="1" t="n"/>
      <c r="E468" s="1" t="n"/>
      <c r="F468" s="1" t="n"/>
      <c r="G468" s="1" t="n"/>
      <c r="H468" s="1" t="n"/>
      <c r="I468" s="1" t="n"/>
      <c r="J468" s="1" t="n"/>
    </row>
    <row r="469" ht="15.75" customHeight="1" s="311">
      <c r="A469" s="1" t="n"/>
      <c r="B469" s="1" t="n"/>
      <c r="C469" s="1" t="n"/>
      <c r="D469" s="1" t="n"/>
      <c r="E469" s="1" t="n"/>
      <c r="F469" s="1" t="n"/>
      <c r="G469" s="1" t="n"/>
      <c r="H469" s="1" t="n"/>
      <c r="I469" s="1" t="n"/>
      <c r="J469" s="1" t="n"/>
    </row>
    <row r="470" ht="15.75" customHeight="1" s="311">
      <c r="A470" s="1" t="n"/>
      <c r="B470" s="1" t="n"/>
      <c r="C470" s="1" t="n"/>
      <c r="D470" s="1" t="n"/>
      <c r="E470" s="1" t="n"/>
      <c r="F470" s="1" t="n"/>
      <c r="G470" s="1" t="n"/>
      <c r="H470" s="1" t="n"/>
      <c r="I470" s="1" t="n"/>
      <c r="J470" s="1" t="n"/>
    </row>
    <row r="471" ht="15.75" customHeight="1" s="311">
      <c r="A471" s="1" t="n"/>
      <c r="B471" s="1" t="n"/>
      <c r="C471" s="1" t="n"/>
      <c r="D471" s="1" t="n"/>
      <c r="E471" s="1" t="n"/>
      <c r="F471" s="1" t="n"/>
      <c r="G471" s="1" t="n"/>
      <c r="H471" s="1" t="n"/>
      <c r="I471" s="1" t="n"/>
      <c r="J471" s="1" t="n"/>
    </row>
    <row r="472" ht="15.75" customHeight="1" s="311">
      <c r="A472" s="1" t="n"/>
      <c r="B472" s="1" t="n"/>
      <c r="C472" s="1" t="n"/>
      <c r="D472" s="1" t="n"/>
      <c r="E472" s="1" t="n"/>
      <c r="F472" s="1" t="n"/>
      <c r="G472" s="1" t="n"/>
      <c r="H472" s="1" t="n"/>
      <c r="I472" s="1" t="n"/>
      <c r="J472" s="1" t="n"/>
    </row>
    <row r="473" ht="15.75" customHeight="1" s="311">
      <c r="A473" s="1" t="n"/>
      <c r="B473" s="1" t="n"/>
      <c r="C473" s="1" t="n"/>
      <c r="D473" s="1" t="n"/>
      <c r="E473" s="1" t="n"/>
      <c r="F473" s="1" t="n"/>
      <c r="G473" s="1" t="n"/>
      <c r="H473" s="1" t="n"/>
      <c r="I473" s="1" t="n"/>
      <c r="J473" s="1" t="n"/>
    </row>
    <row r="474" ht="15.75" customHeight="1" s="311">
      <c r="A474" s="1" t="n"/>
      <c r="B474" s="1" t="n"/>
      <c r="C474" s="1" t="n"/>
      <c r="D474" s="1" t="n"/>
      <c r="E474" s="1" t="n"/>
      <c r="F474" s="1" t="n"/>
      <c r="G474" s="1" t="n"/>
      <c r="H474" s="1" t="n"/>
      <c r="I474" s="1" t="n"/>
      <c r="J474" s="1" t="n"/>
    </row>
    <row r="475" ht="15.75" customHeight="1" s="311">
      <c r="A475" s="1" t="n"/>
      <c r="B475" s="1" t="n"/>
      <c r="C475" s="1" t="n"/>
      <c r="D475" s="1" t="n"/>
      <c r="E475" s="1" t="n"/>
      <c r="F475" s="1" t="n"/>
      <c r="G475" s="1" t="n"/>
      <c r="H475" s="1" t="n"/>
      <c r="I475" s="1" t="n"/>
      <c r="J475" s="1" t="n"/>
    </row>
    <row r="476" ht="15.75" customHeight="1" s="311">
      <c r="A476" s="1" t="n"/>
      <c r="B476" s="1" t="n"/>
      <c r="C476" s="1" t="n"/>
      <c r="D476" s="1" t="n"/>
      <c r="E476" s="1" t="n"/>
      <c r="F476" s="1" t="n"/>
      <c r="G476" s="1" t="n"/>
      <c r="H476" s="1" t="n"/>
      <c r="I476" s="1" t="n"/>
      <c r="J476" s="1" t="n"/>
    </row>
    <row r="477" ht="15.75" customHeight="1" s="311">
      <c r="A477" s="1" t="n"/>
      <c r="B477" s="1" t="n"/>
      <c r="C477" s="1" t="n"/>
      <c r="D477" s="1" t="n"/>
      <c r="E477" s="1" t="n"/>
      <c r="F477" s="1" t="n"/>
      <c r="G477" s="1" t="n"/>
      <c r="H477" s="1" t="n"/>
      <c r="I477" s="1" t="n"/>
      <c r="J477" s="1" t="n"/>
    </row>
    <row r="478" ht="15.75" customHeight="1" s="311">
      <c r="A478" s="1" t="n"/>
      <c r="B478" s="1" t="n"/>
      <c r="C478" s="1" t="n"/>
      <c r="D478" s="1" t="n"/>
      <c r="E478" s="1" t="n"/>
      <c r="F478" s="1" t="n"/>
      <c r="G478" s="1" t="n"/>
      <c r="H478" s="1" t="n"/>
      <c r="I478" s="1" t="n"/>
      <c r="J478" s="1" t="n"/>
    </row>
    <row r="479" ht="15.75" customHeight="1" s="311">
      <c r="A479" s="1" t="n"/>
      <c r="B479" s="1" t="n"/>
      <c r="C479" s="1" t="n"/>
      <c r="D479" s="1" t="n"/>
      <c r="E479" s="1" t="n"/>
      <c r="F479" s="1" t="n"/>
      <c r="G479" s="1" t="n"/>
      <c r="H479" s="1" t="n"/>
      <c r="I479" s="1" t="n"/>
      <c r="J479" s="1" t="n"/>
    </row>
    <row r="480" ht="15.75" customHeight="1" s="311">
      <c r="A480" s="1" t="n"/>
      <c r="B480" s="1" t="n"/>
      <c r="C480" s="1" t="n"/>
      <c r="D480" s="1" t="n"/>
      <c r="E480" s="1" t="n"/>
      <c r="F480" s="1" t="n"/>
      <c r="G480" s="1" t="n"/>
      <c r="H480" s="1" t="n"/>
      <c r="I480" s="1" t="n"/>
      <c r="J480" s="1" t="n"/>
    </row>
    <row r="481" ht="15.75" customHeight="1" s="311">
      <c r="A481" s="1" t="n"/>
      <c r="B481" s="1" t="n"/>
      <c r="C481" s="1" t="n"/>
      <c r="D481" s="1" t="n"/>
      <c r="E481" s="1" t="n"/>
      <c r="F481" s="1" t="n"/>
      <c r="G481" s="1" t="n"/>
      <c r="H481" s="1" t="n"/>
      <c r="I481" s="1" t="n"/>
      <c r="J481" s="1" t="n"/>
    </row>
    <row r="482" ht="15.75" customHeight="1" s="311">
      <c r="A482" s="1" t="n"/>
      <c r="B482" s="1" t="n"/>
      <c r="C482" s="1" t="n"/>
      <c r="D482" s="1" t="n"/>
      <c r="E482" s="1" t="n"/>
      <c r="F482" s="1" t="n"/>
      <c r="G482" s="1" t="n"/>
      <c r="H482" s="1" t="n"/>
      <c r="I482" s="1" t="n"/>
      <c r="J482" s="1" t="n"/>
    </row>
    <row r="483" ht="15.75" customHeight="1" s="311">
      <c r="A483" s="1" t="n"/>
      <c r="B483" s="1" t="n"/>
      <c r="C483" s="1" t="n"/>
      <c r="D483" s="1" t="n"/>
      <c r="E483" s="1" t="n"/>
      <c r="F483" s="1" t="n"/>
      <c r="G483" s="1" t="n"/>
      <c r="H483" s="1" t="n"/>
      <c r="I483" s="1" t="n"/>
      <c r="J483" s="1" t="n"/>
    </row>
    <row r="484" ht="15.75" customHeight="1" s="311">
      <c r="A484" s="1" t="n"/>
      <c r="B484" s="1" t="n"/>
      <c r="C484" s="1" t="n"/>
      <c r="D484" s="1" t="n"/>
      <c r="E484" s="1" t="n"/>
      <c r="F484" s="1" t="n"/>
      <c r="G484" s="1" t="n"/>
      <c r="H484" s="1" t="n"/>
      <c r="I484" s="1" t="n"/>
      <c r="J484" s="1" t="n"/>
    </row>
    <row r="485" ht="15.75" customHeight="1" s="311">
      <c r="A485" s="1" t="n"/>
      <c r="B485" s="1" t="n"/>
      <c r="C485" s="1" t="n"/>
      <c r="D485" s="1" t="n"/>
      <c r="E485" s="1" t="n"/>
      <c r="F485" s="1" t="n"/>
      <c r="G485" s="1" t="n"/>
      <c r="H485" s="1" t="n"/>
      <c r="I485" s="1" t="n"/>
      <c r="J485" s="1" t="n"/>
    </row>
    <row r="486" ht="15.75" customHeight="1" s="311">
      <c r="A486" s="1" t="n"/>
      <c r="B486" s="1" t="n"/>
      <c r="C486" s="1" t="n"/>
      <c r="D486" s="1" t="n"/>
      <c r="E486" s="1" t="n"/>
      <c r="F486" s="1" t="n"/>
      <c r="G486" s="1" t="n"/>
      <c r="H486" s="1" t="n"/>
      <c r="I486" s="1" t="n"/>
      <c r="J486" s="1" t="n"/>
    </row>
    <row r="487" ht="15.75" customHeight="1" s="311">
      <c r="A487" s="1" t="n"/>
      <c r="B487" s="1" t="n"/>
      <c r="C487" s="1" t="n"/>
      <c r="D487" s="1" t="n"/>
      <c r="E487" s="1" t="n"/>
      <c r="F487" s="1" t="n"/>
      <c r="G487" s="1" t="n"/>
      <c r="H487" s="1" t="n"/>
      <c r="I487" s="1" t="n"/>
      <c r="J487" s="1" t="n"/>
    </row>
    <row r="488" ht="15.75" customHeight="1" s="311">
      <c r="A488" s="1" t="n"/>
      <c r="B488" s="1" t="n"/>
      <c r="C488" s="1" t="n"/>
      <c r="D488" s="1" t="n"/>
      <c r="E488" s="1" t="n"/>
      <c r="F488" s="1" t="n"/>
      <c r="G488" s="1" t="n"/>
      <c r="H488" s="1" t="n"/>
      <c r="I488" s="1" t="n"/>
      <c r="J488" s="1" t="n"/>
    </row>
    <row r="489" ht="15.75" customHeight="1" s="311">
      <c r="A489" s="1" t="n"/>
      <c r="B489" s="1" t="n"/>
      <c r="C489" s="1" t="n"/>
      <c r="D489" s="1" t="n"/>
      <c r="E489" s="1" t="n"/>
      <c r="F489" s="1" t="n"/>
      <c r="G489" s="1" t="n"/>
      <c r="H489" s="1" t="n"/>
      <c r="I489" s="1" t="n"/>
      <c r="J489" s="1" t="n"/>
    </row>
    <row r="490" ht="15.75" customHeight="1" s="311">
      <c r="A490" s="1" t="n"/>
      <c r="B490" s="1" t="n"/>
      <c r="C490" s="1" t="n"/>
      <c r="D490" s="1" t="n"/>
      <c r="E490" s="1" t="n"/>
      <c r="F490" s="1" t="n"/>
      <c r="G490" s="1" t="n"/>
      <c r="H490" s="1" t="n"/>
      <c r="I490" s="1" t="n"/>
      <c r="J490" s="1" t="n"/>
    </row>
    <row r="491" ht="15.75" customHeight="1" s="311">
      <c r="A491" s="1" t="n"/>
      <c r="B491" s="1" t="n"/>
      <c r="C491" s="1" t="n"/>
      <c r="D491" s="1" t="n"/>
      <c r="E491" s="1" t="n"/>
      <c r="F491" s="1" t="n"/>
      <c r="G491" s="1" t="n"/>
      <c r="H491" s="1" t="n"/>
      <c r="I491" s="1" t="n"/>
      <c r="J491" s="1" t="n"/>
    </row>
    <row r="492" ht="15.75" customHeight="1" s="311">
      <c r="A492" s="1" t="n"/>
      <c r="B492" s="1" t="n"/>
      <c r="C492" s="1" t="n"/>
      <c r="D492" s="1" t="n"/>
      <c r="E492" s="1" t="n"/>
      <c r="F492" s="1" t="n"/>
      <c r="G492" s="1" t="n"/>
      <c r="H492" s="1" t="n"/>
      <c r="I492" s="1" t="n"/>
      <c r="J492" s="1" t="n"/>
    </row>
    <row r="493" ht="15.75" customHeight="1" s="311">
      <c r="A493" s="1" t="n"/>
      <c r="B493" s="1" t="n"/>
      <c r="C493" s="1" t="n"/>
      <c r="D493" s="1" t="n"/>
      <c r="E493" s="1" t="n"/>
      <c r="F493" s="1" t="n"/>
      <c r="G493" s="1" t="n"/>
      <c r="H493" s="1" t="n"/>
      <c r="I493" s="1" t="n"/>
      <c r="J493" s="1" t="n"/>
    </row>
    <row r="494" ht="15.75" customHeight="1" s="311">
      <c r="A494" s="1" t="n"/>
      <c r="B494" s="1" t="n"/>
      <c r="C494" s="1" t="n"/>
      <c r="D494" s="1" t="n"/>
      <c r="E494" s="1" t="n"/>
      <c r="F494" s="1" t="n"/>
      <c r="G494" s="1" t="n"/>
      <c r="H494" s="1" t="n"/>
      <c r="I494" s="1" t="n"/>
      <c r="J494" s="1" t="n"/>
    </row>
    <row r="495" ht="15.75" customHeight="1" s="311">
      <c r="A495" s="1" t="n"/>
      <c r="B495" s="1" t="n"/>
      <c r="C495" s="1" t="n"/>
      <c r="D495" s="1" t="n"/>
      <c r="E495" s="1" t="n"/>
      <c r="F495" s="1" t="n"/>
      <c r="G495" s="1" t="n"/>
      <c r="H495" s="1" t="n"/>
      <c r="I495" s="1" t="n"/>
      <c r="J495" s="1" t="n"/>
    </row>
    <row r="496" ht="15.75" customHeight="1" s="311">
      <c r="A496" s="1" t="n"/>
      <c r="B496" s="1" t="n"/>
      <c r="C496" s="1" t="n"/>
      <c r="D496" s="1" t="n"/>
      <c r="E496" s="1" t="n"/>
      <c r="F496" s="1" t="n"/>
      <c r="G496" s="1" t="n"/>
      <c r="H496" s="1" t="n"/>
      <c r="I496" s="1" t="n"/>
      <c r="J496" s="1" t="n"/>
    </row>
    <row r="497" ht="15.75" customHeight="1" s="311">
      <c r="A497" s="1" t="n"/>
      <c r="B497" s="1" t="n"/>
      <c r="C497" s="1" t="n"/>
      <c r="D497" s="1" t="n"/>
      <c r="E497" s="1" t="n"/>
      <c r="F497" s="1" t="n"/>
      <c r="G497" s="1" t="n"/>
      <c r="H497" s="1" t="n"/>
      <c r="I497" s="1" t="n"/>
      <c r="J497" s="1" t="n"/>
    </row>
    <row r="498" ht="15.75" customHeight="1" s="311">
      <c r="A498" s="1" t="n"/>
      <c r="B498" s="1" t="n"/>
      <c r="C498" s="1" t="n"/>
      <c r="D498" s="1" t="n"/>
      <c r="E498" s="1" t="n"/>
      <c r="F498" s="1" t="n"/>
      <c r="G498" s="1" t="n"/>
      <c r="H498" s="1" t="n"/>
      <c r="I498" s="1" t="n"/>
      <c r="J498" s="1" t="n"/>
    </row>
    <row r="499" ht="15.75" customHeight="1" s="311">
      <c r="A499" s="1" t="n"/>
      <c r="B499" s="1" t="n"/>
      <c r="C499" s="1" t="n"/>
      <c r="D499" s="1" t="n"/>
      <c r="E499" s="1" t="n"/>
      <c r="F499" s="1" t="n"/>
      <c r="G499" s="1" t="n"/>
      <c r="H499" s="1" t="n"/>
      <c r="I499" s="1" t="n"/>
      <c r="J499" s="1" t="n"/>
    </row>
    <row r="500" ht="15.75" customHeight="1" s="311">
      <c r="A500" s="1" t="n"/>
      <c r="B500" s="1" t="n"/>
      <c r="C500" s="1" t="n"/>
      <c r="D500" s="1" t="n"/>
      <c r="E500" s="1" t="n"/>
      <c r="F500" s="1" t="n"/>
      <c r="G500" s="1" t="n"/>
      <c r="H500" s="1" t="n"/>
      <c r="I500" s="1" t="n"/>
      <c r="J500" s="1" t="n"/>
    </row>
    <row r="501" ht="15.75" customHeight="1" s="311">
      <c r="A501" s="1" t="n"/>
      <c r="B501" s="1" t="n"/>
      <c r="C501" s="1" t="n"/>
      <c r="D501" s="1" t="n"/>
      <c r="E501" s="1" t="n"/>
      <c r="F501" s="1" t="n"/>
      <c r="G501" s="1" t="n"/>
      <c r="H501" s="1" t="n"/>
      <c r="I501" s="1" t="n"/>
      <c r="J501" s="1" t="n"/>
    </row>
    <row r="502" ht="15.75" customHeight="1" s="311">
      <c r="A502" s="1" t="n"/>
      <c r="B502" s="1" t="n"/>
      <c r="C502" s="1" t="n"/>
      <c r="D502" s="1" t="n"/>
      <c r="E502" s="1" t="n"/>
      <c r="F502" s="1" t="n"/>
      <c r="G502" s="1" t="n"/>
      <c r="H502" s="1" t="n"/>
      <c r="I502" s="1" t="n"/>
      <c r="J502" s="1" t="n"/>
    </row>
    <row r="503" ht="15.75" customHeight="1" s="311">
      <c r="A503" s="1" t="n"/>
      <c r="B503" s="1" t="n"/>
      <c r="C503" s="1" t="n"/>
      <c r="D503" s="1" t="n"/>
      <c r="E503" s="1" t="n"/>
      <c r="F503" s="1" t="n"/>
      <c r="G503" s="1" t="n"/>
      <c r="H503" s="1" t="n"/>
      <c r="I503" s="1" t="n"/>
      <c r="J503" s="1" t="n"/>
    </row>
    <row r="504" ht="15.75" customHeight="1" s="311">
      <c r="A504" s="1" t="n"/>
      <c r="B504" s="1" t="n"/>
      <c r="C504" s="1" t="n"/>
      <c r="D504" s="1" t="n"/>
      <c r="E504" s="1" t="n"/>
      <c r="F504" s="1" t="n"/>
      <c r="G504" s="1" t="n"/>
      <c r="H504" s="1" t="n"/>
      <c r="I504" s="1" t="n"/>
      <c r="J504" s="1" t="n"/>
    </row>
    <row r="505" ht="15.75" customHeight="1" s="311">
      <c r="A505" s="1" t="n"/>
      <c r="B505" s="1" t="n"/>
      <c r="C505" s="1" t="n"/>
      <c r="D505" s="1" t="n"/>
      <c r="E505" s="1" t="n"/>
      <c r="F505" s="1" t="n"/>
      <c r="G505" s="1" t="n"/>
      <c r="H505" s="1" t="n"/>
      <c r="I505" s="1" t="n"/>
      <c r="J505" s="1" t="n"/>
    </row>
    <row r="506" ht="15.75" customHeight="1" s="311">
      <c r="A506" s="1" t="n"/>
      <c r="B506" s="1" t="n"/>
      <c r="C506" s="1" t="n"/>
      <c r="D506" s="1" t="n"/>
      <c r="E506" s="1" t="n"/>
      <c r="F506" s="1" t="n"/>
      <c r="G506" s="1" t="n"/>
      <c r="H506" s="1" t="n"/>
      <c r="I506" s="1" t="n"/>
      <c r="J506" s="1" t="n"/>
    </row>
    <row r="507" ht="15.75" customHeight="1" s="311">
      <c r="A507" s="1" t="n"/>
      <c r="B507" s="1" t="n"/>
      <c r="C507" s="1" t="n"/>
      <c r="D507" s="1" t="n"/>
      <c r="E507" s="1" t="n"/>
      <c r="F507" s="1" t="n"/>
      <c r="G507" s="1" t="n"/>
      <c r="H507" s="1" t="n"/>
      <c r="I507" s="1" t="n"/>
      <c r="J507" s="1" t="n"/>
    </row>
    <row r="508" ht="15.75" customHeight="1" s="311">
      <c r="A508" s="1" t="n"/>
      <c r="B508" s="1" t="n"/>
      <c r="C508" s="1" t="n"/>
      <c r="D508" s="1" t="n"/>
      <c r="E508" s="1" t="n"/>
      <c r="F508" s="1" t="n"/>
      <c r="G508" s="1" t="n"/>
      <c r="H508" s="1" t="n"/>
      <c r="I508" s="1" t="n"/>
      <c r="J508" s="1" t="n"/>
    </row>
    <row r="509" ht="15.75" customHeight="1" s="311">
      <c r="A509" s="1" t="n"/>
      <c r="B509" s="1" t="n"/>
      <c r="C509" s="1" t="n"/>
      <c r="D509" s="1" t="n"/>
      <c r="E509" s="1" t="n"/>
      <c r="F509" s="1" t="n"/>
      <c r="G509" s="1" t="n"/>
      <c r="H509" s="1" t="n"/>
      <c r="I509" s="1" t="n"/>
      <c r="J509" s="1" t="n"/>
    </row>
    <row r="510" ht="15.75" customHeight="1" s="311">
      <c r="A510" s="1" t="n"/>
      <c r="B510" s="1" t="n"/>
      <c r="C510" s="1" t="n"/>
      <c r="D510" s="1" t="n"/>
      <c r="E510" s="1" t="n"/>
      <c r="F510" s="1" t="n"/>
      <c r="G510" s="1" t="n"/>
      <c r="H510" s="1" t="n"/>
      <c r="I510" s="1" t="n"/>
      <c r="J510" s="1" t="n"/>
    </row>
    <row r="511" ht="15.75" customHeight="1" s="311">
      <c r="A511" s="1" t="n"/>
      <c r="B511" s="1" t="n"/>
      <c r="C511" s="1" t="n"/>
      <c r="D511" s="1" t="n"/>
      <c r="E511" s="1" t="n"/>
      <c r="F511" s="1" t="n"/>
      <c r="G511" s="1" t="n"/>
      <c r="H511" s="1" t="n"/>
      <c r="I511" s="1" t="n"/>
      <c r="J511" s="1" t="n"/>
    </row>
    <row r="512" ht="15.75" customHeight="1" s="311">
      <c r="A512" s="1" t="n"/>
      <c r="B512" s="1" t="n"/>
      <c r="C512" s="1" t="n"/>
      <c r="D512" s="1" t="n"/>
      <c r="E512" s="1" t="n"/>
      <c r="F512" s="1" t="n"/>
      <c r="G512" s="1" t="n"/>
      <c r="H512" s="1" t="n"/>
      <c r="I512" s="1" t="n"/>
      <c r="J512" s="1" t="n"/>
    </row>
    <row r="513" ht="15.75" customHeight="1" s="311">
      <c r="A513" s="1" t="n"/>
      <c r="B513" s="1" t="n"/>
      <c r="C513" s="1" t="n"/>
      <c r="D513" s="1" t="n"/>
      <c r="E513" s="1" t="n"/>
      <c r="F513" s="1" t="n"/>
      <c r="G513" s="1" t="n"/>
      <c r="H513" s="1" t="n"/>
      <c r="I513" s="1" t="n"/>
      <c r="J513" s="1" t="n"/>
    </row>
    <row r="514" ht="15.75" customHeight="1" s="311">
      <c r="A514" s="1" t="n"/>
      <c r="B514" s="1" t="n"/>
      <c r="C514" s="1" t="n"/>
      <c r="D514" s="1" t="n"/>
      <c r="E514" s="1" t="n"/>
      <c r="F514" s="1" t="n"/>
      <c r="G514" s="1" t="n"/>
      <c r="H514" s="1" t="n"/>
      <c r="I514" s="1" t="n"/>
      <c r="J514" s="1" t="n"/>
    </row>
    <row r="515" ht="15.75" customHeight="1" s="311">
      <c r="A515" s="1" t="n"/>
      <c r="B515" s="1" t="n"/>
      <c r="C515" s="1" t="n"/>
      <c r="D515" s="1" t="n"/>
      <c r="E515" s="1" t="n"/>
      <c r="F515" s="1" t="n"/>
      <c r="G515" s="1" t="n"/>
      <c r="H515" s="1" t="n"/>
      <c r="I515" s="1" t="n"/>
      <c r="J515" s="1" t="n"/>
    </row>
    <row r="516" ht="15.75" customHeight="1" s="311">
      <c r="A516" s="1" t="n"/>
      <c r="B516" s="1" t="n"/>
      <c r="C516" s="1" t="n"/>
      <c r="D516" s="1" t="n"/>
      <c r="E516" s="1" t="n"/>
      <c r="F516" s="1" t="n"/>
      <c r="G516" s="1" t="n"/>
      <c r="H516" s="1" t="n"/>
      <c r="I516" s="1" t="n"/>
      <c r="J516" s="1" t="n"/>
    </row>
    <row r="517" ht="15.75" customHeight="1" s="311">
      <c r="A517" s="1" t="n"/>
      <c r="B517" s="1" t="n"/>
      <c r="C517" s="1" t="n"/>
      <c r="D517" s="1" t="n"/>
      <c r="E517" s="1" t="n"/>
      <c r="F517" s="1" t="n"/>
      <c r="G517" s="1" t="n"/>
      <c r="H517" s="1" t="n"/>
      <c r="I517" s="1" t="n"/>
      <c r="J517" s="1" t="n"/>
    </row>
    <row r="518" ht="15.75" customHeight="1" s="311">
      <c r="A518" s="1" t="n"/>
      <c r="B518" s="1" t="n"/>
      <c r="C518" s="1" t="n"/>
      <c r="D518" s="1" t="n"/>
      <c r="E518" s="1" t="n"/>
      <c r="F518" s="1" t="n"/>
      <c r="G518" s="1" t="n"/>
      <c r="H518" s="1" t="n"/>
      <c r="I518" s="1" t="n"/>
      <c r="J518" s="1" t="n"/>
    </row>
    <row r="519" ht="15.75" customHeight="1" s="311">
      <c r="A519" s="1" t="n"/>
      <c r="B519" s="1" t="n"/>
      <c r="C519" s="1" t="n"/>
      <c r="D519" s="1" t="n"/>
      <c r="E519" s="1" t="n"/>
      <c r="F519" s="1" t="n"/>
      <c r="G519" s="1" t="n"/>
      <c r="H519" s="1" t="n"/>
      <c r="I519" s="1" t="n"/>
      <c r="J519" s="1" t="n"/>
    </row>
    <row r="520" ht="15.75" customHeight="1" s="311">
      <c r="A520" s="1" t="n"/>
      <c r="B520" s="1" t="n"/>
      <c r="C520" s="1" t="n"/>
      <c r="D520" s="1" t="n"/>
      <c r="E520" s="1" t="n"/>
      <c r="F520" s="1" t="n"/>
      <c r="G520" s="1" t="n"/>
      <c r="H520" s="1" t="n"/>
      <c r="I520" s="1" t="n"/>
      <c r="J520" s="1" t="n"/>
    </row>
    <row r="521" ht="15.75" customHeight="1" s="311">
      <c r="A521" s="1" t="n"/>
      <c r="B521" s="1" t="n"/>
      <c r="C521" s="1" t="n"/>
      <c r="D521" s="1" t="n"/>
      <c r="E521" s="1" t="n"/>
      <c r="F521" s="1" t="n"/>
      <c r="G521" s="1" t="n"/>
      <c r="H521" s="1" t="n"/>
      <c r="I521" s="1" t="n"/>
      <c r="J521" s="1" t="n"/>
    </row>
    <row r="522" ht="15.75" customHeight="1" s="311">
      <c r="A522" s="1" t="n"/>
      <c r="B522" s="1" t="n"/>
      <c r="C522" s="1" t="n"/>
      <c r="D522" s="1" t="n"/>
      <c r="E522" s="1" t="n"/>
      <c r="F522" s="1" t="n"/>
      <c r="G522" s="1" t="n"/>
      <c r="H522" s="1" t="n"/>
      <c r="I522" s="1" t="n"/>
      <c r="J522" s="1" t="n"/>
    </row>
    <row r="523" ht="15.75" customHeight="1" s="311">
      <c r="A523" s="1" t="n"/>
      <c r="B523" s="1" t="n"/>
      <c r="C523" s="1" t="n"/>
      <c r="D523" s="1" t="n"/>
      <c r="E523" s="1" t="n"/>
      <c r="F523" s="1" t="n"/>
      <c r="G523" s="1" t="n"/>
      <c r="H523" s="1" t="n"/>
      <c r="I523" s="1" t="n"/>
      <c r="J523" s="1" t="n"/>
    </row>
    <row r="524" ht="15.75" customHeight="1" s="311">
      <c r="A524" s="1" t="n"/>
      <c r="B524" s="1" t="n"/>
      <c r="C524" s="1" t="n"/>
      <c r="D524" s="1" t="n"/>
      <c r="E524" s="1" t="n"/>
      <c r="F524" s="1" t="n"/>
      <c r="G524" s="1" t="n"/>
      <c r="H524" s="1" t="n"/>
      <c r="I524" s="1" t="n"/>
      <c r="J524" s="1" t="n"/>
    </row>
    <row r="525" ht="15.75" customHeight="1" s="311">
      <c r="A525" s="1" t="n"/>
      <c r="B525" s="1" t="n"/>
      <c r="C525" s="1" t="n"/>
      <c r="D525" s="1" t="n"/>
      <c r="E525" s="1" t="n"/>
      <c r="F525" s="1" t="n"/>
      <c r="G525" s="1" t="n"/>
      <c r="H525" s="1" t="n"/>
      <c r="I525" s="1" t="n"/>
      <c r="J525" s="1" t="n"/>
    </row>
    <row r="526" ht="15.75" customHeight="1" s="311">
      <c r="A526" s="1" t="n"/>
      <c r="B526" s="1" t="n"/>
      <c r="C526" s="1" t="n"/>
      <c r="D526" s="1" t="n"/>
      <c r="E526" s="1" t="n"/>
      <c r="F526" s="1" t="n"/>
      <c r="G526" s="1" t="n"/>
      <c r="H526" s="1" t="n"/>
      <c r="I526" s="1" t="n"/>
      <c r="J526" s="1" t="n"/>
    </row>
    <row r="527" ht="15.75" customHeight="1" s="311">
      <c r="A527" s="1" t="n"/>
      <c r="B527" s="1" t="n"/>
      <c r="C527" s="1" t="n"/>
      <c r="D527" s="1" t="n"/>
      <c r="E527" s="1" t="n"/>
      <c r="F527" s="1" t="n"/>
      <c r="G527" s="1" t="n"/>
      <c r="H527" s="1" t="n"/>
      <c r="I527" s="1" t="n"/>
      <c r="J527" s="1" t="n"/>
    </row>
    <row r="528" ht="15.75" customHeight="1" s="311">
      <c r="A528" s="1" t="n"/>
      <c r="B528" s="1" t="n"/>
      <c r="C528" s="1" t="n"/>
      <c r="D528" s="1" t="n"/>
      <c r="E528" s="1" t="n"/>
      <c r="F528" s="1" t="n"/>
      <c r="G528" s="1" t="n"/>
      <c r="H528" s="1" t="n"/>
      <c r="I528" s="1" t="n"/>
      <c r="J528" s="1" t="n"/>
    </row>
    <row r="529" ht="15.75" customHeight="1" s="311">
      <c r="A529" s="1" t="n"/>
      <c r="B529" s="1" t="n"/>
      <c r="C529" s="1" t="n"/>
      <c r="D529" s="1" t="n"/>
      <c r="E529" s="1" t="n"/>
      <c r="F529" s="1" t="n"/>
      <c r="G529" s="1" t="n"/>
      <c r="H529" s="1" t="n"/>
      <c r="I529" s="1" t="n"/>
      <c r="J529" s="1" t="n"/>
    </row>
    <row r="530" ht="15.75" customHeight="1" s="311">
      <c r="A530" s="1" t="n"/>
      <c r="B530" s="1" t="n"/>
      <c r="C530" s="1" t="n"/>
      <c r="D530" s="1" t="n"/>
      <c r="E530" s="1" t="n"/>
      <c r="F530" s="1" t="n"/>
      <c r="G530" s="1" t="n"/>
      <c r="H530" s="1" t="n"/>
      <c r="I530" s="1" t="n"/>
      <c r="J530" s="1" t="n"/>
    </row>
    <row r="531" ht="15.75" customHeight="1" s="311">
      <c r="A531" s="1" t="n"/>
      <c r="B531" s="1" t="n"/>
      <c r="C531" s="1" t="n"/>
      <c r="D531" s="1" t="n"/>
      <c r="E531" s="1" t="n"/>
      <c r="F531" s="1" t="n"/>
      <c r="G531" s="1" t="n"/>
      <c r="H531" s="1" t="n"/>
      <c r="I531" s="1" t="n"/>
      <c r="J531" s="1" t="n"/>
    </row>
    <row r="532" ht="15.75" customHeight="1" s="311">
      <c r="A532" s="1" t="n"/>
      <c r="B532" s="1" t="n"/>
      <c r="C532" s="1" t="n"/>
      <c r="D532" s="1" t="n"/>
      <c r="E532" s="1" t="n"/>
      <c r="F532" s="1" t="n"/>
      <c r="G532" s="1" t="n"/>
      <c r="H532" s="1" t="n"/>
      <c r="I532" s="1" t="n"/>
      <c r="J532" s="1" t="n"/>
    </row>
    <row r="533" ht="15.75" customHeight="1" s="311">
      <c r="A533" s="1" t="n"/>
      <c r="B533" s="1" t="n"/>
      <c r="C533" s="1" t="n"/>
      <c r="D533" s="1" t="n"/>
      <c r="E533" s="1" t="n"/>
      <c r="F533" s="1" t="n"/>
      <c r="G533" s="1" t="n"/>
      <c r="H533" s="1" t="n"/>
      <c r="I533" s="1" t="n"/>
      <c r="J533" s="1" t="n"/>
    </row>
    <row r="534" ht="15.75" customHeight="1" s="311">
      <c r="A534" s="1" t="n"/>
      <c r="B534" s="1" t="n"/>
      <c r="C534" s="1" t="n"/>
      <c r="D534" s="1" t="n"/>
      <c r="E534" s="1" t="n"/>
      <c r="F534" s="1" t="n"/>
      <c r="G534" s="1" t="n"/>
      <c r="H534" s="1" t="n"/>
      <c r="I534" s="1" t="n"/>
      <c r="J534" s="1" t="n"/>
    </row>
    <row r="535" ht="15.75" customHeight="1" s="311">
      <c r="A535" s="1" t="n"/>
      <c r="B535" s="1" t="n"/>
      <c r="C535" s="1" t="n"/>
      <c r="D535" s="1" t="n"/>
      <c r="E535" s="1" t="n"/>
      <c r="F535" s="1" t="n"/>
      <c r="G535" s="1" t="n"/>
      <c r="H535" s="1" t="n"/>
      <c r="I535" s="1" t="n"/>
      <c r="J535" s="1" t="n"/>
    </row>
    <row r="536" ht="15.75" customHeight="1" s="311">
      <c r="A536" s="1" t="n"/>
      <c r="B536" s="1" t="n"/>
      <c r="C536" s="1" t="n"/>
      <c r="D536" s="1" t="n"/>
      <c r="E536" s="1" t="n"/>
      <c r="F536" s="1" t="n"/>
      <c r="G536" s="1" t="n"/>
      <c r="H536" s="1" t="n"/>
      <c r="I536" s="1" t="n"/>
      <c r="J536" s="1" t="n"/>
    </row>
    <row r="537" ht="15.75" customHeight="1" s="311">
      <c r="A537" s="1" t="n"/>
      <c r="B537" s="1" t="n"/>
      <c r="C537" s="1" t="n"/>
      <c r="D537" s="1" t="n"/>
      <c r="E537" s="1" t="n"/>
      <c r="F537" s="1" t="n"/>
      <c r="G537" s="1" t="n"/>
      <c r="H537" s="1" t="n"/>
      <c r="I537" s="1" t="n"/>
      <c r="J537" s="1" t="n"/>
    </row>
    <row r="538" ht="15.75" customHeight="1" s="311">
      <c r="A538" s="1" t="n"/>
      <c r="B538" s="1" t="n"/>
      <c r="C538" s="1" t="n"/>
      <c r="D538" s="1" t="n"/>
      <c r="E538" s="1" t="n"/>
      <c r="F538" s="1" t="n"/>
      <c r="G538" s="1" t="n"/>
      <c r="H538" s="1" t="n"/>
      <c r="I538" s="1" t="n"/>
      <c r="J538" s="1" t="n"/>
    </row>
    <row r="539" ht="15.75" customHeight="1" s="311">
      <c r="A539" s="1" t="n"/>
      <c r="B539" s="1" t="n"/>
      <c r="C539" s="1" t="n"/>
      <c r="D539" s="1" t="n"/>
      <c r="E539" s="1" t="n"/>
      <c r="F539" s="1" t="n"/>
      <c r="G539" s="1" t="n"/>
      <c r="H539" s="1" t="n"/>
      <c r="I539" s="1" t="n"/>
      <c r="J539" s="1" t="n"/>
    </row>
    <row r="540" ht="15.75" customHeight="1" s="311">
      <c r="A540" s="1" t="n"/>
      <c r="B540" s="1" t="n"/>
      <c r="C540" s="1" t="n"/>
      <c r="D540" s="1" t="n"/>
      <c r="E540" s="1" t="n"/>
      <c r="F540" s="1" t="n"/>
      <c r="G540" s="1" t="n"/>
      <c r="H540" s="1" t="n"/>
      <c r="I540" s="1" t="n"/>
      <c r="J540" s="1" t="n"/>
    </row>
    <row r="541" ht="15.75" customHeight="1" s="311">
      <c r="A541" s="1" t="n"/>
      <c r="B541" s="1" t="n"/>
      <c r="C541" s="1" t="n"/>
      <c r="D541" s="1" t="n"/>
      <c r="E541" s="1" t="n"/>
      <c r="F541" s="1" t="n"/>
      <c r="G541" s="1" t="n"/>
      <c r="H541" s="1" t="n"/>
      <c r="I541" s="1" t="n"/>
      <c r="J541" s="1" t="n"/>
    </row>
    <row r="542" ht="15.75" customHeight="1" s="311">
      <c r="A542" s="1" t="n"/>
      <c r="B542" s="1" t="n"/>
      <c r="C542" s="1" t="n"/>
      <c r="D542" s="1" t="n"/>
      <c r="E542" s="1" t="n"/>
      <c r="F542" s="1" t="n"/>
      <c r="G542" s="1" t="n"/>
      <c r="H542" s="1" t="n"/>
      <c r="I542" s="1" t="n"/>
      <c r="J542" s="1" t="n"/>
    </row>
    <row r="543" ht="15.75" customHeight="1" s="311">
      <c r="A543" s="1" t="n"/>
      <c r="B543" s="1" t="n"/>
      <c r="C543" s="1" t="n"/>
      <c r="D543" s="1" t="n"/>
      <c r="E543" s="1" t="n"/>
      <c r="F543" s="1" t="n"/>
      <c r="G543" s="1" t="n"/>
      <c r="H543" s="1" t="n"/>
      <c r="I543" s="1" t="n"/>
      <c r="J543" s="1" t="n"/>
    </row>
    <row r="544" ht="15.75" customHeight="1" s="311">
      <c r="A544" s="1" t="n"/>
      <c r="B544" s="1" t="n"/>
      <c r="C544" s="1" t="n"/>
      <c r="D544" s="1" t="n"/>
      <c r="E544" s="1" t="n"/>
      <c r="F544" s="1" t="n"/>
      <c r="G544" s="1" t="n"/>
      <c r="H544" s="1" t="n"/>
      <c r="I544" s="1" t="n"/>
      <c r="J544" s="1" t="n"/>
    </row>
    <row r="545" ht="15.75" customHeight="1" s="311">
      <c r="A545" s="1" t="n"/>
      <c r="B545" s="1" t="n"/>
      <c r="C545" s="1" t="n"/>
      <c r="D545" s="1" t="n"/>
      <c r="E545" s="1" t="n"/>
      <c r="F545" s="1" t="n"/>
      <c r="G545" s="1" t="n"/>
      <c r="H545" s="1" t="n"/>
      <c r="I545" s="1" t="n"/>
      <c r="J545" s="1" t="n"/>
    </row>
    <row r="546" ht="15.75" customHeight="1" s="311">
      <c r="A546" s="1" t="n"/>
      <c r="B546" s="1" t="n"/>
      <c r="C546" s="1" t="n"/>
      <c r="D546" s="1" t="n"/>
      <c r="E546" s="1" t="n"/>
      <c r="F546" s="1" t="n"/>
      <c r="G546" s="1" t="n"/>
      <c r="H546" s="1" t="n"/>
      <c r="I546" s="1" t="n"/>
      <c r="J546" s="1" t="n"/>
    </row>
    <row r="547" ht="15.75" customHeight="1" s="311">
      <c r="A547" s="1" t="n"/>
      <c r="B547" s="1" t="n"/>
      <c r="C547" s="1" t="n"/>
      <c r="D547" s="1" t="n"/>
      <c r="E547" s="1" t="n"/>
      <c r="F547" s="1" t="n"/>
      <c r="G547" s="1" t="n"/>
      <c r="H547" s="1" t="n"/>
      <c r="I547" s="1" t="n"/>
      <c r="J547" s="1" t="n"/>
    </row>
    <row r="548" ht="15.75" customHeight="1" s="311">
      <c r="A548" s="1" t="n"/>
      <c r="B548" s="1" t="n"/>
      <c r="C548" s="1" t="n"/>
      <c r="D548" s="1" t="n"/>
      <c r="E548" s="1" t="n"/>
      <c r="F548" s="1" t="n"/>
      <c r="G548" s="1" t="n"/>
      <c r="H548" s="1" t="n"/>
      <c r="I548" s="1" t="n"/>
      <c r="J548" s="1" t="n"/>
    </row>
    <row r="549" ht="15.75" customHeight="1" s="311">
      <c r="A549" s="1" t="n"/>
      <c r="B549" s="1" t="n"/>
      <c r="C549" s="1" t="n"/>
      <c r="D549" s="1" t="n"/>
      <c r="E549" s="1" t="n"/>
      <c r="F549" s="1" t="n"/>
      <c r="G549" s="1" t="n"/>
      <c r="H549" s="1" t="n"/>
      <c r="I549" s="1" t="n"/>
      <c r="J549" s="1" t="n"/>
    </row>
    <row r="550" ht="15.75" customHeight="1" s="311">
      <c r="A550" s="1" t="n"/>
      <c r="B550" s="1" t="n"/>
      <c r="C550" s="1" t="n"/>
      <c r="D550" s="1" t="n"/>
      <c r="E550" s="1" t="n"/>
      <c r="F550" s="1" t="n"/>
      <c r="G550" s="1" t="n"/>
      <c r="H550" s="1" t="n"/>
      <c r="I550" s="1" t="n"/>
      <c r="J550" s="1" t="n"/>
    </row>
    <row r="551" ht="15.75" customHeight="1" s="311">
      <c r="A551" s="1" t="n"/>
      <c r="B551" s="1" t="n"/>
      <c r="C551" s="1" t="n"/>
      <c r="D551" s="1" t="n"/>
      <c r="E551" s="1" t="n"/>
      <c r="F551" s="1" t="n"/>
      <c r="G551" s="1" t="n"/>
      <c r="H551" s="1" t="n"/>
      <c r="I551" s="1" t="n"/>
      <c r="J551" s="1" t="n"/>
    </row>
    <row r="552" ht="15.75" customHeight="1" s="311">
      <c r="A552" s="1" t="n"/>
      <c r="B552" s="1" t="n"/>
      <c r="C552" s="1" t="n"/>
      <c r="D552" s="1" t="n"/>
      <c r="E552" s="1" t="n"/>
      <c r="F552" s="1" t="n"/>
      <c r="G552" s="1" t="n"/>
      <c r="H552" s="1" t="n"/>
      <c r="I552" s="1" t="n"/>
      <c r="J552" s="1" t="n"/>
    </row>
    <row r="553" ht="15.75" customHeight="1" s="311">
      <c r="A553" s="1" t="n"/>
      <c r="B553" s="1" t="n"/>
      <c r="C553" s="1" t="n"/>
      <c r="D553" s="1" t="n"/>
      <c r="E553" s="1" t="n"/>
      <c r="F553" s="1" t="n"/>
      <c r="G553" s="1" t="n"/>
      <c r="H553" s="1" t="n"/>
      <c r="I553" s="1" t="n"/>
      <c r="J553" s="1" t="n"/>
    </row>
    <row r="554" ht="15.75" customHeight="1" s="311">
      <c r="A554" s="1" t="n"/>
      <c r="B554" s="1" t="n"/>
      <c r="C554" s="1" t="n"/>
      <c r="D554" s="1" t="n"/>
      <c r="E554" s="1" t="n"/>
      <c r="F554" s="1" t="n"/>
      <c r="G554" s="1" t="n"/>
      <c r="H554" s="1" t="n"/>
      <c r="I554" s="1" t="n"/>
      <c r="J554" s="1" t="n"/>
    </row>
    <row r="555" ht="15.75" customHeight="1" s="311">
      <c r="A555" s="1" t="n"/>
      <c r="B555" s="1" t="n"/>
      <c r="C555" s="1" t="n"/>
      <c r="D555" s="1" t="n"/>
      <c r="E555" s="1" t="n"/>
      <c r="F555" s="1" t="n"/>
      <c r="G555" s="1" t="n"/>
      <c r="H555" s="1" t="n"/>
      <c r="I555" s="1" t="n"/>
      <c r="J555" s="1" t="n"/>
    </row>
    <row r="556" ht="15.75" customHeight="1" s="311">
      <c r="A556" s="1" t="n"/>
      <c r="B556" s="1" t="n"/>
      <c r="C556" s="1" t="n"/>
      <c r="D556" s="1" t="n"/>
      <c r="E556" s="1" t="n"/>
      <c r="F556" s="1" t="n"/>
      <c r="G556" s="1" t="n"/>
      <c r="H556" s="1" t="n"/>
      <c r="I556" s="1" t="n"/>
      <c r="J556" s="1" t="n"/>
    </row>
    <row r="557" ht="15.75" customHeight="1" s="311">
      <c r="A557" s="1" t="n"/>
      <c r="B557" s="1" t="n"/>
      <c r="C557" s="1" t="n"/>
      <c r="D557" s="1" t="n"/>
      <c r="E557" s="1" t="n"/>
      <c r="F557" s="1" t="n"/>
      <c r="G557" s="1" t="n"/>
      <c r="H557" s="1" t="n"/>
      <c r="I557" s="1" t="n"/>
      <c r="J557" s="1" t="n"/>
    </row>
    <row r="558" ht="15.75" customHeight="1" s="311">
      <c r="A558" s="1" t="n"/>
      <c r="B558" s="1" t="n"/>
      <c r="C558" s="1" t="n"/>
      <c r="D558" s="1" t="n"/>
      <c r="E558" s="1" t="n"/>
      <c r="F558" s="1" t="n"/>
      <c r="G558" s="1" t="n"/>
      <c r="H558" s="1" t="n"/>
      <c r="I558" s="1" t="n"/>
      <c r="J558" s="1" t="n"/>
    </row>
    <row r="559" ht="15.75" customHeight="1" s="311">
      <c r="A559" s="1" t="n"/>
      <c r="B559" s="1" t="n"/>
      <c r="C559" s="1" t="n"/>
      <c r="D559" s="1" t="n"/>
      <c r="E559" s="1" t="n"/>
      <c r="F559" s="1" t="n"/>
      <c r="G559" s="1" t="n"/>
      <c r="H559" s="1" t="n"/>
      <c r="I559" s="1" t="n"/>
      <c r="J559" s="1" t="n"/>
    </row>
    <row r="560" ht="15.75" customHeight="1" s="311">
      <c r="A560" s="1" t="n"/>
      <c r="B560" s="1" t="n"/>
      <c r="C560" s="1" t="n"/>
      <c r="D560" s="1" t="n"/>
      <c r="E560" s="1" t="n"/>
      <c r="F560" s="1" t="n"/>
      <c r="G560" s="1" t="n"/>
      <c r="H560" s="1" t="n"/>
      <c r="I560" s="1" t="n"/>
      <c r="J560" s="1" t="n"/>
    </row>
    <row r="561" ht="15.75" customHeight="1" s="311">
      <c r="A561" s="1" t="n"/>
      <c r="B561" s="1" t="n"/>
      <c r="C561" s="1" t="n"/>
      <c r="D561" s="1" t="n"/>
      <c r="E561" s="1" t="n"/>
      <c r="F561" s="1" t="n"/>
      <c r="G561" s="1" t="n"/>
      <c r="H561" s="1" t="n"/>
      <c r="I561" s="1" t="n"/>
      <c r="J561" s="1" t="n"/>
    </row>
    <row r="562" ht="15.75" customHeight="1" s="311">
      <c r="A562" s="1" t="n"/>
      <c r="B562" s="1" t="n"/>
      <c r="C562" s="1" t="n"/>
      <c r="D562" s="1" t="n"/>
      <c r="E562" s="1" t="n"/>
      <c r="F562" s="1" t="n"/>
      <c r="G562" s="1" t="n"/>
      <c r="H562" s="1" t="n"/>
      <c r="I562" s="1" t="n"/>
      <c r="J562" s="1" t="n"/>
    </row>
    <row r="563" ht="15.75" customHeight="1" s="311">
      <c r="A563" s="1" t="n"/>
      <c r="B563" s="1" t="n"/>
      <c r="C563" s="1" t="n"/>
      <c r="D563" s="1" t="n"/>
      <c r="E563" s="1" t="n"/>
      <c r="F563" s="1" t="n"/>
      <c r="G563" s="1" t="n"/>
      <c r="H563" s="1" t="n"/>
      <c r="I563" s="1" t="n"/>
      <c r="J563" s="1" t="n"/>
    </row>
    <row r="564" ht="15.75" customHeight="1" s="311">
      <c r="A564" s="1" t="n"/>
      <c r="B564" s="1" t="n"/>
      <c r="C564" s="1" t="n"/>
      <c r="D564" s="1" t="n"/>
      <c r="E564" s="1" t="n"/>
      <c r="F564" s="1" t="n"/>
      <c r="G564" s="1" t="n"/>
      <c r="H564" s="1" t="n"/>
      <c r="I564" s="1" t="n"/>
      <c r="J564" s="1" t="n"/>
    </row>
    <row r="565" ht="15.75" customHeight="1" s="311">
      <c r="A565" s="1" t="n"/>
      <c r="B565" s="1" t="n"/>
      <c r="C565" s="1" t="n"/>
      <c r="D565" s="1" t="n"/>
      <c r="E565" s="1" t="n"/>
      <c r="F565" s="1" t="n"/>
      <c r="G565" s="1" t="n"/>
      <c r="H565" s="1" t="n"/>
      <c r="I565" s="1" t="n"/>
      <c r="J565" s="1" t="n"/>
    </row>
    <row r="566" ht="15.75" customHeight="1" s="311">
      <c r="A566" s="1" t="n"/>
      <c r="B566" s="1" t="n"/>
      <c r="C566" s="1" t="n"/>
      <c r="D566" s="1" t="n"/>
      <c r="E566" s="1" t="n"/>
      <c r="F566" s="1" t="n"/>
      <c r="G566" s="1" t="n"/>
      <c r="H566" s="1" t="n"/>
      <c r="I566" s="1" t="n"/>
      <c r="J566" s="1" t="n"/>
    </row>
    <row r="567" ht="15.75" customHeight="1" s="311">
      <c r="A567" s="1" t="n"/>
      <c r="B567" s="1" t="n"/>
      <c r="C567" s="1" t="n"/>
      <c r="D567" s="1" t="n"/>
      <c r="E567" s="1" t="n"/>
      <c r="F567" s="1" t="n"/>
      <c r="G567" s="1" t="n"/>
      <c r="H567" s="1" t="n"/>
      <c r="I567" s="1" t="n"/>
      <c r="J567" s="1" t="n"/>
    </row>
    <row r="568" ht="15.75" customHeight="1" s="311">
      <c r="A568" s="1" t="n"/>
      <c r="B568" s="1" t="n"/>
      <c r="C568" s="1" t="n"/>
      <c r="D568" s="1" t="n"/>
      <c r="E568" s="1" t="n"/>
      <c r="F568" s="1" t="n"/>
      <c r="G568" s="1" t="n"/>
      <c r="H568" s="1" t="n"/>
      <c r="I568" s="1" t="n"/>
      <c r="J568" s="1" t="n"/>
    </row>
    <row r="569" ht="15.75" customHeight="1" s="311">
      <c r="A569" s="1" t="n"/>
      <c r="B569" s="1" t="n"/>
      <c r="C569" s="1" t="n"/>
      <c r="D569" s="1" t="n"/>
      <c r="E569" s="1" t="n"/>
      <c r="F569" s="1" t="n"/>
      <c r="G569" s="1" t="n"/>
      <c r="H569" s="1" t="n"/>
      <c r="I569" s="1" t="n"/>
      <c r="J569" s="1" t="n"/>
    </row>
    <row r="570" ht="15.75" customHeight="1" s="311">
      <c r="A570" s="1" t="n"/>
      <c r="B570" s="1" t="n"/>
      <c r="C570" s="1" t="n"/>
      <c r="D570" s="1" t="n"/>
      <c r="E570" s="1" t="n"/>
      <c r="F570" s="1" t="n"/>
      <c r="G570" s="1" t="n"/>
      <c r="H570" s="1" t="n"/>
      <c r="I570" s="1" t="n"/>
      <c r="J570" s="1" t="n"/>
    </row>
    <row r="571" ht="15.75" customHeight="1" s="311">
      <c r="A571" s="1" t="n"/>
      <c r="B571" s="1" t="n"/>
      <c r="C571" s="1" t="n"/>
      <c r="D571" s="1" t="n"/>
      <c r="E571" s="1" t="n"/>
      <c r="F571" s="1" t="n"/>
      <c r="G571" s="1" t="n"/>
      <c r="H571" s="1" t="n"/>
      <c r="I571" s="1" t="n"/>
      <c r="J571" s="1" t="n"/>
    </row>
    <row r="572" ht="15.75" customHeight="1" s="311">
      <c r="A572" s="1" t="n"/>
      <c r="B572" s="1" t="n"/>
      <c r="C572" s="1" t="n"/>
      <c r="D572" s="1" t="n"/>
      <c r="E572" s="1" t="n"/>
      <c r="F572" s="1" t="n"/>
      <c r="G572" s="1" t="n"/>
      <c r="H572" s="1" t="n"/>
      <c r="I572" s="1" t="n"/>
      <c r="J572" s="1" t="n"/>
    </row>
    <row r="573" ht="15.75" customHeight="1" s="311">
      <c r="A573" s="1" t="n"/>
      <c r="B573" s="1" t="n"/>
      <c r="C573" s="1" t="n"/>
      <c r="D573" s="1" t="n"/>
      <c r="E573" s="1" t="n"/>
      <c r="F573" s="1" t="n"/>
      <c r="G573" s="1" t="n"/>
      <c r="H573" s="1" t="n"/>
      <c r="I573" s="1" t="n"/>
      <c r="J573" s="1" t="n"/>
    </row>
    <row r="574" ht="15.75" customHeight="1" s="311">
      <c r="A574" s="1" t="n"/>
      <c r="B574" s="1" t="n"/>
      <c r="C574" s="1" t="n"/>
      <c r="D574" s="1" t="n"/>
      <c r="E574" s="1" t="n"/>
      <c r="F574" s="1" t="n"/>
      <c r="G574" s="1" t="n"/>
      <c r="H574" s="1" t="n"/>
      <c r="I574" s="1" t="n"/>
      <c r="J574" s="1" t="n"/>
    </row>
    <row r="575" ht="15.75" customHeight="1" s="311">
      <c r="A575" s="1" t="n"/>
      <c r="B575" s="1" t="n"/>
      <c r="C575" s="1" t="n"/>
      <c r="D575" s="1" t="n"/>
      <c r="E575" s="1" t="n"/>
      <c r="F575" s="1" t="n"/>
      <c r="G575" s="1" t="n"/>
      <c r="H575" s="1" t="n"/>
      <c r="I575" s="1" t="n"/>
      <c r="J575" s="1" t="n"/>
    </row>
    <row r="576" ht="15.75" customHeight="1" s="311">
      <c r="A576" s="1" t="n"/>
      <c r="B576" s="1" t="n"/>
      <c r="C576" s="1" t="n"/>
      <c r="D576" s="1" t="n"/>
      <c r="E576" s="1" t="n"/>
      <c r="F576" s="1" t="n"/>
      <c r="G576" s="1" t="n"/>
      <c r="H576" s="1" t="n"/>
      <c r="I576" s="1" t="n"/>
      <c r="J576" s="1" t="n"/>
    </row>
    <row r="577" ht="15.75" customHeight="1" s="311">
      <c r="A577" s="1" t="n"/>
      <c r="B577" s="1" t="n"/>
      <c r="C577" s="1" t="n"/>
      <c r="D577" s="1" t="n"/>
      <c r="E577" s="1" t="n"/>
      <c r="F577" s="1" t="n"/>
      <c r="G577" s="1" t="n"/>
      <c r="H577" s="1" t="n"/>
      <c r="I577" s="1" t="n"/>
      <c r="J577" s="1" t="n"/>
    </row>
    <row r="578" ht="15.75" customHeight="1" s="311">
      <c r="A578" s="1" t="n"/>
      <c r="B578" s="1" t="n"/>
      <c r="C578" s="1" t="n"/>
      <c r="D578" s="1" t="n"/>
      <c r="E578" s="1" t="n"/>
      <c r="F578" s="1" t="n"/>
      <c r="G578" s="1" t="n"/>
      <c r="H578" s="1" t="n"/>
      <c r="I578" s="1" t="n"/>
      <c r="J578" s="1" t="n"/>
    </row>
    <row r="579" ht="15.75" customHeight="1" s="311">
      <c r="A579" s="1" t="n"/>
      <c r="B579" s="1" t="n"/>
      <c r="C579" s="1" t="n"/>
      <c r="D579" s="1" t="n"/>
      <c r="E579" s="1" t="n"/>
      <c r="F579" s="1" t="n"/>
      <c r="G579" s="1" t="n"/>
      <c r="H579" s="1" t="n"/>
      <c r="I579" s="1" t="n"/>
      <c r="J579" s="1" t="n"/>
    </row>
    <row r="580" ht="15.75" customHeight="1" s="311">
      <c r="A580" s="1" t="n"/>
      <c r="B580" s="1" t="n"/>
      <c r="C580" s="1" t="n"/>
      <c r="D580" s="1" t="n"/>
      <c r="E580" s="1" t="n"/>
      <c r="F580" s="1" t="n"/>
      <c r="G580" s="1" t="n"/>
      <c r="H580" s="1" t="n"/>
      <c r="I580" s="1" t="n"/>
      <c r="J580" s="1" t="n"/>
    </row>
    <row r="581" ht="15.75" customHeight="1" s="311">
      <c r="A581" s="1" t="n"/>
      <c r="B581" s="1" t="n"/>
      <c r="C581" s="1" t="n"/>
      <c r="D581" s="1" t="n"/>
      <c r="E581" s="1" t="n"/>
      <c r="F581" s="1" t="n"/>
      <c r="G581" s="1" t="n"/>
      <c r="H581" s="1" t="n"/>
      <c r="I581" s="1" t="n"/>
      <c r="J581" s="1" t="n"/>
    </row>
    <row r="582" ht="15.75" customHeight="1" s="311">
      <c r="A582" s="1" t="n"/>
      <c r="B582" s="1" t="n"/>
      <c r="C582" s="1" t="n"/>
      <c r="D582" s="1" t="n"/>
      <c r="E582" s="1" t="n"/>
      <c r="F582" s="1" t="n"/>
      <c r="G582" s="1" t="n"/>
      <c r="H582" s="1" t="n"/>
      <c r="I582" s="1" t="n"/>
      <c r="J582" s="1" t="n"/>
    </row>
    <row r="583" ht="15.75" customHeight="1" s="311">
      <c r="A583" s="1" t="n"/>
      <c r="B583" s="1" t="n"/>
      <c r="C583" s="1" t="n"/>
      <c r="D583" s="1" t="n"/>
      <c r="E583" s="1" t="n"/>
      <c r="F583" s="1" t="n"/>
      <c r="G583" s="1" t="n"/>
      <c r="H583" s="1" t="n"/>
      <c r="I583" s="1" t="n"/>
      <c r="J583" s="1" t="n"/>
    </row>
    <row r="584" ht="15.75" customHeight="1" s="311">
      <c r="A584" s="1" t="n"/>
      <c r="B584" s="1" t="n"/>
      <c r="C584" s="1" t="n"/>
      <c r="D584" s="1" t="n"/>
      <c r="E584" s="1" t="n"/>
      <c r="F584" s="1" t="n"/>
      <c r="G584" s="1" t="n"/>
      <c r="H584" s="1" t="n"/>
      <c r="I584" s="1" t="n"/>
      <c r="J584" s="1" t="n"/>
    </row>
    <row r="585" ht="15.75" customHeight="1" s="311">
      <c r="A585" s="1" t="n"/>
      <c r="B585" s="1" t="n"/>
      <c r="C585" s="1" t="n"/>
      <c r="D585" s="1" t="n"/>
      <c r="E585" s="1" t="n"/>
      <c r="F585" s="1" t="n"/>
      <c r="G585" s="1" t="n"/>
      <c r="H585" s="1" t="n"/>
      <c r="I585" s="1" t="n"/>
      <c r="J585" s="1" t="n"/>
    </row>
    <row r="586" ht="15.75" customHeight="1" s="311">
      <c r="A586" s="1" t="n"/>
      <c r="B586" s="1" t="n"/>
      <c r="C586" s="1" t="n"/>
      <c r="D586" s="1" t="n"/>
      <c r="E586" s="1" t="n"/>
      <c r="F586" s="1" t="n"/>
      <c r="G586" s="1" t="n"/>
      <c r="H586" s="1" t="n"/>
      <c r="I586" s="1" t="n"/>
      <c r="J586" s="1" t="n"/>
    </row>
    <row r="587" ht="15.75" customHeight="1" s="311">
      <c r="A587" s="1" t="n"/>
      <c r="B587" s="1" t="n"/>
      <c r="C587" s="1" t="n"/>
      <c r="D587" s="1" t="n"/>
      <c r="E587" s="1" t="n"/>
      <c r="F587" s="1" t="n"/>
      <c r="G587" s="1" t="n"/>
      <c r="H587" s="1" t="n"/>
      <c r="I587" s="1" t="n"/>
      <c r="J587" s="1" t="n"/>
    </row>
    <row r="588" ht="15.75" customHeight="1" s="311">
      <c r="A588" s="1" t="n"/>
      <c r="B588" s="1" t="n"/>
      <c r="C588" s="1" t="n"/>
      <c r="D588" s="1" t="n"/>
      <c r="E588" s="1" t="n"/>
      <c r="F588" s="1" t="n"/>
      <c r="G588" s="1" t="n"/>
      <c r="H588" s="1" t="n"/>
      <c r="I588" s="1" t="n"/>
      <c r="J588" s="1" t="n"/>
    </row>
    <row r="589" ht="15.75" customHeight="1" s="311">
      <c r="A589" s="1" t="n"/>
      <c r="B589" s="1" t="n"/>
      <c r="C589" s="1" t="n"/>
      <c r="D589" s="1" t="n"/>
      <c r="E589" s="1" t="n"/>
      <c r="F589" s="1" t="n"/>
      <c r="G589" s="1" t="n"/>
      <c r="H589" s="1" t="n"/>
      <c r="I589" s="1" t="n"/>
      <c r="J589" s="1" t="n"/>
    </row>
    <row r="590" ht="15.75" customHeight="1" s="311">
      <c r="A590" s="1" t="n"/>
      <c r="B590" s="1" t="n"/>
      <c r="C590" s="1" t="n"/>
      <c r="D590" s="1" t="n"/>
      <c r="E590" s="1" t="n"/>
      <c r="F590" s="1" t="n"/>
      <c r="G590" s="1" t="n"/>
      <c r="H590" s="1" t="n"/>
      <c r="I590" s="1" t="n"/>
      <c r="J590" s="1" t="n"/>
    </row>
    <row r="591" ht="15.75" customHeight="1" s="311">
      <c r="A591" s="1" t="n"/>
      <c r="B591" s="1" t="n"/>
      <c r="C591" s="1" t="n"/>
      <c r="D591" s="1" t="n"/>
      <c r="E591" s="1" t="n"/>
      <c r="F591" s="1" t="n"/>
      <c r="G591" s="1" t="n"/>
      <c r="H591" s="1" t="n"/>
      <c r="I591" s="1" t="n"/>
      <c r="J591" s="1" t="n"/>
    </row>
    <row r="592" ht="15.75" customHeight="1" s="311">
      <c r="A592" s="1" t="n"/>
      <c r="B592" s="1" t="n"/>
      <c r="C592" s="1" t="n"/>
      <c r="D592" s="1" t="n"/>
      <c r="E592" s="1" t="n"/>
      <c r="F592" s="1" t="n"/>
      <c r="G592" s="1" t="n"/>
      <c r="H592" s="1" t="n"/>
      <c r="I592" s="1" t="n"/>
      <c r="J592" s="1" t="n"/>
    </row>
    <row r="593" ht="15.75" customHeight="1" s="311">
      <c r="A593" s="1" t="n"/>
      <c r="B593" s="1" t="n"/>
      <c r="C593" s="1" t="n"/>
      <c r="D593" s="1" t="n"/>
      <c r="E593" s="1" t="n"/>
      <c r="F593" s="1" t="n"/>
      <c r="G593" s="1" t="n"/>
      <c r="H593" s="1" t="n"/>
      <c r="I593" s="1" t="n"/>
      <c r="J593" s="1" t="n"/>
    </row>
    <row r="594" ht="15.75" customHeight="1" s="311">
      <c r="A594" s="1" t="n"/>
      <c r="B594" s="1" t="n"/>
      <c r="C594" s="1" t="n"/>
      <c r="D594" s="1" t="n"/>
      <c r="E594" s="1" t="n"/>
      <c r="F594" s="1" t="n"/>
      <c r="G594" s="1" t="n"/>
      <c r="H594" s="1" t="n"/>
      <c r="I594" s="1" t="n"/>
      <c r="J594" s="1" t="n"/>
    </row>
    <row r="595" ht="15.75" customHeight="1" s="311">
      <c r="A595" s="1" t="n"/>
      <c r="B595" s="1" t="n"/>
      <c r="C595" s="1" t="n"/>
      <c r="D595" s="1" t="n"/>
      <c r="E595" s="1" t="n"/>
      <c r="F595" s="1" t="n"/>
      <c r="G595" s="1" t="n"/>
      <c r="H595" s="1" t="n"/>
      <c r="I595" s="1" t="n"/>
      <c r="J595" s="1" t="n"/>
    </row>
    <row r="596" ht="15.75" customHeight="1" s="311">
      <c r="A596" s="1" t="n"/>
      <c r="B596" s="1" t="n"/>
      <c r="C596" s="1" t="n"/>
      <c r="D596" s="1" t="n"/>
      <c r="E596" s="1" t="n"/>
      <c r="F596" s="1" t="n"/>
      <c r="G596" s="1" t="n"/>
      <c r="H596" s="1" t="n"/>
      <c r="I596" s="1" t="n"/>
      <c r="J596" s="1" t="n"/>
    </row>
    <row r="597" ht="15.75" customHeight="1" s="311">
      <c r="A597" s="1" t="n"/>
      <c r="B597" s="1" t="n"/>
      <c r="C597" s="1" t="n"/>
      <c r="D597" s="1" t="n"/>
      <c r="E597" s="1" t="n"/>
      <c r="F597" s="1" t="n"/>
      <c r="G597" s="1" t="n"/>
      <c r="H597" s="1" t="n"/>
      <c r="I597" s="1" t="n"/>
      <c r="J597" s="1" t="n"/>
    </row>
    <row r="598" ht="15.75" customHeight="1" s="311">
      <c r="A598" s="1" t="n"/>
      <c r="B598" s="1" t="n"/>
      <c r="C598" s="1" t="n"/>
      <c r="D598" s="1" t="n"/>
      <c r="E598" s="1" t="n"/>
      <c r="F598" s="1" t="n"/>
      <c r="G598" s="1" t="n"/>
      <c r="H598" s="1" t="n"/>
      <c r="I598" s="1" t="n"/>
      <c r="J598" s="1" t="n"/>
    </row>
    <row r="599" ht="15.75" customHeight="1" s="311">
      <c r="A599" s="1" t="n"/>
      <c r="B599" s="1" t="n"/>
      <c r="C599" s="1" t="n"/>
      <c r="D599" s="1" t="n"/>
      <c r="E599" s="1" t="n"/>
      <c r="F599" s="1" t="n"/>
      <c r="G599" s="1" t="n"/>
      <c r="H599" s="1" t="n"/>
      <c r="I599" s="1" t="n"/>
      <c r="J599" s="1" t="n"/>
    </row>
    <row r="600" ht="15.75" customHeight="1" s="311">
      <c r="A600" s="1" t="n"/>
      <c r="B600" s="1" t="n"/>
      <c r="C600" s="1" t="n"/>
      <c r="D600" s="1" t="n"/>
      <c r="E600" s="1" t="n"/>
      <c r="F600" s="1" t="n"/>
      <c r="G600" s="1" t="n"/>
      <c r="H600" s="1" t="n"/>
      <c r="I600" s="1" t="n"/>
      <c r="J600" s="1" t="n"/>
    </row>
    <row r="601" ht="15.75" customHeight="1" s="311">
      <c r="A601" s="1" t="n"/>
      <c r="B601" s="1" t="n"/>
      <c r="C601" s="1" t="n"/>
      <c r="D601" s="1" t="n"/>
      <c r="E601" s="1" t="n"/>
      <c r="F601" s="1" t="n"/>
      <c r="G601" s="1" t="n"/>
      <c r="H601" s="1" t="n"/>
      <c r="I601" s="1" t="n"/>
      <c r="J601" s="1" t="n"/>
    </row>
    <row r="602" ht="15.75" customHeight="1" s="311">
      <c r="A602" s="1" t="n"/>
      <c r="B602" s="1" t="n"/>
      <c r="C602" s="1" t="n"/>
      <c r="D602" s="1" t="n"/>
      <c r="E602" s="1" t="n"/>
      <c r="F602" s="1" t="n"/>
      <c r="G602" s="1" t="n"/>
      <c r="H602" s="1" t="n"/>
      <c r="I602" s="1" t="n"/>
      <c r="J602" s="1" t="n"/>
    </row>
    <row r="603" ht="15.75" customHeight="1" s="311">
      <c r="A603" s="1" t="n"/>
      <c r="B603" s="1" t="n"/>
      <c r="C603" s="1" t="n"/>
      <c r="D603" s="1" t="n"/>
      <c r="E603" s="1" t="n"/>
      <c r="F603" s="1" t="n"/>
      <c r="G603" s="1" t="n"/>
      <c r="H603" s="1" t="n"/>
      <c r="I603" s="1" t="n"/>
      <c r="J603" s="1" t="n"/>
    </row>
    <row r="604" ht="15.75" customHeight="1" s="311">
      <c r="A604" s="1" t="n"/>
      <c r="B604" s="1" t="n"/>
      <c r="C604" s="1" t="n"/>
      <c r="D604" s="1" t="n"/>
      <c r="E604" s="1" t="n"/>
      <c r="F604" s="1" t="n"/>
      <c r="G604" s="1" t="n"/>
      <c r="H604" s="1" t="n"/>
      <c r="I604" s="1" t="n"/>
      <c r="J604" s="1" t="n"/>
    </row>
    <row r="605" ht="15.75" customHeight="1" s="311">
      <c r="A605" s="1" t="n"/>
      <c r="B605" s="1" t="n"/>
      <c r="C605" s="1" t="n"/>
      <c r="D605" s="1" t="n"/>
      <c r="E605" s="1" t="n"/>
      <c r="F605" s="1" t="n"/>
      <c r="G605" s="1" t="n"/>
      <c r="H605" s="1" t="n"/>
      <c r="I605" s="1" t="n"/>
      <c r="J605" s="1" t="n"/>
    </row>
    <row r="606" ht="15.75" customHeight="1" s="311">
      <c r="A606" s="1" t="n"/>
      <c r="B606" s="1" t="n"/>
      <c r="C606" s="1" t="n"/>
      <c r="D606" s="1" t="n"/>
      <c r="E606" s="1" t="n"/>
      <c r="F606" s="1" t="n"/>
      <c r="G606" s="1" t="n"/>
      <c r="H606" s="1" t="n"/>
      <c r="I606" s="1" t="n"/>
      <c r="J606" s="1" t="n"/>
    </row>
    <row r="607" ht="15.75" customHeight="1" s="311">
      <c r="A607" s="1" t="n"/>
      <c r="B607" s="1" t="n"/>
      <c r="C607" s="1" t="n"/>
      <c r="D607" s="1" t="n"/>
      <c r="E607" s="1" t="n"/>
      <c r="F607" s="1" t="n"/>
      <c r="G607" s="1" t="n"/>
      <c r="H607" s="1" t="n"/>
      <c r="I607" s="1" t="n"/>
      <c r="J607" s="1" t="n"/>
    </row>
    <row r="608" ht="15.75" customHeight="1" s="311">
      <c r="A608" s="1" t="n"/>
      <c r="B608" s="1" t="n"/>
      <c r="C608" s="1" t="n"/>
      <c r="D608" s="1" t="n"/>
      <c r="E608" s="1" t="n"/>
      <c r="F608" s="1" t="n"/>
      <c r="G608" s="1" t="n"/>
      <c r="H608" s="1" t="n"/>
      <c r="I608" s="1" t="n"/>
      <c r="J608" s="1" t="n"/>
    </row>
    <row r="609" ht="15.75" customHeight="1" s="311">
      <c r="A609" s="1" t="n"/>
      <c r="B609" s="1" t="n"/>
      <c r="C609" s="1" t="n"/>
      <c r="D609" s="1" t="n"/>
      <c r="E609" s="1" t="n"/>
      <c r="F609" s="1" t="n"/>
      <c r="G609" s="1" t="n"/>
      <c r="H609" s="1" t="n"/>
      <c r="I609" s="1" t="n"/>
      <c r="J609" s="1" t="n"/>
    </row>
    <row r="610" ht="15.75" customHeight="1" s="311">
      <c r="A610" s="1" t="n"/>
      <c r="B610" s="1" t="n"/>
      <c r="C610" s="1" t="n"/>
      <c r="D610" s="1" t="n"/>
      <c r="E610" s="1" t="n"/>
      <c r="F610" s="1" t="n"/>
      <c r="G610" s="1" t="n"/>
      <c r="H610" s="1" t="n"/>
      <c r="I610" s="1" t="n"/>
      <c r="J610" s="1" t="n"/>
    </row>
    <row r="611" ht="15.75" customHeight="1" s="311">
      <c r="A611" s="1" t="n"/>
      <c r="B611" s="1" t="n"/>
      <c r="C611" s="1" t="n"/>
      <c r="D611" s="1" t="n"/>
      <c r="E611" s="1" t="n"/>
      <c r="F611" s="1" t="n"/>
      <c r="G611" s="1" t="n"/>
      <c r="H611" s="1" t="n"/>
      <c r="I611" s="1" t="n"/>
      <c r="J611" s="1" t="n"/>
    </row>
    <row r="612" ht="15.75" customHeight="1" s="311">
      <c r="A612" s="1" t="n"/>
      <c r="B612" s="1" t="n"/>
      <c r="C612" s="1" t="n"/>
      <c r="D612" s="1" t="n"/>
      <c r="E612" s="1" t="n"/>
      <c r="F612" s="1" t="n"/>
      <c r="G612" s="1" t="n"/>
      <c r="H612" s="1" t="n"/>
      <c r="I612" s="1" t="n"/>
      <c r="J612" s="1" t="n"/>
    </row>
    <row r="613" ht="15.75" customHeight="1" s="311">
      <c r="A613" s="1" t="n"/>
      <c r="B613" s="1" t="n"/>
      <c r="C613" s="1" t="n"/>
      <c r="D613" s="1" t="n"/>
      <c r="E613" s="1" t="n"/>
      <c r="F613" s="1" t="n"/>
      <c r="G613" s="1" t="n"/>
      <c r="H613" s="1" t="n"/>
      <c r="I613" s="1" t="n"/>
      <c r="J613" s="1" t="n"/>
    </row>
    <row r="614" ht="15.75" customHeight="1" s="311">
      <c r="A614" s="1" t="n"/>
      <c r="B614" s="1" t="n"/>
      <c r="C614" s="1" t="n"/>
      <c r="D614" s="1" t="n"/>
      <c r="E614" s="1" t="n"/>
      <c r="F614" s="1" t="n"/>
      <c r="G614" s="1" t="n"/>
      <c r="H614" s="1" t="n"/>
      <c r="I614" s="1" t="n"/>
      <c r="J614" s="1" t="n"/>
    </row>
    <row r="615" ht="15.75" customHeight="1" s="311">
      <c r="A615" s="1" t="n"/>
      <c r="B615" s="1" t="n"/>
      <c r="C615" s="1" t="n"/>
      <c r="D615" s="1" t="n"/>
      <c r="E615" s="1" t="n"/>
      <c r="F615" s="1" t="n"/>
      <c r="G615" s="1" t="n"/>
      <c r="H615" s="1" t="n"/>
      <c r="I615" s="1" t="n"/>
      <c r="J615" s="1" t="n"/>
    </row>
    <row r="616" ht="15.75" customHeight="1" s="311">
      <c r="A616" s="1" t="n"/>
      <c r="B616" s="1" t="n"/>
      <c r="C616" s="1" t="n"/>
      <c r="D616" s="1" t="n"/>
      <c r="E616" s="1" t="n"/>
      <c r="F616" s="1" t="n"/>
      <c r="G616" s="1" t="n"/>
      <c r="H616" s="1" t="n"/>
      <c r="I616" s="1" t="n"/>
      <c r="J616" s="1" t="n"/>
    </row>
    <row r="617" ht="15.75" customHeight="1" s="311">
      <c r="A617" s="1" t="n"/>
      <c r="B617" s="1" t="n"/>
      <c r="C617" s="1" t="n"/>
      <c r="D617" s="1" t="n"/>
      <c r="E617" s="1" t="n"/>
      <c r="F617" s="1" t="n"/>
      <c r="G617" s="1" t="n"/>
      <c r="H617" s="1" t="n"/>
      <c r="I617" s="1" t="n"/>
      <c r="J617" s="1" t="n"/>
    </row>
    <row r="618" ht="15.75" customHeight="1" s="311">
      <c r="A618" s="1" t="n"/>
      <c r="B618" s="1" t="n"/>
      <c r="C618" s="1" t="n"/>
      <c r="D618" s="1" t="n"/>
      <c r="E618" s="1" t="n"/>
      <c r="F618" s="1" t="n"/>
      <c r="G618" s="1" t="n"/>
      <c r="H618" s="1" t="n"/>
      <c r="I618" s="1" t="n"/>
      <c r="J618" s="1" t="n"/>
    </row>
    <row r="619" ht="15.75" customHeight="1" s="311">
      <c r="A619" s="1" t="n"/>
      <c r="B619" s="1" t="n"/>
      <c r="C619" s="1" t="n"/>
      <c r="D619" s="1" t="n"/>
      <c r="E619" s="1" t="n"/>
      <c r="F619" s="1" t="n"/>
      <c r="G619" s="1" t="n"/>
      <c r="H619" s="1" t="n"/>
      <c r="I619" s="1" t="n"/>
      <c r="J619" s="1" t="n"/>
    </row>
    <row r="620" ht="15.75" customHeight="1" s="311">
      <c r="A620" s="1" t="n"/>
      <c r="B620" s="1" t="n"/>
      <c r="C620" s="1" t="n"/>
      <c r="D620" s="1" t="n"/>
      <c r="E620" s="1" t="n"/>
      <c r="F620" s="1" t="n"/>
      <c r="G620" s="1" t="n"/>
      <c r="H620" s="1" t="n"/>
      <c r="I620" s="1" t="n"/>
      <c r="J620" s="1" t="n"/>
    </row>
    <row r="621" ht="15.75" customHeight="1" s="311">
      <c r="A621" s="1" t="n"/>
      <c r="B621" s="1" t="n"/>
      <c r="C621" s="1" t="n"/>
      <c r="D621" s="1" t="n"/>
      <c r="E621" s="1" t="n"/>
      <c r="F621" s="1" t="n"/>
      <c r="G621" s="1" t="n"/>
      <c r="H621" s="1" t="n"/>
      <c r="I621" s="1" t="n"/>
      <c r="J621" s="1" t="n"/>
    </row>
    <row r="622" ht="15.75" customHeight="1" s="311">
      <c r="A622" s="1" t="n"/>
      <c r="B622" s="1" t="n"/>
      <c r="C622" s="1" t="n"/>
      <c r="D622" s="1" t="n"/>
      <c r="E622" s="1" t="n"/>
      <c r="F622" s="1" t="n"/>
      <c r="G622" s="1" t="n"/>
      <c r="H622" s="1" t="n"/>
      <c r="I622" s="1" t="n"/>
      <c r="J622" s="1" t="n"/>
    </row>
    <row r="623" ht="15.75" customHeight="1" s="311">
      <c r="A623" s="1" t="n"/>
      <c r="B623" s="1" t="n"/>
      <c r="C623" s="1" t="n"/>
      <c r="D623" s="1" t="n"/>
      <c r="E623" s="1" t="n"/>
      <c r="F623" s="1" t="n"/>
      <c r="G623" s="1" t="n"/>
      <c r="H623" s="1" t="n"/>
      <c r="I623" s="1" t="n"/>
      <c r="J623" s="1" t="n"/>
    </row>
    <row r="624" ht="15.75" customHeight="1" s="311">
      <c r="A624" s="1" t="n"/>
      <c r="B624" s="1" t="n"/>
      <c r="C624" s="1" t="n"/>
      <c r="D624" s="1" t="n"/>
      <c r="E624" s="1" t="n"/>
      <c r="F624" s="1" t="n"/>
      <c r="G624" s="1" t="n"/>
      <c r="H624" s="1" t="n"/>
      <c r="I624" s="1" t="n"/>
      <c r="J624" s="1" t="n"/>
    </row>
    <row r="625" ht="15.75" customHeight="1" s="311">
      <c r="A625" s="1" t="n"/>
      <c r="B625" s="1" t="n"/>
      <c r="C625" s="1" t="n"/>
      <c r="D625" s="1" t="n"/>
      <c r="E625" s="1" t="n"/>
      <c r="F625" s="1" t="n"/>
      <c r="G625" s="1" t="n"/>
      <c r="H625" s="1" t="n"/>
      <c r="I625" s="1" t="n"/>
      <c r="J625" s="1" t="n"/>
    </row>
    <row r="626" ht="15.75" customHeight="1" s="311">
      <c r="A626" s="1" t="n"/>
      <c r="B626" s="1" t="n"/>
      <c r="C626" s="1" t="n"/>
      <c r="D626" s="1" t="n"/>
      <c r="E626" s="1" t="n"/>
      <c r="F626" s="1" t="n"/>
      <c r="G626" s="1" t="n"/>
      <c r="H626" s="1" t="n"/>
      <c r="I626" s="1" t="n"/>
      <c r="J626" s="1" t="n"/>
    </row>
    <row r="627" ht="15.75" customHeight="1" s="311">
      <c r="A627" s="1" t="n"/>
      <c r="B627" s="1" t="n"/>
      <c r="C627" s="1" t="n"/>
      <c r="D627" s="1" t="n"/>
      <c r="E627" s="1" t="n"/>
      <c r="F627" s="1" t="n"/>
      <c r="G627" s="1" t="n"/>
      <c r="H627" s="1" t="n"/>
      <c r="I627" s="1" t="n"/>
      <c r="J627" s="1" t="n"/>
    </row>
    <row r="628" ht="15.75" customHeight="1" s="311">
      <c r="A628" s="1" t="n"/>
      <c r="B628" s="1" t="n"/>
      <c r="C628" s="1" t="n"/>
      <c r="D628" s="1" t="n"/>
      <c r="E628" s="1" t="n"/>
      <c r="F628" s="1" t="n"/>
      <c r="G628" s="1" t="n"/>
      <c r="H628" s="1" t="n"/>
      <c r="I628" s="1" t="n"/>
      <c r="J628" s="1" t="n"/>
    </row>
    <row r="629" ht="15.75" customHeight="1" s="311">
      <c r="A629" s="1" t="n"/>
      <c r="B629" s="1" t="n"/>
      <c r="C629" s="1" t="n"/>
      <c r="D629" s="1" t="n"/>
      <c r="E629" s="1" t="n"/>
      <c r="F629" s="1" t="n"/>
      <c r="G629" s="1" t="n"/>
      <c r="H629" s="1" t="n"/>
      <c r="I629" s="1" t="n"/>
      <c r="J629" s="1" t="n"/>
    </row>
    <row r="630" ht="15.75" customHeight="1" s="311">
      <c r="A630" s="1" t="n"/>
      <c r="B630" s="1" t="n"/>
      <c r="C630" s="1" t="n"/>
      <c r="D630" s="1" t="n"/>
      <c r="E630" s="1" t="n"/>
      <c r="F630" s="1" t="n"/>
      <c r="G630" s="1" t="n"/>
      <c r="H630" s="1" t="n"/>
      <c r="I630" s="1" t="n"/>
      <c r="J630" s="1" t="n"/>
    </row>
    <row r="631" ht="15.75" customHeight="1" s="311">
      <c r="A631" s="1" t="n"/>
      <c r="B631" s="1" t="n"/>
      <c r="C631" s="1" t="n"/>
      <c r="D631" s="1" t="n"/>
      <c r="E631" s="1" t="n"/>
      <c r="F631" s="1" t="n"/>
      <c r="G631" s="1" t="n"/>
      <c r="H631" s="1" t="n"/>
      <c r="I631" s="1" t="n"/>
      <c r="J631" s="1" t="n"/>
    </row>
    <row r="632" ht="15.75" customHeight="1" s="311">
      <c r="A632" s="1" t="n"/>
      <c r="B632" s="1" t="n"/>
      <c r="C632" s="1" t="n"/>
      <c r="D632" s="1" t="n"/>
      <c r="E632" s="1" t="n"/>
      <c r="F632" s="1" t="n"/>
      <c r="G632" s="1" t="n"/>
      <c r="H632" s="1" t="n"/>
      <c r="I632" s="1" t="n"/>
      <c r="J632" s="1" t="n"/>
    </row>
    <row r="633" ht="15.75" customHeight="1" s="311">
      <c r="A633" s="1" t="n"/>
      <c r="B633" s="1" t="n"/>
      <c r="C633" s="1" t="n"/>
      <c r="D633" s="1" t="n"/>
      <c r="E633" s="1" t="n"/>
      <c r="F633" s="1" t="n"/>
      <c r="G633" s="1" t="n"/>
      <c r="H633" s="1" t="n"/>
      <c r="I633" s="1" t="n"/>
      <c r="J633" s="1" t="n"/>
    </row>
    <row r="634" ht="15.75" customHeight="1" s="311">
      <c r="A634" s="1" t="n"/>
      <c r="B634" s="1" t="n"/>
      <c r="C634" s="1" t="n"/>
      <c r="D634" s="1" t="n"/>
      <c r="E634" s="1" t="n"/>
      <c r="F634" s="1" t="n"/>
      <c r="G634" s="1" t="n"/>
      <c r="H634" s="1" t="n"/>
      <c r="I634" s="1" t="n"/>
      <c r="J634" s="1" t="n"/>
    </row>
    <row r="635" ht="15.75" customHeight="1" s="311">
      <c r="A635" s="1" t="n"/>
      <c r="B635" s="1" t="n"/>
      <c r="C635" s="1" t="n"/>
      <c r="D635" s="1" t="n"/>
      <c r="E635" s="1" t="n"/>
      <c r="F635" s="1" t="n"/>
      <c r="G635" s="1" t="n"/>
      <c r="H635" s="1" t="n"/>
      <c r="I635" s="1" t="n"/>
      <c r="J635" s="1" t="n"/>
    </row>
    <row r="636" ht="15.75" customHeight="1" s="311">
      <c r="A636" s="1" t="n"/>
      <c r="B636" s="1" t="n"/>
      <c r="C636" s="1" t="n"/>
      <c r="D636" s="1" t="n"/>
      <c r="E636" s="1" t="n"/>
      <c r="F636" s="1" t="n"/>
      <c r="G636" s="1" t="n"/>
      <c r="H636" s="1" t="n"/>
      <c r="I636" s="1" t="n"/>
      <c r="J636" s="1" t="n"/>
    </row>
    <row r="637" ht="15.75" customHeight="1" s="311">
      <c r="A637" s="1" t="n"/>
      <c r="B637" s="1" t="n"/>
      <c r="C637" s="1" t="n"/>
      <c r="D637" s="1" t="n"/>
      <c r="E637" s="1" t="n"/>
      <c r="F637" s="1" t="n"/>
      <c r="G637" s="1" t="n"/>
      <c r="H637" s="1" t="n"/>
      <c r="I637" s="1" t="n"/>
      <c r="J637" s="1" t="n"/>
    </row>
    <row r="638" ht="15.75" customHeight="1" s="311">
      <c r="A638" s="1" t="n"/>
      <c r="B638" s="1" t="n"/>
      <c r="C638" s="1" t="n"/>
      <c r="D638" s="1" t="n"/>
      <c r="E638" s="1" t="n"/>
      <c r="F638" s="1" t="n"/>
      <c r="G638" s="1" t="n"/>
      <c r="H638" s="1" t="n"/>
      <c r="I638" s="1" t="n"/>
      <c r="J638" s="1" t="n"/>
    </row>
    <row r="639" ht="15.75" customHeight="1" s="311">
      <c r="A639" s="1" t="n"/>
      <c r="B639" s="1" t="n"/>
      <c r="C639" s="1" t="n"/>
      <c r="D639" s="1" t="n"/>
      <c r="E639" s="1" t="n"/>
      <c r="F639" s="1" t="n"/>
      <c r="G639" s="1" t="n"/>
      <c r="H639" s="1" t="n"/>
      <c r="I639" s="1" t="n"/>
      <c r="J639" s="1" t="n"/>
    </row>
    <row r="640" ht="15.75" customHeight="1" s="311">
      <c r="A640" s="1" t="n"/>
      <c r="B640" s="1" t="n"/>
      <c r="C640" s="1" t="n"/>
      <c r="D640" s="1" t="n"/>
      <c r="E640" s="1" t="n"/>
      <c r="F640" s="1" t="n"/>
      <c r="G640" s="1" t="n"/>
      <c r="H640" s="1" t="n"/>
      <c r="I640" s="1" t="n"/>
      <c r="J640" s="1" t="n"/>
    </row>
    <row r="641" ht="15.75" customHeight="1" s="311">
      <c r="A641" s="1" t="n"/>
      <c r="B641" s="1" t="n"/>
      <c r="C641" s="1" t="n"/>
      <c r="D641" s="1" t="n"/>
      <c r="E641" s="1" t="n"/>
      <c r="F641" s="1" t="n"/>
      <c r="G641" s="1" t="n"/>
      <c r="H641" s="1" t="n"/>
      <c r="I641" s="1" t="n"/>
      <c r="J641" s="1" t="n"/>
    </row>
    <row r="642" ht="15.75" customHeight="1" s="311">
      <c r="A642" s="1" t="n"/>
      <c r="B642" s="1" t="n"/>
      <c r="C642" s="1" t="n"/>
      <c r="D642" s="1" t="n"/>
      <c r="E642" s="1" t="n"/>
      <c r="F642" s="1" t="n"/>
      <c r="G642" s="1" t="n"/>
      <c r="H642" s="1" t="n"/>
      <c r="I642" s="1" t="n"/>
      <c r="J642" s="1" t="n"/>
    </row>
    <row r="643" ht="15.75" customHeight="1" s="311">
      <c r="A643" s="1" t="n"/>
      <c r="B643" s="1" t="n"/>
      <c r="C643" s="1" t="n"/>
      <c r="D643" s="1" t="n"/>
      <c r="E643" s="1" t="n"/>
      <c r="F643" s="1" t="n"/>
      <c r="G643" s="1" t="n"/>
      <c r="H643" s="1" t="n"/>
      <c r="I643" s="1" t="n"/>
      <c r="J643" s="1" t="n"/>
    </row>
    <row r="644" ht="15.75" customHeight="1" s="311">
      <c r="A644" s="1" t="n"/>
      <c r="B644" s="1" t="n"/>
      <c r="C644" s="1" t="n"/>
      <c r="D644" s="1" t="n"/>
      <c r="E644" s="1" t="n"/>
      <c r="F644" s="1" t="n"/>
      <c r="G644" s="1" t="n"/>
      <c r="H644" s="1" t="n"/>
      <c r="I644" s="1" t="n"/>
      <c r="J644" s="1" t="n"/>
    </row>
    <row r="645" ht="15.75" customHeight="1" s="311">
      <c r="A645" s="1" t="n"/>
      <c r="B645" s="1" t="n"/>
      <c r="C645" s="1" t="n"/>
      <c r="D645" s="1" t="n"/>
      <c r="E645" s="1" t="n"/>
      <c r="F645" s="1" t="n"/>
      <c r="G645" s="1" t="n"/>
      <c r="H645" s="1" t="n"/>
      <c r="I645" s="1" t="n"/>
      <c r="J645" s="1" t="n"/>
    </row>
    <row r="646" ht="15.75" customHeight="1" s="311">
      <c r="A646" s="1" t="n"/>
      <c r="B646" s="1" t="n"/>
      <c r="C646" s="1" t="n"/>
      <c r="D646" s="1" t="n"/>
      <c r="E646" s="1" t="n"/>
      <c r="F646" s="1" t="n"/>
      <c r="G646" s="1" t="n"/>
      <c r="H646" s="1" t="n"/>
      <c r="I646" s="1" t="n"/>
      <c r="J646" s="1" t="n"/>
    </row>
    <row r="647" ht="15.75" customHeight="1" s="311">
      <c r="A647" s="1" t="n"/>
      <c r="B647" s="1" t="n"/>
      <c r="C647" s="1" t="n"/>
      <c r="D647" s="1" t="n"/>
      <c r="E647" s="1" t="n"/>
      <c r="F647" s="1" t="n"/>
      <c r="G647" s="1" t="n"/>
      <c r="H647" s="1" t="n"/>
      <c r="I647" s="1" t="n"/>
      <c r="J647" s="1" t="n"/>
    </row>
    <row r="648" ht="15.75" customHeight="1" s="311">
      <c r="A648" s="1" t="n"/>
      <c r="B648" s="1" t="n"/>
      <c r="C648" s="1" t="n"/>
      <c r="D648" s="1" t="n"/>
      <c r="E648" s="1" t="n"/>
      <c r="F648" s="1" t="n"/>
      <c r="G648" s="1" t="n"/>
      <c r="H648" s="1" t="n"/>
      <c r="I648" s="1" t="n"/>
      <c r="J648" s="1" t="n"/>
    </row>
    <row r="649" ht="15.75" customHeight="1" s="311">
      <c r="A649" s="1" t="n"/>
      <c r="B649" s="1" t="n"/>
      <c r="C649" s="1" t="n"/>
      <c r="D649" s="1" t="n"/>
      <c r="E649" s="1" t="n"/>
      <c r="F649" s="1" t="n"/>
      <c r="G649" s="1" t="n"/>
      <c r="H649" s="1" t="n"/>
      <c r="I649" s="1" t="n"/>
      <c r="J649" s="1" t="n"/>
    </row>
    <row r="650" ht="15.75" customHeight="1" s="311">
      <c r="A650" s="1" t="n"/>
      <c r="B650" s="1" t="n"/>
      <c r="C650" s="1" t="n"/>
      <c r="D650" s="1" t="n"/>
      <c r="E650" s="1" t="n"/>
      <c r="F650" s="1" t="n"/>
      <c r="G650" s="1" t="n"/>
      <c r="H650" s="1" t="n"/>
      <c r="I650" s="1" t="n"/>
      <c r="J650" s="1" t="n"/>
    </row>
    <row r="651" ht="15.75" customHeight="1" s="311">
      <c r="A651" s="1" t="n"/>
      <c r="B651" s="1" t="n"/>
      <c r="C651" s="1" t="n"/>
      <c r="D651" s="1" t="n"/>
      <c r="E651" s="1" t="n"/>
      <c r="F651" s="1" t="n"/>
      <c r="G651" s="1" t="n"/>
      <c r="H651" s="1" t="n"/>
      <c r="I651" s="1" t="n"/>
      <c r="J651" s="1" t="n"/>
    </row>
    <row r="652" ht="15.75" customHeight="1" s="311">
      <c r="A652" s="1" t="n"/>
      <c r="B652" s="1" t="n"/>
      <c r="C652" s="1" t="n"/>
      <c r="D652" s="1" t="n"/>
      <c r="E652" s="1" t="n"/>
      <c r="F652" s="1" t="n"/>
      <c r="G652" s="1" t="n"/>
      <c r="H652" s="1" t="n"/>
      <c r="I652" s="1" t="n"/>
      <c r="J652" s="1" t="n"/>
    </row>
    <row r="653" ht="15.75" customHeight="1" s="311">
      <c r="A653" s="1" t="n"/>
      <c r="B653" s="1" t="n"/>
      <c r="C653" s="1" t="n"/>
      <c r="D653" s="1" t="n"/>
      <c r="E653" s="1" t="n"/>
      <c r="F653" s="1" t="n"/>
      <c r="G653" s="1" t="n"/>
      <c r="H653" s="1" t="n"/>
      <c r="I653" s="1" t="n"/>
      <c r="J653" s="1" t="n"/>
    </row>
    <row r="654" ht="15.75" customHeight="1" s="311">
      <c r="A654" s="1" t="n"/>
      <c r="B654" s="1" t="n"/>
      <c r="C654" s="1" t="n"/>
      <c r="D654" s="1" t="n"/>
      <c r="E654" s="1" t="n"/>
      <c r="F654" s="1" t="n"/>
      <c r="G654" s="1" t="n"/>
      <c r="H654" s="1" t="n"/>
      <c r="I654" s="1" t="n"/>
      <c r="J654" s="1" t="n"/>
    </row>
    <row r="655" ht="15.75" customHeight="1" s="311">
      <c r="A655" s="1" t="n"/>
      <c r="B655" s="1" t="n"/>
      <c r="C655" s="1" t="n"/>
      <c r="D655" s="1" t="n"/>
      <c r="E655" s="1" t="n"/>
      <c r="F655" s="1" t="n"/>
      <c r="G655" s="1" t="n"/>
      <c r="H655" s="1" t="n"/>
      <c r="I655" s="1" t="n"/>
      <c r="J655" s="1" t="n"/>
    </row>
    <row r="656" ht="15.75" customHeight="1" s="311">
      <c r="A656" s="1" t="n"/>
      <c r="B656" s="1" t="n"/>
      <c r="C656" s="1" t="n"/>
      <c r="D656" s="1" t="n"/>
      <c r="E656" s="1" t="n"/>
      <c r="F656" s="1" t="n"/>
      <c r="G656" s="1" t="n"/>
      <c r="H656" s="1" t="n"/>
      <c r="I656" s="1" t="n"/>
      <c r="J656" s="1" t="n"/>
    </row>
    <row r="657" ht="15.75" customHeight="1" s="311">
      <c r="A657" s="1" t="n"/>
      <c r="B657" s="1" t="n"/>
      <c r="C657" s="1" t="n"/>
      <c r="D657" s="1" t="n"/>
      <c r="E657" s="1" t="n"/>
      <c r="F657" s="1" t="n"/>
      <c r="G657" s="1" t="n"/>
      <c r="H657" s="1" t="n"/>
      <c r="I657" s="1" t="n"/>
      <c r="J657" s="1" t="n"/>
    </row>
    <row r="658" ht="15.75" customHeight="1" s="311">
      <c r="A658" s="1" t="n"/>
      <c r="B658" s="1" t="n"/>
      <c r="C658" s="1" t="n"/>
      <c r="D658" s="1" t="n"/>
      <c r="E658" s="1" t="n"/>
      <c r="F658" s="1" t="n"/>
      <c r="G658" s="1" t="n"/>
      <c r="H658" s="1" t="n"/>
      <c r="I658" s="1" t="n"/>
      <c r="J658" s="1" t="n"/>
    </row>
    <row r="659" ht="15.75" customHeight="1" s="311">
      <c r="A659" s="1" t="n"/>
      <c r="B659" s="1" t="n"/>
      <c r="C659" s="1" t="n"/>
      <c r="D659" s="1" t="n"/>
      <c r="E659" s="1" t="n"/>
      <c r="F659" s="1" t="n"/>
      <c r="G659" s="1" t="n"/>
      <c r="H659" s="1" t="n"/>
      <c r="I659" s="1" t="n"/>
      <c r="J659" s="1" t="n"/>
    </row>
    <row r="660" ht="15.75" customHeight="1" s="311">
      <c r="A660" s="1" t="n"/>
      <c r="B660" s="1" t="n"/>
      <c r="C660" s="1" t="n"/>
      <c r="D660" s="1" t="n"/>
      <c r="E660" s="1" t="n"/>
      <c r="F660" s="1" t="n"/>
      <c r="G660" s="1" t="n"/>
      <c r="H660" s="1" t="n"/>
      <c r="I660" s="1" t="n"/>
      <c r="J660" s="1" t="n"/>
    </row>
    <row r="661" ht="15.75" customHeight="1" s="311">
      <c r="A661" s="1" t="n"/>
      <c r="B661" s="1" t="n"/>
      <c r="C661" s="1" t="n"/>
      <c r="D661" s="1" t="n"/>
      <c r="E661" s="1" t="n"/>
      <c r="F661" s="1" t="n"/>
      <c r="G661" s="1" t="n"/>
      <c r="H661" s="1" t="n"/>
      <c r="I661" s="1" t="n"/>
      <c r="J661" s="1" t="n"/>
    </row>
    <row r="662" ht="15.75" customHeight="1" s="311">
      <c r="A662" s="1" t="n"/>
      <c r="B662" s="1" t="n"/>
      <c r="C662" s="1" t="n"/>
      <c r="D662" s="1" t="n"/>
      <c r="E662" s="1" t="n"/>
      <c r="F662" s="1" t="n"/>
      <c r="G662" s="1" t="n"/>
      <c r="H662" s="1" t="n"/>
      <c r="I662" s="1" t="n"/>
      <c r="J662" s="1" t="n"/>
    </row>
    <row r="663" ht="15.75" customHeight="1" s="311">
      <c r="A663" s="1" t="n"/>
      <c r="B663" s="1" t="n"/>
      <c r="C663" s="1" t="n"/>
      <c r="D663" s="1" t="n"/>
      <c r="E663" s="1" t="n"/>
      <c r="F663" s="1" t="n"/>
      <c r="G663" s="1" t="n"/>
      <c r="H663" s="1" t="n"/>
      <c r="I663" s="1" t="n"/>
      <c r="J663" s="1" t="n"/>
    </row>
    <row r="664" ht="15.75" customHeight="1" s="311">
      <c r="A664" s="1" t="n"/>
      <c r="B664" s="1" t="n"/>
      <c r="C664" s="1" t="n"/>
      <c r="D664" s="1" t="n"/>
      <c r="E664" s="1" t="n"/>
      <c r="F664" s="1" t="n"/>
      <c r="G664" s="1" t="n"/>
      <c r="H664" s="1" t="n"/>
      <c r="I664" s="1" t="n"/>
      <c r="J664" s="1" t="n"/>
    </row>
    <row r="665" ht="15.75" customHeight="1" s="311">
      <c r="A665" s="1" t="n"/>
      <c r="B665" s="1" t="n"/>
      <c r="C665" s="1" t="n"/>
      <c r="D665" s="1" t="n"/>
      <c r="E665" s="1" t="n"/>
      <c r="F665" s="1" t="n"/>
      <c r="G665" s="1" t="n"/>
      <c r="H665" s="1" t="n"/>
      <c r="I665" s="1" t="n"/>
      <c r="J665" s="1" t="n"/>
    </row>
    <row r="666" ht="15.75" customHeight="1" s="311">
      <c r="A666" s="1" t="n"/>
      <c r="B666" s="1" t="n"/>
      <c r="C666" s="1" t="n"/>
      <c r="D666" s="1" t="n"/>
      <c r="E666" s="1" t="n"/>
      <c r="F666" s="1" t="n"/>
      <c r="G666" s="1" t="n"/>
      <c r="H666" s="1" t="n"/>
      <c r="I666" s="1" t="n"/>
      <c r="J666" s="1" t="n"/>
    </row>
    <row r="667" ht="15.75" customHeight="1" s="311">
      <c r="A667" s="1" t="n"/>
      <c r="B667" s="1" t="n"/>
      <c r="C667" s="1" t="n"/>
      <c r="D667" s="1" t="n"/>
      <c r="E667" s="1" t="n"/>
      <c r="F667" s="1" t="n"/>
      <c r="G667" s="1" t="n"/>
      <c r="H667" s="1" t="n"/>
      <c r="I667" s="1" t="n"/>
      <c r="J667" s="1" t="n"/>
    </row>
    <row r="668" ht="15.75" customHeight="1" s="311">
      <c r="A668" s="1" t="n"/>
      <c r="B668" s="1" t="n"/>
      <c r="C668" s="1" t="n"/>
      <c r="D668" s="1" t="n"/>
      <c r="E668" s="1" t="n"/>
      <c r="F668" s="1" t="n"/>
      <c r="G668" s="1" t="n"/>
      <c r="H668" s="1" t="n"/>
      <c r="I668" s="1" t="n"/>
      <c r="J668" s="1" t="n"/>
    </row>
    <row r="669" ht="15.75" customHeight="1" s="311">
      <c r="A669" s="1" t="n"/>
      <c r="B669" s="1" t="n"/>
      <c r="C669" s="1" t="n"/>
      <c r="D669" s="1" t="n"/>
      <c r="E669" s="1" t="n"/>
      <c r="F669" s="1" t="n"/>
      <c r="G669" s="1" t="n"/>
      <c r="H669" s="1" t="n"/>
      <c r="I669" s="1" t="n"/>
      <c r="J669" s="1" t="n"/>
    </row>
    <row r="670" ht="15.75" customHeight="1" s="311">
      <c r="A670" s="1" t="n"/>
      <c r="B670" s="1" t="n"/>
      <c r="C670" s="1" t="n"/>
      <c r="D670" s="1" t="n"/>
      <c r="E670" s="1" t="n"/>
      <c r="F670" s="1" t="n"/>
      <c r="G670" s="1" t="n"/>
      <c r="H670" s="1" t="n"/>
      <c r="I670" s="1" t="n"/>
      <c r="J670" s="1" t="n"/>
    </row>
    <row r="671" ht="15.75" customHeight="1" s="311">
      <c r="A671" s="1" t="n"/>
      <c r="B671" s="1" t="n"/>
      <c r="C671" s="1" t="n"/>
      <c r="D671" s="1" t="n"/>
      <c r="E671" s="1" t="n"/>
      <c r="F671" s="1" t="n"/>
      <c r="G671" s="1" t="n"/>
      <c r="H671" s="1" t="n"/>
      <c r="I671" s="1" t="n"/>
      <c r="J671" s="1" t="n"/>
    </row>
    <row r="672" ht="15.75" customHeight="1" s="311">
      <c r="A672" s="1" t="n"/>
      <c r="B672" s="1" t="n"/>
      <c r="C672" s="1" t="n"/>
      <c r="D672" s="1" t="n"/>
      <c r="E672" s="1" t="n"/>
      <c r="F672" s="1" t="n"/>
      <c r="G672" s="1" t="n"/>
      <c r="H672" s="1" t="n"/>
      <c r="I672" s="1" t="n"/>
      <c r="J672" s="1" t="n"/>
    </row>
    <row r="673" ht="15.75" customHeight="1" s="311">
      <c r="A673" s="1" t="n"/>
      <c r="B673" s="1" t="n"/>
      <c r="C673" s="1" t="n"/>
      <c r="D673" s="1" t="n"/>
      <c r="E673" s="1" t="n"/>
      <c r="F673" s="1" t="n"/>
      <c r="G673" s="1" t="n"/>
      <c r="H673" s="1" t="n"/>
      <c r="I673" s="1" t="n"/>
      <c r="J673" s="1" t="n"/>
    </row>
    <row r="674" ht="15.75" customHeight="1" s="311">
      <c r="A674" s="1" t="n"/>
      <c r="B674" s="1" t="n"/>
      <c r="C674" s="1" t="n"/>
      <c r="D674" s="1" t="n"/>
      <c r="E674" s="1" t="n"/>
      <c r="F674" s="1" t="n"/>
      <c r="G674" s="1" t="n"/>
      <c r="H674" s="1" t="n"/>
      <c r="I674" s="1" t="n"/>
      <c r="J674" s="1" t="n"/>
    </row>
    <row r="675" ht="15.75" customHeight="1" s="311">
      <c r="A675" s="1" t="n"/>
      <c r="B675" s="1" t="n"/>
      <c r="C675" s="1" t="n"/>
      <c r="D675" s="1" t="n"/>
      <c r="E675" s="1" t="n"/>
      <c r="F675" s="1" t="n"/>
      <c r="G675" s="1" t="n"/>
      <c r="H675" s="1" t="n"/>
      <c r="I675" s="1" t="n"/>
      <c r="J675" s="1" t="n"/>
    </row>
    <row r="676" ht="15.75" customHeight="1" s="311">
      <c r="A676" s="1" t="n"/>
      <c r="B676" s="1" t="n"/>
      <c r="C676" s="1" t="n"/>
      <c r="D676" s="1" t="n"/>
      <c r="E676" s="1" t="n"/>
      <c r="F676" s="1" t="n"/>
      <c r="G676" s="1" t="n"/>
      <c r="H676" s="1" t="n"/>
      <c r="I676" s="1" t="n"/>
      <c r="J676" s="1" t="n"/>
    </row>
    <row r="677" ht="15.75" customHeight="1" s="311">
      <c r="A677" s="1" t="n"/>
      <c r="B677" s="1" t="n"/>
      <c r="C677" s="1" t="n"/>
      <c r="D677" s="1" t="n"/>
      <c r="E677" s="1" t="n"/>
      <c r="F677" s="1" t="n"/>
      <c r="G677" s="1" t="n"/>
      <c r="H677" s="1" t="n"/>
      <c r="I677" s="1" t="n"/>
      <c r="J677" s="1" t="n"/>
    </row>
    <row r="678" ht="15.75" customHeight="1" s="311">
      <c r="A678" s="1" t="n"/>
      <c r="B678" s="1" t="n"/>
      <c r="C678" s="1" t="n"/>
      <c r="D678" s="1" t="n"/>
      <c r="E678" s="1" t="n"/>
      <c r="F678" s="1" t="n"/>
      <c r="G678" s="1" t="n"/>
      <c r="H678" s="1" t="n"/>
      <c r="I678" s="1" t="n"/>
      <c r="J678" s="1" t="n"/>
    </row>
    <row r="679" ht="15.75" customHeight="1" s="311">
      <c r="A679" s="1" t="n"/>
      <c r="B679" s="1" t="n"/>
      <c r="C679" s="1" t="n"/>
      <c r="D679" s="1" t="n"/>
      <c r="E679" s="1" t="n"/>
      <c r="F679" s="1" t="n"/>
      <c r="G679" s="1" t="n"/>
      <c r="H679" s="1" t="n"/>
      <c r="I679" s="1" t="n"/>
      <c r="J679" s="1" t="n"/>
    </row>
    <row r="680" ht="15.75" customHeight="1" s="311">
      <c r="A680" s="1" t="n"/>
      <c r="B680" s="1" t="n"/>
      <c r="C680" s="1" t="n"/>
      <c r="D680" s="1" t="n"/>
      <c r="E680" s="1" t="n"/>
      <c r="F680" s="1" t="n"/>
      <c r="G680" s="1" t="n"/>
      <c r="H680" s="1" t="n"/>
      <c r="I680" s="1" t="n"/>
      <c r="J680" s="1" t="n"/>
    </row>
    <row r="681" ht="15.75" customHeight="1" s="311">
      <c r="A681" s="1" t="n"/>
      <c r="B681" s="1" t="n"/>
      <c r="C681" s="1" t="n"/>
      <c r="D681" s="1" t="n"/>
      <c r="E681" s="1" t="n"/>
      <c r="F681" s="1" t="n"/>
      <c r="G681" s="1" t="n"/>
      <c r="H681" s="1" t="n"/>
      <c r="I681" s="1" t="n"/>
      <c r="J681" s="1" t="n"/>
    </row>
    <row r="682" ht="15.75" customHeight="1" s="311">
      <c r="A682" s="1" t="n"/>
      <c r="B682" s="1" t="n"/>
      <c r="C682" s="1" t="n"/>
      <c r="D682" s="1" t="n"/>
      <c r="E682" s="1" t="n"/>
      <c r="F682" s="1" t="n"/>
      <c r="G682" s="1" t="n"/>
      <c r="H682" s="1" t="n"/>
      <c r="I682" s="1" t="n"/>
      <c r="J682" s="1" t="n"/>
    </row>
    <row r="683" ht="15.75" customHeight="1" s="311">
      <c r="A683" s="1" t="n"/>
      <c r="B683" s="1" t="n"/>
      <c r="C683" s="1" t="n"/>
      <c r="D683" s="1" t="n"/>
      <c r="E683" s="1" t="n"/>
      <c r="F683" s="1" t="n"/>
      <c r="G683" s="1" t="n"/>
      <c r="H683" s="1" t="n"/>
      <c r="I683" s="1" t="n"/>
      <c r="J683" s="1" t="n"/>
    </row>
    <row r="684" ht="15.75" customHeight="1" s="311">
      <c r="A684" s="1" t="n"/>
      <c r="B684" s="1" t="n"/>
      <c r="C684" s="1" t="n"/>
      <c r="D684" s="1" t="n"/>
      <c r="E684" s="1" t="n"/>
      <c r="F684" s="1" t="n"/>
      <c r="G684" s="1" t="n"/>
      <c r="H684" s="1" t="n"/>
      <c r="I684" s="1" t="n"/>
      <c r="J684" s="1" t="n"/>
    </row>
    <row r="685" ht="15.75" customHeight="1" s="311">
      <c r="A685" s="1" t="n"/>
      <c r="B685" s="1" t="n"/>
      <c r="C685" s="1" t="n"/>
      <c r="D685" s="1" t="n"/>
      <c r="E685" s="1" t="n"/>
      <c r="F685" s="1" t="n"/>
      <c r="G685" s="1" t="n"/>
      <c r="H685" s="1" t="n"/>
      <c r="I685" s="1" t="n"/>
      <c r="J685" s="1" t="n"/>
    </row>
    <row r="686" ht="15.75" customHeight="1" s="311">
      <c r="A686" s="1" t="n"/>
      <c r="B686" s="1" t="n"/>
      <c r="C686" s="1" t="n"/>
      <c r="D686" s="1" t="n"/>
      <c r="E686" s="1" t="n"/>
      <c r="F686" s="1" t="n"/>
      <c r="G686" s="1" t="n"/>
      <c r="H686" s="1" t="n"/>
      <c r="I686" s="1" t="n"/>
      <c r="J686" s="1" t="n"/>
    </row>
    <row r="687" ht="15.75" customHeight="1" s="311">
      <c r="A687" s="1" t="n"/>
      <c r="B687" s="1" t="n"/>
      <c r="C687" s="1" t="n"/>
      <c r="D687" s="1" t="n"/>
      <c r="E687" s="1" t="n"/>
      <c r="F687" s="1" t="n"/>
      <c r="G687" s="1" t="n"/>
      <c r="H687" s="1" t="n"/>
      <c r="I687" s="1" t="n"/>
      <c r="J687" s="1" t="n"/>
    </row>
    <row r="688" ht="15.75" customHeight="1" s="311">
      <c r="A688" s="1" t="n"/>
      <c r="B688" s="1" t="n"/>
      <c r="C688" s="1" t="n"/>
      <c r="D688" s="1" t="n"/>
      <c r="E688" s="1" t="n"/>
      <c r="F688" s="1" t="n"/>
      <c r="G688" s="1" t="n"/>
      <c r="H688" s="1" t="n"/>
      <c r="I688" s="1" t="n"/>
      <c r="J688" s="1" t="n"/>
    </row>
    <row r="689" ht="15.75" customHeight="1" s="311">
      <c r="A689" s="1" t="n"/>
      <c r="B689" s="1" t="n"/>
      <c r="C689" s="1" t="n"/>
      <c r="D689" s="1" t="n"/>
      <c r="E689" s="1" t="n"/>
      <c r="F689" s="1" t="n"/>
      <c r="G689" s="1" t="n"/>
      <c r="H689" s="1" t="n"/>
      <c r="I689" s="1" t="n"/>
      <c r="J689" s="1" t="n"/>
    </row>
    <row r="690" ht="15.75" customHeight="1" s="311">
      <c r="A690" s="1" t="n"/>
      <c r="B690" s="1" t="n"/>
      <c r="C690" s="1" t="n"/>
      <c r="D690" s="1" t="n"/>
      <c r="E690" s="1" t="n"/>
      <c r="F690" s="1" t="n"/>
      <c r="G690" s="1" t="n"/>
      <c r="H690" s="1" t="n"/>
      <c r="I690" s="1" t="n"/>
      <c r="J690" s="1" t="n"/>
    </row>
    <row r="691" ht="15.75" customHeight="1" s="311">
      <c r="A691" s="1" t="n"/>
      <c r="B691" s="1" t="n"/>
      <c r="C691" s="1" t="n"/>
      <c r="D691" s="1" t="n"/>
      <c r="E691" s="1" t="n"/>
      <c r="F691" s="1" t="n"/>
      <c r="G691" s="1" t="n"/>
      <c r="H691" s="1" t="n"/>
      <c r="I691" s="1" t="n"/>
      <c r="J691" s="1" t="n"/>
    </row>
    <row r="692" ht="15.75" customHeight="1" s="311">
      <c r="A692" s="1" t="n"/>
      <c r="B692" s="1" t="n"/>
      <c r="C692" s="1" t="n"/>
      <c r="D692" s="1" t="n"/>
      <c r="E692" s="1" t="n"/>
      <c r="F692" s="1" t="n"/>
      <c r="G692" s="1" t="n"/>
      <c r="H692" s="1" t="n"/>
      <c r="I692" s="1" t="n"/>
      <c r="J692" s="1" t="n"/>
    </row>
    <row r="693" ht="15.75" customHeight="1" s="311">
      <c r="A693" s="1" t="n"/>
      <c r="B693" s="1" t="n"/>
      <c r="C693" s="1" t="n"/>
      <c r="D693" s="1" t="n"/>
      <c r="E693" s="1" t="n"/>
      <c r="F693" s="1" t="n"/>
      <c r="G693" s="1" t="n"/>
      <c r="H693" s="1" t="n"/>
      <c r="I693" s="1" t="n"/>
      <c r="J693" s="1" t="n"/>
    </row>
    <row r="694" ht="15.75" customHeight="1" s="311">
      <c r="A694" s="1" t="n"/>
      <c r="B694" s="1" t="n"/>
      <c r="C694" s="1" t="n"/>
      <c r="D694" s="1" t="n"/>
      <c r="E694" s="1" t="n"/>
      <c r="F694" s="1" t="n"/>
      <c r="G694" s="1" t="n"/>
      <c r="H694" s="1" t="n"/>
      <c r="I694" s="1" t="n"/>
      <c r="J694" s="1" t="n"/>
    </row>
    <row r="695" ht="15.75" customHeight="1" s="311">
      <c r="A695" s="1" t="n"/>
      <c r="B695" s="1" t="n"/>
      <c r="C695" s="1" t="n"/>
      <c r="D695" s="1" t="n"/>
      <c r="E695" s="1" t="n"/>
      <c r="F695" s="1" t="n"/>
      <c r="G695" s="1" t="n"/>
      <c r="H695" s="1" t="n"/>
      <c r="I695" s="1" t="n"/>
      <c r="J695" s="1" t="n"/>
    </row>
    <row r="696" ht="15.75" customHeight="1" s="311">
      <c r="A696" s="1" t="n"/>
      <c r="B696" s="1" t="n"/>
      <c r="C696" s="1" t="n"/>
      <c r="D696" s="1" t="n"/>
      <c r="E696" s="1" t="n"/>
      <c r="F696" s="1" t="n"/>
      <c r="G696" s="1" t="n"/>
      <c r="H696" s="1" t="n"/>
      <c r="I696" s="1" t="n"/>
      <c r="J696" s="1" t="n"/>
    </row>
    <row r="697" ht="15.75" customHeight="1" s="311">
      <c r="A697" s="1" t="n"/>
      <c r="B697" s="1" t="n"/>
      <c r="C697" s="1" t="n"/>
      <c r="D697" s="1" t="n"/>
      <c r="E697" s="1" t="n"/>
      <c r="F697" s="1" t="n"/>
      <c r="G697" s="1" t="n"/>
      <c r="H697" s="1" t="n"/>
      <c r="I697" s="1" t="n"/>
      <c r="J697" s="1" t="n"/>
    </row>
    <row r="698" ht="15.75" customHeight="1" s="311">
      <c r="A698" s="1" t="n"/>
      <c r="B698" s="1" t="n"/>
      <c r="C698" s="1" t="n"/>
      <c r="D698" s="1" t="n"/>
      <c r="E698" s="1" t="n"/>
      <c r="F698" s="1" t="n"/>
      <c r="G698" s="1" t="n"/>
      <c r="H698" s="1" t="n"/>
      <c r="I698" s="1" t="n"/>
      <c r="J698" s="1" t="n"/>
    </row>
    <row r="699" ht="15.75" customHeight="1" s="311">
      <c r="A699" s="1" t="n"/>
      <c r="B699" s="1" t="n"/>
      <c r="C699" s="1" t="n"/>
      <c r="D699" s="1" t="n"/>
      <c r="E699" s="1" t="n"/>
      <c r="F699" s="1" t="n"/>
      <c r="G699" s="1" t="n"/>
      <c r="H699" s="1" t="n"/>
      <c r="I699" s="1" t="n"/>
      <c r="J699" s="1" t="n"/>
    </row>
    <row r="700" ht="15.75" customHeight="1" s="311">
      <c r="A700" s="1" t="n"/>
      <c r="B700" s="1" t="n"/>
      <c r="C700" s="1" t="n"/>
      <c r="D700" s="1" t="n"/>
      <c r="E700" s="1" t="n"/>
      <c r="F700" s="1" t="n"/>
      <c r="G700" s="1" t="n"/>
      <c r="H700" s="1" t="n"/>
      <c r="I700" s="1" t="n"/>
      <c r="J700" s="1" t="n"/>
    </row>
    <row r="701" ht="15.75" customHeight="1" s="311">
      <c r="A701" s="1" t="n"/>
      <c r="B701" s="1" t="n"/>
      <c r="C701" s="1" t="n"/>
      <c r="D701" s="1" t="n"/>
      <c r="E701" s="1" t="n"/>
      <c r="F701" s="1" t="n"/>
      <c r="G701" s="1" t="n"/>
      <c r="H701" s="1" t="n"/>
      <c r="I701" s="1" t="n"/>
      <c r="J701" s="1" t="n"/>
    </row>
    <row r="702" ht="15.75" customHeight="1" s="311">
      <c r="A702" s="1" t="n"/>
      <c r="B702" s="1" t="n"/>
      <c r="C702" s="1" t="n"/>
      <c r="D702" s="1" t="n"/>
      <c r="E702" s="1" t="n"/>
      <c r="F702" s="1" t="n"/>
      <c r="G702" s="1" t="n"/>
      <c r="H702" s="1" t="n"/>
      <c r="I702" s="1" t="n"/>
      <c r="J702" s="1" t="n"/>
    </row>
    <row r="703" ht="15.75" customHeight="1" s="311">
      <c r="A703" s="1" t="n"/>
      <c r="B703" s="1" t="n"/>
      <c r="C703" s="1" t="n"/>
      <c r="D703" s="1" t="n"/>
      <c r="E703" s="1" t="n"/>
      <c r="F703" s="1" t="n"/>
      <c r="G703" s="1" t="n"/>
      <c r="H703" s="1" t="n"/>
      <c r="I703" s="1" t="n"/>
      <c r="J703" s="1" t="n"/>
    </row>
    <row r="704" ht="15.75" customHeight="1" s="311">
      <c r="A704" s="1" t="n"/>
      <c r="B704" s="1" t="n"/>
      <c r="C704" s="1" t="n"/>
      <c r="D704" s="1" t="n"/>
      <c r="E704" s="1" t="n"/>
      <c r="F704" s="1" t="n"/>
      <c r="G704" s="1" t="n"/>
      <c r="H704" s="1" t="n"/>
      <c r="I704" s="1" t="n"/>
      <c r="J704" s="1" t="n"/>
    </row>
    <row r="705" ht="15.75" customHeight="1" s="311">
      <c r="A705" s="1" t="n"/>
      <c r="B705" s="1" t="n"/>
      <c r="C705" s="1" t="n"/>
      <c r="D705" s="1" t="n"/>
      <c r="E705" s="1" t="n"/>
      <c r="F705" s="1" t="n"/>
      <c r="G705" s="1" t="n"/>
      <c r="H705" s="1" t="n"/>
      <c r="I705" s="1" t="n"/>
      <c r="J705" s="1" t="n"/>
    </row>
    <row r="706" ht="15.75" customHeight="1" s="311">
      <c r="A706" s="1" t="n"/>
      <c r="B706" s="1" t="n"/>
      <c r="C706" s="1" t="n"/>
      <c r="D706" s="1" t="n"/>
      <c r="E706" s="1" t="n"/>
      <c r="F706" s="1" t="n"/>
      <c r="G706" s="1" t="n"/>
      <c r="H706" s="1" t="n"/>
      <c r="I706" s="1" t="n"/>
      <c r="J706" s="1" t="n"/>
    </row>
    <row r="707" ht="15.75" customHeight="1" s="311">
      <c r="A707" s="1" t="n"/>
      <c r="B707" s="1" t="n"/>
      <c r="C707" s="1" t="n"/>
      <c r="D707" s="1" t="n"/>
      <c r="E707" s="1" t="n"/>
      <c r="F707" s="1" t="n"/>
      <c r="G707" s="1" t="n"/>
      <c r="H707" s="1" t="n"/>
      <c r="I707" s="1" t="n"/>
      <c r="J707" s="1" t="n"/>
    </row>
    <row r="708" ht="15.75" customHeight="1" s="311">
      <c r="A708" s="1" t="n"/>
      <c r="B708" s="1" t="n"/>
      <c r="C708" s="1" t="n"/>
      <c r="D708" s="1" t="n"/>
      <c r="E708" s="1" t="n"/>
      <c r="F708" s="1" t="n"/>
      <c r="G708" s="1" t="n"/>
      <c r="H708" s="1" t="n"/>
      <c r="I708" s="1" t="n"/>
      <c r="J708" s="1" t="n"/>
    </row>
    <row r="709" ht="15.75" customHeight="1" s="311">
      <c r="A709" s="1" t="n"/>
      <c r="B709" s="1" t="n"/>
      <c r="C709" s="1" t="n"/>
      <c r="D709" s="1" t="n"/>
      <c r="E709" s="1" t="n"/>
      <c r="F709" s="1" t="n"/>
      <c r="G709" s="1" t="n"/>
      <c r="H709" s="1" t="n"/>
      <c r="I709" s="1" t="n"/>
      <c r="J709" s="1" t="n"/>
    </row>
    <row r="710" ht="15.75" customHeight="1" s="311">
      <c r="A710" s="1" t="n"/>
      <c r="B710" s="1" t="n"/>
      <c r="C710" s="1" t="n"/>
      <c r="D710" s="1" t="n"/>
      <c r="E710" s="1" t="n"/>
      <c r="F710" s="1" t="n"/>
      <c r="G710" s="1" t="n"/>
      <c r="H710" s="1" t="n"/>
      <c r="I710" s="1" t="n"/>
      <c r="J710" s="1" t="n"/>
    </row>
    <row r="711" ht="15.75" customHeight="1" s="311">
      <c r="A711" s="1" t="n"/>
      <c r="B711" s="1" t="n"/>
      <c r="C711" s="1" t="n"/>
      <c r="D711" s="1" t="n"/>
      <c r="E711" s="1" t="n"/>
      <c r="F711" s="1" t="n"/>
      <c r="G711" s="1" t="n"/>
      <c r="H711" s="1" t="n"/>
      <c r="I711" s="1" t="n"/>
      <c r="J711" s="1" t="n"/>
    </row>
    <row r="712" ht="15.75" customHeight="1" s="311">
      <c r="A712" s="1" t="n"/>
      <c r="B712" s="1" t="n"/>
      <c r="C712" s="1" t="n"/>
      <c r="D712" s="1" t="n"/>
      <c r="E712" s="1" t="n"/>
      <c r="F712" s="1" t="n"/>
      <c r="G712" s="1" t="n"/>
      <c r="H712" s="1" t="n"/>
      <c r="I712" s="1" t="n"/>
      <c r="J712" s="1" t="n"/>
    </row>
    <row r="713" ht="15.75" customHeight="1" s="311">
      <c r="A713" s="1" t="n"/>
      <c r="B713" s="1" t="n"/>
      <c r="C713" s="1" t="n"/>
      <c r="D713" s="1" t="n"/>
      <c r="E713" s="1" t="n"/>
      <c r="F713" s="1" t="n"/>
      <c r="G713" s="1" t="n"/>
      <c r="H713" s="1" t="n"/>
      <c r="I713" s="1" t="n"/>
      <c r="J713" s="1" t="n"/>
    </row>
    <row r="714" ht="15.75" customHeight="1" s="311">
      <c r="A714" s="1" t="n"/>
      <c r="B714" s="1" t="n"/>
      <c r="C714" s="1" t="n"/>
      <c r="D714" s="1" t="n"/>
      <c r="E714" s="1" t="n"/>
      <c r="F714" s="1" t="n"/>
      <c r="G714" s="1" t="n"/>
      <c r="H714" s="1" t="n"/>
      <c r="I714" s="1" t="n"/>
      <c r="J714" s="1" t="n"/>
    </row>
    <row r="715" ht="15.75" customHeight="1" s="311">
      <c r="A715" s="1" t="n"/>
      <c r="B715" s="1" t="n"/>
      <c r="C715" s="1" t="n"/>
      <c r="D715" s="1" t="n"/>
      <c r="E715" s="1" t="n"/>
      <c r="F715" s="1" t="n"/>
      <c r="G715" s="1" t="n"/>
      <c r="H715" s="1" t="n"/>
      <c r="I715" s="1" t="n"/>
      <c r="J715" s="1" t="n"/>
    </row>
    <row r="716" ht="15.75" customHeight="1" s="311">
      <c r="A716" s="1" t="n"/>
      <c r="B716" s="1" t="n"/>
      <c r="C716" s="1" t="n"/>
      <c r="D716" s="1" t="n"/>
      <c r="E716" s="1" t="n"/>
      <c r="F716" s="1" t="n"/>
      <c r="G716" s="1" t="n"/>
      <c r="H716" s="1" t="n"/>
      <c r="I716" s="1" t="n"/>
      <c r="J716" s="1" t="n"/>
    </row>
    <row r="717" ht="15.75" customHeight="1" s="311">
      <c r="A717" s="1" t="n"/>
      <c r="B717" s="1" t="n"/>
      <c r="C717" s="1" t="n"/>
      <c r="D717" s="1" t="n"/>
      <c r="E717" s="1" t="n"/>
      <c r="F717" s="1" t="n"/>
      <c r="G717" s="1" t="n"/>
      <c r="H717" s="1" t="n"/>
      <c r="I717" s="1" t="n"/>
      <c r="J717" s="1" t="n"/>
    </row>
    <row r="718" ht="15.75" customHeight="1" s="311">
      <c r="A718" s="1" t="n"/>
      <c r="B718" s="1" t="n"/>
      <c r="C718" s="1" t="n"/>
      <c r="D718" s="1" t="n"/>
      <c r="E718" s="1" t="n"/>
      <c r="F718" s="1" t="n"/>
      <c r="G718" s="1" t="n"/>
      <c r="H718" s="1" t="n"/>
      <c r="I718" s="1" t="n"/>
      <c r="J718" s="1" t="n"/>
    </row>
    <row r="719" ht="15.75" customHeight="1" s="311">
      <c r="A719" s="1" t="n"/>
      <c r="B719" s="1" t="n"/>
      <c r="C719" s="1" t="n"/>
      <c r="D719" s="1" t="n"/>
      <c r="E719" s="1" t="n"/>
      <c r="F719" s="1" t="n"/>
      <c r="G719" s="1" t="n"/>
      <c r="H719" s="1" t="n"/>
      <c r="I719" s="1" t="n"/>
      <c r="J719" s="1" t="n"/>
    </row>
    <row r="720" ht="15.75" customHeight="1" s="311">
      <c r="A720" s="1" t="n"/>
      <c r="B720" s="1" t="n"/>
      <c r="C720" s="1" t="n"/>
      <c r="D720" s="1" t="n"/>
      <c r="E720" s="1" t="n"/>
      <c r="F720" s="1" t="n"/>
      <c r="G720" s="1" t="n"/>
      <c r="H720" s="1" t="n"/>
      <c r="I720" s="1" t="n"/>
      <c r="J720" s="1" t="n"/>
    </row>
    <row r="721" ht="15.75" customHeight="1" s="311">
      <c r="A721" s="1" t="n"/>
      <c r="B721" s="1" t="n"/>
      <c r="C721" s="1" t="n"/>
      <c r="D721" s="1" t="n"/>
      <c r="E721" s="1" t="n"/>
      <c r="F721" s="1" t="n"/>
      <c r="G721" s="1" t="n"/>
      <c r="H721" s="1" t="n"/>
      <c r="I721" s="1" t="n"/>
      <c r="J721" s="1" t="n"/>
    </row>
    <row r="722" ht="15.75" customHeight="1" s="311">
      <c r="A722" s="1" t="n"/>
      <c r="B722" s="1" t="n"/>
      <c r="C722" s="1" t="n"/>
      <c r="D722" s="1" t="n"/>
      <c r="E722" s="1" t="n"/>
      <c r="F722" s="1" t="n"/>
      <c r="G722" s="1" t="n"/>
      <c r="H722" s="1" t="n"/>
      <c r="I722" s="1" t="n"/>
      <c r="J722" s="1" t="n"/>
    </row>
    <row r="723" ht="15.75" customHeight="1" s="311">
      <c r="A723" s="1" t="n"/>
      <c r="B723" s="1" t="n"/>
      <c r="C723" s="1" t="n"/>
      <c r="D723" s="1" t="n"/>
      <c r="E723" s="1" t="n"/>
      <c r="F723" s="1" t="n"/>
      <c r="G723" s="1" t="n"/>
      <c r="H723" s="1" t="n"/>
      <c r="I723" s="1" t="n"/>
      <c r="J723" s="1" t="n"/>
    </row>
    <row r="724" ht="15.75" customHeight="1" s="311">
      <c r="A724" s="1" t="n"/>
      <c r="B724" s="1" t="n"/>
      <c r="C724" s="1" t="n"/>
      <c r="D724" s="1" t="n"/>
      <c r="E724" s="1" t="n"/>
      <c r="F724" s="1" t="n"/>
      <c r="G724" s="1" t="n"/>
      <c r="H724" s="1" t="n"/>
      <c r="I724" s="1" t="n"/>
      <c r="J724" s="1" t="n"/>
    </row>
    <row r="725" ht="15.75" customHeight="1" s="311">
      <c r="A725" s="1" t="n"/>
      <c r="B725" s="1" t="n"/>
      <c r="C725" s="1" t="n"/>
      <c r="D725" s="1" t="n"/>
      <c r="E725" s="1" t="n"/>
      <c r="F725" s="1" t="n"/>
      <c r="G725" s="1" t="n"/>
      <c r="H725" s="1" t="n"/>
      <c r="I725" s="1" t="n"/>
      <c r="J725" s="1" t="n"/>
    </row>
    <row r="726" ht="15.75" customHeight="1" s="311">
      <c r="A726" s="1" t="n"/>
      <c r="B726" s="1" t="n"/>
      <c r="C726" s="1" t="n"/>
      <c r="D726" s="1" t="n"/>
      <c r="E726" s="1" t="n"/>
      <c r="F726" s="1" t="n"/>
      <c r="G726" s="1" t="n"/>
      <c r="H726" s="1" t="n"/>
      <c r="I726" s="1" t="n"/>
      <c r="J726" s="1" t="n"/>
    </row>
    <row r="727" ht="15.75" customHeight="1" s="311">
      <c r="A727" s="1" t="n"/>
      <c r="B727" s="1" t="n"/>
      <c r="C727" s="1" t="n"/>
      <c r="D727" s="1" t="n"/>
      <c r="E727" s="1" t="n"/>
      <c r="F727" s="1" t="n"/>
      <c r="G727" s="1" t="n"/>
      <c r="H727" s="1" t="n"/>
      <c r="I727" s="1" t="n"/>
      <c r="J727" s="1" t="n"/>
    </row>
    <row r="728" ht="15.75" customHeight="1" s="311">
      <c r="A728" s="1" t="n"/>
      <c r="B728" s="1" t="n"/>
      <c r="C728" s="1" t="n"/>
      <c r="D728" s="1" t="n"/>
      <c r="E728" s="1" t="n"/>
      <c r="F728" s="1" t="n"/>
      <c r="G728" s="1" t="n"/>
      <c r="H728" s="1" t="n"/>
      <c r="I728" s="1" t="n"/>
      <c r="J728" s="1" t="n"/>
    </row>
    <row r="729" ht="15.75" customHeight="1" s="311">
      <c r="A729" s="1" t="n"/>
      <c r="B729" s="1" t="n"/>
      <c r="C729" s="1" t="n"/>
      <c r="D729" s="1" t="n"/>
      <c r="E729" s="1" t="n"/>
      <c r="F729" s="1" t="n"/>
      <c r="G729" s="1" t="n"/>
      <c r="H729" s="1" t="n"/>
      <c r="I729" s="1" t="n"/>
      <c r="J729" s="1" t="n"/>
    </row>
    <row r="730" ht="15.75" customHeight="1" s="311">
      <c r="A730" s="1" t="n"/>
      <c r="B730" s="1" t="n"/>
      <c r="C730" s="1" t="n"/>
      <c r="D730" s="1" t="n"/>
      <c r="E730" s="1" t="n"/>
      <c r="F730" s="1" t="n"/>
      <c r="G730" s="1" t="n"/>
      <c r="H730" s="1" t="n"/>
      <c r="I730" s="1" t="n"/>
      <c r="J730" s="1" t="n"/>
    </row>
    <row r="731" ht="15.75" customHeight="1" s="311">
      <c r="A731" s="1" t="n"/>
      <c r="B731" s="1" t="n"/>
      <c r="C731" s="1" t="n"/>
      <c r="D731" s="1" t="n"/>
      <c r="E731" s="1" t="n"/>
      <c r="F731" s="1" t="n"/>
      <c r="G731" s="1" t="n"/>
      <c r="H731" s="1" t="n"/>
      <c r="I731" s="1" t="n"/>
      <c r="J731" s="1" t="n"/>
    </row>
    <row r="732" ht="15.75" customHeight="1" s="311">
      <c r="A732" s="1" t="n"/>
      <c r="B732" s="1" t="n"/>
      <c r="C732" s="1" t="n"/>
      <c r="D732" s="1" t="n"/>
      <c r="E732" s="1" t="n"/>
      <c r="F732" s="1" t="n"/>
      <c r="G732" s="1" t="n"/>
      <c r="H732" s="1" t="n"/>
      <c r="I732" s="1" t="n"/>
      <c r="J732" s="1" t="n"/>
    </row>
    <row r="733" ht="15.75" customHeight="1" s="311">
      <c r="A733" s="1" t="n"/>
      <c r="B733" s="1" t="n"/>
      <c r="C733" s="1" t="n"/>
      <c r="D733" s="1" t="n"/>
      <c r="E733" s="1" t="n"/>
      <c r="F733" s="1" t="n"/>
      <c r="G733" s="1" t="n"/>
      <c r="H733" s="1" t="n"/>
      <c r="I733" s="1" t="n"/>
      <c r="J733" s="1" t="n"/>
    </row>
    <row r="734" ht="15.75" customHeight="1" s="311">
      <c r="A734" s="1" t="n"/>
      <c r="B734" s="1" t="n"/>
      <c r="C734" s="1" t="n"/>
      <c r="D734" s="1" t="n"/>
      <c r="E734" s="1" t="n"/>
      <c r="F734" s="1" t="n"/>
      <c r="G734" s="1" t="n"/>
      <c r="H734" s="1" t="n"/>
      <c r="I734" s="1" t="n"/>
      <c r="J734" s="1" t="n"/>
    </row>
    <row r="735" ht="15.75" customHeight="1" s="311">
      <c r="A735" s="1" t="n"/>
      <c r="B735" s="1" t="n"/>
      <c r="C735" s="1" t="n"/>
      <c r="D735" s="1" t="n"/>
      <c r="E735" s="1" t="n"/>
      <c r="F735" s="1" t="n"/>
      <c r="G735" s="1" t="n"/>
      <c r="H735" s="1" t="n"/>
      <c r="I735" s="1" t="n"/>
      <c r="J735" s="1" t="n"/>
    </row>
    <row r="736" ht="15.75" customHeight="1" s="311">
      <c r="A736" s="1" t="n"/>
      <c r="B736" s="1" t="n"/>
      <c r="C736" s="1" t="n"/>
      <c r="D736" s="1" t="n"/>
      <c r="E736" s="1" t="n"/>
      <c r="F736" s="1" t="n"/>
      <c r="G736" s="1" t="n"/>
      <c r="H736" s="1" t="n"/>
      <c r="I736" s="1" t="n"/>
      <c r="J736" s="1" t="n"/>
    </row>
    <row r="737" ht="15.75" customHeight="1" s="311">
      <c r="A737" s="1" t="n"/>
      <c r="B737" s="1" t="n"/>
      <c r="C737" s="1" t="n"/>
      <c r="D737" s="1" t="n"/>
      <c r="E737" s="1" t="n"/>
      <c r="F737" s="1" t="n"/>
      <c r="G737" s="1" t="n"/>
      <c r="H737" s="1" t="n"/>
      <c r="I737" s="1" t="n"/>
      <c r="J737" s="1" t="n"/>
    </row>
    <row r="738" ht="15.75" customHeight="1" s="311">
      <c r="A738" s="1" t="n"/>
      <c r="B738" s="1" t="n"/>
      <c r="C738" s="1" t="n"/>
      <c r="D738" s="1" t="n"/>
      <c r="E738" s="1" t="n"/>
      <c r="F738" s="1" t="n"/>
      <c r="G738" s="1" t="n"/>
      <c r="H738" s="1" t="n"/>
      <c r="I738" s="1" t="n"/>
      <c r="J738" s="1" t="n"/>
    </row>
    <row r="739" ht="15.75" customHeight="1" s="311">
      <c r="A739" s="1" t="n"/>
      <c r="B739" s="1" t="n"/>
      <c r="C739" s="1" t="n"/>
      <c r="D739" s="1" t="n"/>
      <c r="E739" s="1" t="n"/>
      <c r="F739" s="1" t="n"/>
      <c r="G739" s="1" t="n"/>
      <c r="H739" s="1" t="n"/>
      <c r="I739" s="1" t="n"/>
      <c r="J739" s="1" t="n"/>
    </row>
    <row r="740" ht="15.75" customHeight="1" s="311">
      <c r="A740" s="1" t="n"/>
      <c r="B740" s="1" t="n"/>
      <c r="C740" s="1" t="n"/>
      <c r="D740" s="1" t="n"/>
      <c r="E740" s="1" t="n"/>
      <c r="F740" s="1" t="n"/>
      <c r="G740" s="1" t="n"/>
      <c r="H740" s="1" t="n"/>
      <c r="I740" s="1" t="n"/>
      <c r="J740" s="1" t="n"/>
    </row>
    <row r="741" ht="15.75" customHeight="1" s="311">
      <c r="A741" s="1" t="n"/>
      <c r="B741" s="1" t="n"/>
      <c r="C741" s="1" t="n"/>
      <c r="D741" s="1" t="n"/>
      <c r="E741" s="1" t="n"/>
      <c r="F741" s="1" t="n"/>
      <c r="G741" s="1" t="n"/>
      <c r="H741" s="1" t="n"/>
      <c r="I741" s="1" t="n"/>
      <c r="J741" s="1" t="n"/>
    </row>
    <row r="742" ht="15.75" customHeight="1" s="311">
      <c r="A742" s="1" t="n"/>
      <c r="B742" s="1" t="n"/>
      <c r="C742" s="1" t="n"/>
      <c r="D742" s="1" t="n"/>
      <c r="E742" s="1" t="n"/>
      <c r="F742" s="1" t="n"/>
      <c r="G742" s="1" t="n"/>
      <c r="H742" s="1" t="n"/>
      <c r="I742" s="1" t="n"/>
      <c r="J742" s="1" t="n"/>
    </row>
    <row r="743" ht="15.75" customHeight="1" s="311">
      <c r="A743" s="1" t="n"/>
      <c r="B743" s="1" t="n"/>
      <c r="C743" s="1" t="n"/>
      <c r="D743" s="1" t="n"/>
      <c r="E743" s="1" t="n"/>
      <c r="F743" s="1" t="n"/>
      <c r="G743" s="1" t="n"/>
      <c r="H743" s="1" t="n"/>
      <c r="I743" s="1" t="n"/>
      <c r="J743" s="1" t="n"/>
    </row>
    <row r="744" ht="15.75" customHeight="1" s="311">
      <c r="A744" s="1" t="n"/>
      <c r="B744" s="1" t="n"/>
      <c r="C744" s="1" t="n"/>
      <c r="D744" s="1" t="n"/>
      <c r="E744" s="1" t="n"/>
      <c r="F744" s="1" t="n"/>
      <c r="G744" s="1" t="n"/>
      <c r="H744" s="1" t="n"/>
      <c r="I744" s="1" t="n"/>
      <c r="J744" s="1" t="n"/>
    </row>
    <row r="745" ht="15.75" customHeight="1" s="311">
      <c r="A745" s="1" t="n"/>
      <c r="B745" s="1" t="n"/>
      <c r="C745" s="1" t="n"/>
      <c r="D745" s="1" t="n"/>
      <c r="E745" s="1" t="n"/>
      <c r="F745" s="1" t="n"/>
      <c r="G745" s="1" t="n"/>
      <c r="H745" s="1" t="n"/>
      <c r="I745" s="1" t="n"/>
      <c r="J745" s="1" t="n"/>
    </row>
    <row r="746" ht="15.75" customHeight="1" s="311">
      <c r="A746" s="1" t="n"/>
      <c r="B746" s="1" t="n"/>
      <c r="C746" s="1" t="n"/>
      <c r="D746" s="1" t="n"/>
      <c r="E746" s="1" t="n"/>
      <c r="F746" s="1" t="n"/>
      <c r="G746" s="1" t="n"/>
      <c r="H746" s="1" t="n"/>
      <c r="I746" s="1" t="n"/>
      <c r="J746" s="1" t="n"/>
    </row>
    <row r="747" ht="15.75" customHeight="1" s="311">
      <c r="A747" s="1" t="n"/>
      <c r="B747" s="1" t="n"/>
      <c r="C747" s="1" t="n"/>
      <c r="D747" s="1" t="n"/>
      <c r="E747" s="1" t="n"/>
      <c r="F747" s="1" t="n"/>
      <c r="G747" s="1" t="n"/>
      <c r="H747" s="1" t="n"/>
      <c r="I747" s="1" t="n"/>
      <c r="J747" s="1" t="n"/>
    </row>
    <row r="748" ht="15.75" customHeight="1" s="311">
      <c r="A748" s="1" t="n"/>
      <c r="B748" s="1" t="n"/>
      <c r="C748" s="1" t="n"/>
      <c r="D748" s="1" t="n"/>
      <c r="E748" s="1" t="n"/>
      <c r="F748" s="1" t="n"/>
      <c r="G748" s="1" t="n"/>
      <c r="H748" s="1" t="n"/>
      <c r="I748" s="1" t="n"/>
      <c r="J748" s="1" t="n"/>
    </row>
    <row r="749" ht="15.75" customHeight="1" s="311">
      <c r="A749" s="1" t="n"/>
      <c r="B749" s="1" t="n"/>
      <c r="C749" s="1" t="n"/>
      <c r="D749" s="1" t="n"/>
      <c r="E749" s="1" t="n"/>
      <c r="F749" s="1" t="n"/>
      <c r="G749" s="1" t="n"/>
      <c r="H749" s="1" t="n"/>
      <c r="I749" s="1" t="n"/>
      <c r="J749" s="1" t="n"/>
    </row>
    <row r="750" ht="15.75" customHeight="1" s="311">
      <c r="A750" s="1" t="n"/>
      <c r="B750" s="1" t="n"/>
      <c r="C750" s="1" t="n"/>
      <c r="D750" s="1" t="n"/>
      <c r="E750" s="1" t="n"/>
      <c r="F750" s="1" t="n"/>
      <c r="G750" s="1" t="n"/>
      <c r="H750" s="1" t="n"/>
      <c r="I750" s="1" t="n"/>
      <c r="J750" s="1" t="n"/>
    </row>
    <row r="751" ht="15.75" customHeight="1" s="311">
      <c r="A751" s="1" t="n"/>
      <c r="B751" s="1" t="n"/>
      <c r="C751" s="1" t="n"/>
      <c r="D751" s="1" t="n"/>
      <c r="E751" s="1" t="n"/>
      <c r="F751" s="1" t="n"/>
      <c r="G751" s="1" t="n"/>
      <c r="H751" s="1" t="n"/>
      <c r="I751" s="1" t="n"/>
      <c r="J751" s="1" t="n"/>
    </row>
    <row r="752" ht="15.75" customHeight="1" s="311">
      <c r="A752" s="1" t="n"/>
      <c r="B752" s="1" t="n"/>
      <c r="C752" s="1" t="n"/>
      <c r="D752" s="1" t="n"/>
      <c r="E752" s="1" t="n"/>
      <c r="F752" s="1" t="n"/>
      <c r="G752" s="1" t="n"/>
      <c r="H752" s="1" t="n"/>
      <c r="I752" s="1" t="n"/>
      <c r="J752" s="1" t="n"/>
    </row>
    <row r="753" ht="15.75" customHeight="1" s="311">
      <c r="A753" s="1" t="n"/>
      <c r="B753" s="1" t="n"/>
      <c r="C753" s="1" t="n"/>
      <c r="D753" s="1" t="n"/>
      <c r="E753" s="1" t="n"/>
      <c r="F753" s="1" t="n"/>
      <c r="G753" s="1" t="n"/>
      <c r="H753" s="1" t="n"/>
      <c r="I753" s="1" t="n"/>
      <c r="J753" s="1" t="n"/>
    </row>
    <row r="754" ht="15.75" customHeight="1" s="311">
      <c r="A754" s="1" t="n"/>
      <c r="B754" s="1" t="n"/>
      <c r="C754" s="1" t="n"/>
      <c r="D754" s="1" t="n"/>
      <c r="E754" s="1" t="n"/>
      <c r="F754" s="1" t="n"/>
      <c r="G754" s="1" t="n"/>
      <c r="H754" s="1" t="n"/>
      <c r="I754" s="1" t="n"/>
      <c r="J754" s="1" t="n"/>
    </row>
    <row r="755" ht="15.75" customHeight="1" s="311">
      <c r="A755" s="1" t="n"/>
      <c r="B755" s="1" t="n"/>
      <c r="C755" s="1" t="n"/>
      <c r="D755" s="1" t="n"/>
      <c r="E755" s="1" t="n"/>
      <c r="F755" s="1" t="n"/>
      <c r="G755" s="1" t="n"/>
      <c r="H755" s="1" t="n"/>
      <c r="I755" s="1" t="n"/>
      <c r="J755" s="1" t="n"/>
    </row>
    <row r="756" ht="15.75" customHeight="1" s="311">
      <c r="A756" s="1" t="n"/>
      <c r="B756" s="1" t="n"/>
      <c r="C756" s="1" t="n"/>
      <c r="D756" s="1" t="n"/>
      <c r="E756" s="1" t="n"/>
      <c r="F756" s="1" t="n"/>
      <c r="G756" s="1" t="n"/>
      <c r="H756" s="1" t="n"/>
      <c r="I756" s="1" t="n"/>
      <c r="J756" s="1" t="n"/>
    </row>
    <row r="757" ht="15.75" customHeight="1" s="311">
      <c r="A757" s="1" t="n"/>
      <c r="B757" s="1" t="n"/>
      <c r="C757" s="1" t="n"/>
      <c r="D757" s="1" t="n"/>
      <c r="E757" s="1" t="n"/>
      <c r="F757" s="1" t="n"/>
      <c r="G757" s="1" t="n"/>
      <c r="H757" s="1" t="n"/>
      <c r="I757" s="1" t="n"/>
      <c r="J757" s="1" t="n"/>
    </row>
    <row r="758" ht="15.75" customHeight="1" s="311">
      <c r="A758" s="1" t="n"/>
      <c r="B758" s="1" t="n"/>
      <c r="C758" s="1" t="n"/>
      <c r="D758" s="1" t="n"/>
      <c r="E758" s="1" t="n"/>
      <c r="F758" s="1" t="n"/>
      <c r="G758" s="1" t="n"/>
      <c r="H758" s="1" t="n"/>
      <c r="I758" s="1" t="n"/>
      <c r="J758" s="1" t="n"/>
    </row>
    <row r="759" ht="15.75" customHeight="1" s="311">
      <c r="A759" s="1" t="n"/>
      <c r="B759" s="1" t="n"/>
      <c r="C759" s="1" t="n"/>
      <c r="D759" s="1" t="n"/>
      <c r="E759" s="1" t="n"/>
      <c r="F759" s="1" t="n"/>
      <c r="G759" s="1" t="n"/>
      <c r="H759" s="1" t="n"/>
      <c r="I759" s="1" t="n"/>
      <c r="J759" s="1" t="n"/>
    </row>
    <row r="760" ht="15.75" customHeight="1" s="311">
      <c r="A760" s="1" t="n"/>
      <c r="B760" s="1" t="n"/>
      <c r="C760" s="1" t="n"/>
      <c r="D760" s="1" t="n"/>
      <c r="E760" s="1" t="n"/>
      <c r="F760" s="1" t="n"/>
      <c r="G760" s="1" t="n"/>
      <c r="H760" s="1" t="n"/>
      <c r="I760" s="1" t="n"/>
      <c r="J760" s="1" t="n"/>
    </row>
    <row r="761" ht="15.75" customHeight="1" s="311">
      <c r="A761" s="1" t="n"/>
      <c r="B761" s="1" t="n"/>
      <c r="C761" s="1" t="n"/>
      <c r="D761" s="1" t="n"/>
      <c r="E761" s="1" t="n"/>
      <c r="F761" s="1" t="n"/>
      <c r="G761" s="1" t="n"/>
      <c r="H761" s="1" t="n"/>
      <c r="I761" s="1" t="n"/>
      <c r="J761" s="1" t="n"/>
    </row>
    <row r="762" ht="15.75" customHeight="1" s="311">
      <c r="A762" s="1" t="n"/>
      <c r="B762" s="1" t="n"/>
      <c r="C762" s="1" t="n"/>
      <c r="D762" s="1" t="n"/>
      <c r="E762" s="1" t="n"/>
      <c r="F762" s="1" t="n"/>
      <c r="G762" s="1" t="n"/>
      <c r="H762" s="1" t="n"/>
      <c r="I762" s="1" t="n"/>
      <c r="J762" s="1" t="n"/>
    </row>
    <row r="763" ht="15.75" customHeight="1" s="311">
      <c r="A763" s="1" t="n"/>
      <c r="B763" s="1" t="n"/>
      <c r="C763" s="1" t="n"/>
      <c r="D763" s="1" t="n"/>
      <c r="E763" s="1" t="n"/>
      <c r="F763" s="1" t="n"/>
      <c r="G763" s="1" t="n"/>
      <c r="H763" s="1" t="n"/>
      <c r="I763" s="1" t="n"/>
      <c r="J763" s="1" t="n"/>
    </row>
    <row r="764" ht="15.75" customHeight="1" s="311">
      <c r="A764" s="1" t="n"/>
      <c r="B764" s="1" t="n"/>
      <c r="C764" s="1" t="n"/>
      <c r="D764" s="1" t="n"/>
      <c r="E764" s="1" t="n"/>
      <c r="F764" s="1" t="n"/>
      <c r="G764" s="1" t="n"/>
      <c r="H764" s="1" t="n"/>
      <c r="I764" s="1" t="n"/>
      <c r="J764" s="1" t="n"/>
    </row>
    <row r="765" ht="15.75" customHeight="1" s="311">
      <c r="A765" s="1" t="n"/>
      <c r="B765" s="1" t="n"/>
      <c r="C765" s="1" t="n"/>
      <c r="D765" s="1" t="n"/>
      <c r="E765" s="1" t="n"/>
      <c r="F765" s="1" t="n"/>
      <c r="G765" s="1" t="n"/>
      <c r="H765" s="1" t="n"/>
      <c r="I765" s="1" t="n"/>
      <c r="J765" s="1" t="n"/>
    </row>
    <row r="766" ht="15.75" customHeight="1" s="311">
      <c r="A766" s="1" t="n"/>
      <c r="B766" s="1" t="n"/>
      <c r="C766" s="1" t="n"/>
      <c r="D766" s="1" t="n"/>
      <c r="E766" s="1" t="n"/>
      <c r="F766" s="1" t="n"/>
      <c r="G766" s="1" t="n"/>
      <c r="H766" s="1" t="n"/>
      <c r="I766" s="1" t="n"/>
      <c r="J766" s="1" t="n"/>
    </row>
    <row r="767" ht="15.75" customHeight="1" s="311">
      <c r="A767" s="1" t="n"/>
      <c r="B767" s="1" t="n"/>
      <c r="C767" s="1" t="n"/>
      <c r="D767" s="1" t="n"/>
      <c r="E767" s="1" t="n"/>
      <c r="F767" s="1" t="n"/>
      <c r="G767" s="1" t="n"/>
      <c r="H767" s="1" t="n"/>
      <c r="I767" s="1" t="n"/>
      <c r="J767" s="1" t="n"/>
    </row>
    <row r="768" ht="15.75" customHeight="1" s="311">
      <c r="A768" s="1" t="n"/>
      <c r="B768" s="1" t="n"/>
      <c r="C768" s="1" t="n"/>
      <c r="D768" s="1" t="n"/>
      <c r="E768" s="1" t="n"/>
      <c r="F768" s="1" t="n"/>
      <c r="G768" s="1" t="n"/>
      <c r="H768" s="1" t="n"/>
      <c r="I768" s="1" t="n"/>
      <c r="J768" s="1" t="n"/>
    </row>
    <row r="769" ht="15.75" customHeight="1" s="311">
      <c r="A769" s="1" t="n"/>
      <c r="B769" s="1" t="n"/>
      <c r="C769" s="1" t="n"/>
      <c r="D769" s="1" t="n"/>
      <c r="E769" s="1" t="n"/>
      <c r="F769" s="1" t="n"/>
      <c r="G769" s="1" t="n"/>
      <c r="H769" s="1" t="n"/>
      <c r="I769" s="1" t="n"/>
      <c r="J769" s="1" t="n"/>
    </row>
    <row r="770" ht="15.75" customHeight="1" s="311">
      <c r="A770" s="1" t="n"/>
      <c r="B770" s="1" t="n"/>
      <c r="C770" s="1" t="n"/>
      <c r="D770" s="1" t="n"/>
      <c r="E770" s="1" t="n"/>
      <c r="F770" s="1" t="n"/>
      <c r="G770" s="1" t="n"/>
      <c r="H770" s="1" t="n"/>
      <c r="I770" s="1" t="n"/>
      <c r="J770" s="1" t="n"/>
    </row>
    <row r="771" ht="15.75" customHeight="1" s="311">
      <c r="A771" s="1" t="n"/>
      <c r="B771" s="1" t="n"/>
      <c r="C771" s="1" t="n"/>
      <c r="D771" s="1" t="n"/>
      <c r="E771" s="1" t="n"/>
      <c r="F771" s="1" t="n"/>
      <c r="G771" s="1" t="n"/>
      <c r="H771" s="1" t="n"/>
      <c r="I771" s="1" t="n"/>
      <c r="J771" s="1" t="n"/>
    </row>
    <row r="772" ht="15.75" customHeight="1" s="311">
      <c r="A772" s="1" t="n"/>
      <c r="B772" s="1" t="n"/>
      <c r="C772" s="1" t="n"/>
      <c r="D772" s="1" t="n"/>
      <c r="E772" s="1" t="n"/>
      <c r="F772" s="1" t="n"/>
      <c r="G772" s="1" t="n"/>
      <c r="H772" s="1" t="n"/>
      <c r="I772" s="1" t="n"/>
      <c r="J772" s="1" t="n"/>
    </row>
    <row r="773" ht="15.75" customHeight="1" s="311">
      <c r="A773" s="1" t="n"/>
      <c r="B773" s="1" t="n"/>
      <c r="C773" s="1" t="n"/>
      <c r="D773" s="1" t="n"/>
      <c r="E773" s="1" t="n"/>
      <c r="F773" s="1" t="n"/>
      <c r="G773" s="1" t="n"/>
      <c r="H773" s="1" t="n"/>
      <c r="I773" s="1" t="n"/>
      <c r="J773" s="1" t="n"/>
    </row>
    <row r="774" ht="15.75" customHeight="1" s="311">
      <c r="A774" s="1" t="n"/>
      <c r="B774" s="1" t="n"/>
      <c r="C774" s="1" t="n"/>
      <c r="D774" s="1" t="n"/>
      <c r="E774" s="1" t="n"/>
      <c r="F774" s="1" t="n"/>
      <c r="G774" s="1" t="n"/>
      <c r="H774" s="1" t="n"/>
      <c r="I774" s="1" t="n"/>
      <c r="J774" s="1" t="n"/>
    </row>
    <row r="775" ht="15.75" customHeight="1" s="311">
      <c r="A775" s="1" t="n"/>
      <c r="B775" s="1" t="n"/>
      <c r="C775" s="1" t="n"/>
      <c r="D775" s="1" t="n"/>
      <c r="E775" s="1" t="n"/>
      <c r="F775" s="1" t="n"/>
      <c r="G775" s="1" t="n"/>
      <c r="H775" s="1" t="n"/>
      <c r="I775" s="1" t="n"/>
      <c r="J775" s="1" t="n"/>
    </row>
    <row r="776" ht="15.75" customHeight="1" s="311">
      <c r="A776" s="1" t="n"/>
      <c r="B776" s="1" t="n"/>
      <c r="C776" s="1" t="n"/>
      <c r="D776" s="1" t="n"/>
      <c r="E776" s="1" t="n"/>
      <c r="F776" s="1" t="n"/>
      <c r="G776" s="1" t="n"/>
      <c r="H776" s="1" t="n"/>
      <c r="I776" s="1" t="n"/>
      <c r="J776" s="1" t="n"/>
    </row>
    <row r="777" ht="15.75" customHeight="1" s="311">
      <c r="A777" s="1" t="n"/>
      <c r="B777" s="1" t="n"/>
      <c r="C777" s="1" t="n"/>
      <c r="D777" s="1" t="n"/>
      <c r="E777" s="1" t="n"/>
      <c r="F777" s="1" t="n"/>
      <c r="G777" s="1" t="n"/>
      <c r="H777" s="1" t="n"/>
      <c r="I777" s="1" t="n"/>
      <c r="J777" s="1" t="n"/>
    </row>
    <row r="778" ht="15.75" customHeight="1" s="311">
      <c r="A778" s="1" t="n"/>
      <c r="B778" s="1" t="n"/>
      <c r="C778" s="1" t="n"/>
      <c r="D778" s="1" t="n"/>
      <c r="E778" s="1" t="n"/>
      <c r="F778" s="1" t="n"/>
      <c r="G778" s="1" t="n"/>
      <c r="H778" s="1" t="n"/>
      <c r="I778" s="1" t="n"/>
      <c r="J778" s="1" t="n"/>
    </row>
    <row r="779" ht="15.75" customHeight="1" s="311">
      <c r="A779" s="1" t="n"/>
      <c r="B779" s="1" t="n"/>
      <c r="C779" s="1" t="n"/>
      <c r="D779" s="1" t="n"/>
      <c r="E779" s="1" t="n"/>
      <c r="F779" s="1" t="n"/>
      <c r="G779" s="1" t="n"/>
      <c r="H779" s="1" t="n"/>
      <c r="I779" s="1" t="n"/>
      <c r="J779" s="1" t="n"/>
    </row>
    <row r="780" ht="15.75" customHeight="1" s="311">
      <c r="A780" s="1" t="n"/>
      <c r="B780" s="1" t="n"/>
      <c r="C780" s="1" t="n"/>
      <c r="D780" s="1" t="n"/>
      <c r="E780" s="1" t="n"/>
      <c r="F780" s="1" t="n"/>
      <c r="G780" s="1" t="n"/>
      <c r="H780" s="1" t="n"/>
      <c r="I780" s="1" t="n"/>
      <c r="J780" s="1" t="n"/>
    </row>
    <row r="781" ht="15.75" customHeight="1" s="311">
      <c r="A781" s="1" t="n"/>
      <c r="B781" s="1" t="n"/>
      <c r="C781" s="1" t="n"/>
      <c r="D781" s="1" t="n"/>
      <c r="E781" s="1" t="n"/>
      <c r="F781" s="1" t="n"/>
      <c r="G781" s="1" t="n"/>
      <c r="H781" s="1" t="n"/>
      <c r="I781" s="1" t="n"/>
      <c r="J781" s="1" t="n"/>
    </row>
    <row r="782" ht="15.75" customHeight="1" s="311">
      <c r="A782" s="1" t="n"/>
      <c r="B782" s="1" t="n"/>
      <c r="C782" s="1" t="n"/>
      <c r="D782" s="1" t="n"/>
      <c r="E782" s="1" t="n"/>
      <c r="F782" s="1" t="n"/>
      <c r="G782" s="1" t="n"/>
      <c r="H782" s="1" t="n"/>
      <c r="I782" s="1" t="n"/>
      <c r="J782" s="1" t="n"/>
    </row>
    <row r="783" ht="15.75" customHeight="1" s="311">
      <c r="A783" s="1" t="n"/>
      <c r="B783" s="1" t="n"/>
      <c r="C783" s="1" t="n"/>
      <c r="D783" s="1" t="n"/>
      <c r="E783" s="1" t="n"/>
      <c r="F783" s="1" t="n"/>
      <c r="G783" s="1" t="n"/>
      <c r="H783" s="1" t="n"/>
      <c r="I783" s="1" t="n"/>
      <c r="J783" s="1" t="n"/>
    </row>
    <row r="784" ht="15.75" customHeight="1" s="311">
      <c r="A784" s="1" t="n"/>
      <c r="B784" s="1" t="n"/>
      <c r="C784" s="1" t="n"/>
      <c r="D784" s="1" t="n"/>
      <c r="E784" s="1" t="n"/>
      <c r="F784" s="1" t="n"/>
      <c r="G784" s="1" t="n"/>
      <c r="H784" s="1" t="n"/>
      <c r="I784" s="1" t="n"/>
      <c r="J784" s="1" t="n"/>
    </row>
    <row r="785" ht="15.75" customHeight="1" s="311">
      <c r="A785" s="1" t="n"/>
      <c r="B785" s="1" t="n"/>
      <c r="C785" s="1" t="n"/>
      <c r="D785" s="1" t="n"/>
      <c r="E785" s="1" t="n"/>
      <c r="F785" s="1" t="n"/>
      <c r="G785" s="1" t="n"/>
      <c r="H785" s="1" t="n"/>
      <c r="I785" s="1" t="n"/>
      <c r="J785" s="1" t="n"/>
    </row>
    <row r="786" ht="15.75" customHeight="1" s="311">
      <c r="A786" s="1" t="n"/>
      <c r="B786" s="1" t="n"/>
      <c r="C786" s="1" t="n"/>
      <c r="D786" s="1" t="n"/>
      <c r="E786" s="1" t="n"/>
      <c r="F786" s="1" t="n"/>
      <c r="G786" s="1" t="n"/>
      <c r="H786" s="1" t="n"/>
      <c r="I786" s="1" t="n"/>
      <c r="J786" s="1" t="n"/>
    </row>
    <row r="787" ht="15.75" customHeight="1" s="311">
      <c r="A787" s="1" t="n"/>
      <c r="B787" s="1" t="n"/>
      <c r="C787" s="1" t="n"/>
      <c r="D787" s="1" t="n"/>
      <c r="E787" s="1" t="n"/>
      <c r="F787" s="1" t="n"/>
      <c r="G787" s="1" t="n"/>
      <c r="H787" s="1" t="n"/>
      <c r="I787" s="1" t="n"/>
      <c r="J787" s="1" t="n"/>
    </row>
    <row r="788" ht="15.75" customHeight="1" s="311">
      <c r="A788" s="1" t="n"/>
      <c r="B788" s="1" t="n"/>
      <c r="C788" s="1" t="n"/>
      <c r="D788" s="1" t="n"/>
      <c r="E788" s="1" t="n"/>
      <c r="F788" s="1" t="n"/>
      <c r="G788" s="1" t="n"/>
      <c r="H788" s="1" t="n"/>
      <c r="I788" s="1" t="n"/>
      <c r="J788" s="1" t="n"/>
    </row>
    <row r="789" ht="15.75" customHeight="1" s="311">
      <c r="A789" s="1" t="n"/>
      <c r="B789" s="1" t="n"/>
      <c r="C789" s="1" t="n"/>
      <c r="D789" s="1" t="n"/>
      <c r="E789" s="1" t="n"/>
      <c r="F789" s="1" t="n"/>
      <c r="G789" s="1" t="n"/>
      <c r="H789" s="1" t="n"/>
      <c r="I789" s="1" t="n"/>
      <c r="J789" s="1" t="n"/>
    </row>
    <row r="790" ht="15.75" customHeight="1" s="311">
      <c r="A790" s="1" t="n"/>
      <c r="B790" s="1" t="n"/>
      <c r="C790" s="1" t="n"/>
      <c r="D790" s="1" t="n"/>
      <c r="E790" s="1" t="n"/>
      <c r="F790" s="1" t="n"/>
      <c r="G790" s="1" t="n"/>
      <c r="H790" s="1" t="n"/>
      <c r="I790" s="1" t="n"/>
      <c r="J790" s="1" t="n"/>
    </row>
    <row r="791" ht="15.75" customHeight="1" s="311">
      <c r="A791" s="1" t="n"/>
      <c r="B791" s="1" t="n"/>
      <c r="C791" s="1" t="n"/>
      <c r="D791" s="1" t="n"/>
      <c r="E791" s="1" t="n"/>
      <c r="F791" s="1" t="n"/>
      <c r="G791" s="1" t="n"/>
      <c r="H791" s="1" t="n"/>
      <c r="I791" s="1" t="n"/>
      <c r="J791" s="1" t="n"/>
    </row>
    <row r="792" ht="15.75" customHeight="1" s="311">
      <c r="A792" s="1" t="n"/>
      <c r="B792" s="1" t="n"/>
      <c r="C792" s="1" t="n"/>
      <c r="D792" s="1" t="n"/>
      <c r="E792" s="1" t="n"/>
      <c r="F792" s="1" t="n"/>
      <c r="G792" s="1" t="n"/>
      <c r="H792" s="1" t="n"/>
      <c r="I792" s="1" t="n"/>
      <c r="J792" s="1" t="n"/>
    </row>
    <row r="793" ht="15.75" customHeight="1" s="311">
      <c r="A793" s="1" t="n"/>
      <c r="B793" s="1" t="n"/>
      <c r="C793" s="1" t="n"/>
      <c r="D793" s="1" t="n"/>
      <c r="E793" s="1" t="n"/>
      <c r="F793" s="1" t="n"/>
      <c r="G793" s="1" t="n"/>
      <c r="H793" s="1" t="n"/>
      <c r="I793" s="1" t="n"/>
      <c r="J793" s="1" t="n"/>
    </row>
    <row r="794" ht="15.75" customHeight="1" s="311">
      <c r="A794" s="1" t="n"/>
      <c r="B794" s="1" t="n"/>
      <c r="C794" s="1" t="n"/>
      <c r="D794" s="1" t="n"/>
      <c r="E794" s="1" t="n"/>
      <c r="F794" s="1" t="n"/>
      <c r="G794" s="1" t="n"/>
      <c r="H794" s="1" t="n"/>
      <c r="I794" s="1" t="n"/>
      <c r="J794" s="1" t="n"/>
    </row>
    <row r="795" ht="15.75" customHeight="1" s="311">
      <c r="A795" s="1" t="n"/>
      <c r="B795" s="1" t="n"/>
      <c r="C795" s="1" t="n"/>
      <c r="D795" s="1" t="n"/>
      <c r="E795" s="1" t="n"/>
      <c r="F795" s="1" t="n"/>
      <c r="G795" s="1" t="n"/>
      <c r="H795" s="1" t="n"/>
      <c r="I795" s="1" t="n"/>
      <c r="J795" s="1" t="n"/>
    </row>
    <row r="796" ht="15.75" customHeight="1" s="311">
      <c r="A796" s="1" t="n"/>
      <c r="B796" s="1" t="n"/>
      <c r="C796" s="1" t="n"/>
      <c r="D796" s="1" t="n"/>
      <c r="E796" s="1" t="n"/>
      <c r="F796" s="1" t="n"/>
      <c r="G796" s="1" t="n"/>
      <c r="H796" s="1" t="n"/>
      <c r="I796" s="1" t="n"/>
      <c r="J796" s="1" t="n"/>
    </row>
    <row r="797" ht="15.75" customHeight="1" s="311">
      <c r="A797" s="1" t="n"/>
      <c r="B797" s="1" t="n"/>
      <c r="C797" s="1" t="n"/>
      <c r="D797" s="1" t="n"/>
      <c r="E797" s="1" t="n"/>
      <c r="F797" s="1" t="n"/>
      <c r="G797" s="1" t="n"/>
      <c r="H797" s="1" t="n"/>
      <c r="I797" s="1" t="n"/>
      <c r="J797" s="1" t="n"/>
    </row>
    <row r="798" ht="15.75" customHeight="1" s="311">
      <c r="A798" s="1" t="n"/>
      <c r="B798" s="1" t="n"/>
      <c r="C798" s="1" t="n"/>
      <c r="D798" s="1" t="n"/>
      <c r="E798" s="1" t="n"/>
      <c r="F798" s="1" t="n"/>
      <c r="G798" s="1" t="n"/>
      <c r="H798" s="1" t="n"/>
      <c r="I798" s="1" t="n"/>
      <c r="J798" s="1" t="n"/>
    </row>
    <row r="799" ht="15.75" customHeight="1" s="311">
      <c r="A799" s="1" t="n"/>
      <c r="B799" s="1" t="n"/>
      <c r="C799" s="1" t="n"/>
      <c r="D799" s="1" t="n"/>
      <c r="E799" s="1" t="n"/>
      <c r="F799" s="1" t="n"/>
      <c r="G799" s="1" t="n"/>
      <c r="H799" s="1" t="n"/>
      <c r="I799" s="1" t="n"/>
      <c r="J799" s="1" t="n"/>
    </row>
    <row r="800" ht="15.75" customHeight="1" s="311">
      <c r="A800" s="1" t="n"/>
      <c r="B800" s="1" t="n"/>
      <c r="C800" s="1" t="n"/>
      <c r="D800" s="1" t="n"/>
      <c r="E800" s="1" t="n"/>
      <c r="F800" s="1" t="n"/>
      <c r="G800" s="1" t="n"/>
      <c r="H800" s="1" t="n"/>
      <c r="I800" s="1" t="n"/>
      <c r="J800" s="1" t="n"/>
    </row>
    <row r="801" ht="15.75" customHeight="1" s="311">
      <c r="A801" s="1" t="n"/>
      <c r="B801" s="1" t="n"/>
      <c r="C801" s="1" t="n"/>
      <c r="D801" s="1" t="n"/>
      <c r="E801" s="1" t="n"/>
      <c r="F801" s="1" t="n"/>
      <c r="G801" s="1" t="n"/>
      <c r="H801" s="1" t="n"/>
      <c r="I801" s="1" t="n"/>
      <c r="J801" s="1" t="n"/>
    </row>
    <row r="802" ht="15.75" customHeight="1" s="311">
      <c r="A802" s="1" t="n"/>
      <c r="B802" s="1" t="n"/>
      <c r="C802" s="1" t="n"/>
      <c r="D802" s="1" t="n"/>
      <c r="E802" s="1" t="n"/>
      <c r="F802" s="1" t="n"/>
      <c r="G802" s="1" t="n"/>
      <c r="H802" s="1" t="n"/>
      <c r="I802" s="1" t="n"/>
      <c r="J802" s="1" t="n"/>
    </row>
    <row r="803" ht="15.75" customHeight="1" s="311">
      <c r="A803" s="1" t="n"/>
      <c r="B803" s="1" t="n"/>
      <c r="C803" s="1" t="n"/>
      <c r="D803" s="1" t="n"/>
      <c r="E803" s="1" t="n"/>
      <c r="F803" s="1" t="n"/>
      <c r="G803" s="1" t="n"/>
      <c r="H803" s="1" t="n"/>
      <c r="I803" s="1" t="n"/>
      <c r="J803" s="1" t="n"/>
    </row>
    <row r="804" ht="15.75" customHeight="1" s="311">
      <c r="A804" s="1" t="n"/>
      <c r="B804" s="1" t="n"/>
      <c r="C804" s="1" t="n"/>
      <c r="D804" s="1" t="n"/>
      <c r="E804" s="1" t="n"/>
      <c r="F804" s="1" t="n"/>
      <c r="G804" s="1" t="n"/>
      <c r="H804" s="1" t="n"/>
      <c r="I804" s="1" t="n"/>
      <c r="J804" s="1" t="n"/>
    </row>
    <row r="805" ht="15.75" customHeight="1" s="311">
      <c r="A805" s="1" t="n"/>
      <c r="B805" s="1" t="n"/>
      <c r="C805" s="1" t="n"/>
      <c r="D805" s="1" t="n"/>
      <c r="E805" s="1" t="n"/>
      <c r="F805" s="1" t="n"/>
      <c r="G805" s="1" t="n"/>
      <c r="H805" s="1" t="n"/>
      <c r="I805" s="1" t="n"/>
      <c r="J805" s="1" t="n"/>
    </row>
    <row r="806" ht="15.75" customHeight="1" s="311">
      <c r="A806" s="1" t="n"/>
      <c r="B806" s="1" t="n"/>
      <c r="C806" s="1" t="n"/>
      <c r="D806" s="1" t="n"/>
      <c r="E806" s="1" t="n"/>
      <c r="F806" s="1" t="n"/>
      <c r="G806" s="1" t="n"/>
      <c r="H806" s="1" t="n"/>
      <c r="I806" s="1" t="n"/>
      <c r="J806" s="1" t="n"/>
    </row>
    <row r="807" ht="15.75" customHeight="1" s="311">
      <c r="A807" s="1" t="n"/>
      <c r="B807" s="1" t="n"/>
      <c r="C807" s="1" t="n"/>
      <c r="D807" s="1" t="n"/>
      <c r="E807" s="1" t="n"/>
      <c r="F807" s="1" t="n"/>
      <c r="G807" s="1" t="n"/>
      <c r="H807" s="1" t="n"/>
      <c r="I807" s="1" t="n"/>
      <c r="J807" s="1" t="n"/>
    </row>
    <row r="808" ht="15.75" customHeight="1" s="311">
      <c r="A808" s="1" t="n"/>
      <c r="B808" s="1" t="n"/>
      <c r="C808" s="1" t="n"/>
      <c r="D808" s="1" t="n"/>
      <c r="E808" s="1" t="n"/>
      <c r="F808" s="1" t="n"/>
      <c r="G808" s="1" t="n"/>
      <c r="H808" s="1" t="n"/>
      <c r="I808" s="1" t="n"/>
      <c r="J808" s="1" t="n"/>
    </row>
    <row r="809" ht="15.75" customHeight="1" s="311">
      <c r="A809" s="1" t="n"/>
      <c r="B809" s="1" t="n"/>
      <c r="C809" s="1" t="n"/>
      <c r="D809" s="1" t="n"/>
      <c r="E809" s="1" t="n"/>
      <c r="F809" s="1" t="n"/>
      <c r="G809" s="1" t="n"/>
      <c r="H809" s="1" t="n"/>
      <c r="I809" s="1" t="n"/>
      <c r="J809" s="1" t="n"/>
    </row>
    <row r="810" ht="15.75" customHeight="1" s="311">
      <c r="A810" s="1" t="n"/>
      <c r="B810" s="1" t="n"/>
      <c r="C810" s="1" t="n"/>
      <c r="D810" s="1" t="n"/>
      <c r="E810" s="1" t="n"/>
      <c r="F810" s="1" t="n"/>
      <c r="G810" s="1" t="n"/>
      <c r="H810" s="1" t="n"/>
      <c r="I810" s="1" t="n"/>
      <c r="J810" s="1" t="n"/>
    </row>
    <row r="811" ht="15.75" customHeight="1" s="311">
      <c r="A811" s="1" t="n"/>
      <c r="B811" s="1" t="n"/>
      <c r="C811" s="1" t="n"/>
      <c r="D811" s="1" t="n"/>
      <c r="E811" s="1" t="n"/>
      <c r="F811" s="1" t="n"/>
      <c r="G811" s="1" t="n"/>
      <c r="H811" s="1" t="n"/>
      <c r="I811" s="1" t="n"/>
      <c r="J811" s="1" t="n"/>
    </row>
    <row r="812" ht="15.75" customHeight="1" s="311">
      <c r="A812" s="1" t="n"/>
      <c r="B812" s="1" t="n"/>
      <c r="C812" s="1" t="n"/>
      <c r="D812" s="1" t="n"/>
      <c r="E812" s="1" t="n"/>
      <c r="F812" s="1" t="n"/>
      <c r="G812" s="1" t="n"/>
      <c r="H812" s="1" t="n"/>
      <c r="I812" s="1" t="n"/>
      <c r="J812" s="1" t="n"/>
    </row>
    <row r="813" ht="15.75" customHeight="1" s="311">
      <c r="A813" s="1" t="n"/>
      <c r="B813" s="1" t="n"/>
      <c r="C813" s="1" t="n"/>
      <c r="D813" s="1" t="n"/>
      <c r="E813" s="1" t="n"/>
      <c r="F813" s="1" t="n"/>
      <c r="G813" s="1" t="n"/>
      <c r="H813" s="1" t="n"/>
      <c r="I813" s="1" t="n"/>
      <c r="J813" s="1" t="n"/>
    </row>
    <row r="814" ht="15.75" customHeight="1" s="311">
      <c r="A814" s="1" t="n"/>
      <c r="B814" s="1" t="n"/>
      <c r="C814" s="1" t="n"/>
      <c r="D814" s="1" t="n"/>
      <c r="E814" s="1" t="n"/>
      <c r="F814" s="1" t="n"/>
      <c r="G814" s="1" t="n"/>
      <c r="H814" s="1" t="n"/>
      <c r="I814" s="1" t="n"/>
      <c r="J814" s="1" t="n"/>
    </row>
    <row r="815" ht="15.75" customHeight="1" s="311">
      <c r="A815" s="1" t="n"/>
      <c r="B815" s="1" t="n"/>
      <c r="C815" s="1" t="n"/>
      <c r="D815" s="1" t="n"/>
      <c r="E815" s="1" t="n"/>
      <c r="F815" s="1" t="n"/>
      <c r="G815" s="1" t="n"/>
      <c r="H815" s="1" t="n"/>
      <c r="I815" s="1" t="n"/>
      <c r="J815" s="1" t="n"/>
    </row>
    <row r="816" ht="15.75" customHeight="1" s="311">
      <c r="A816" s="1" t="n"/>
      <c r="B816" s="1" t="n"/>
      <c r="C816" s="1" t="n"/>
      <c r="D816" s="1" t="n"/>
      <c r="E816" s="1" t="n"/>
      <c r="F816" s="1" t="n"/>
      <c r="G816" s="1" t="n"/>
      <c r="H816" s="1" t="n"/>
      <c r="I816" s="1" t="n"/>
      <c r="J816" s="1" t="n"/>
    </row>
    <row r="817" ht="15.75" customHeight="1" s="311">
      <c r="A817" s="1" t="n"/>
      <c r="B817" s="1" t="n"/>
      <c r="C817" s="1" t="n"/>
      <c r="D817" s="1" t="n"/>
      <c r="E817" s="1" t="n"/>
      <c r="F817" s="1" t="n"/>
      <c r="G817" s="1" t="n"/>
      <c r="H817" s="1" t="n"/>
      <c r="I817" s="1" t="n"/>
      <c r="J817" s="1" t="n"/>
    </row>
    <row r="818" ht="15.75" customHeight="1" s="311">
      <c r="A818" s="1" t="n"/>
      <c r="B818" s="1" t="n"/>
      <c r="C818" s="1" t="n"/>
      <c r="D818" s="1" t="n"/>
      <c r="E818" s="1" t="n"/>
      <c r="F818" s="1" t="n"/>
      <c r="G818" s="1" t="n"/>
      <c r="H818" s="1" t="n"/>
      <c r="I818" s="1" t="n"/>
      <c r="J818" s="1" t="n"/>
    </row>
    <row r="819" ht="15.75" customHeight="1" s="311">
      <c r="A819" s="1" t="n"/>
      <c r="B819" s="1" t="n"/>
      <c r="C819" s="1" t="n"/>
      <c r="D819" s="1" t="n"/>
      <c r="E819" s="1" t="n"/>
      <c r="F819" s="1" t="n"/>
      <c r="G819" s="1" t="n"/>
      <c r="H819" s="1" t="n"/>
      <c r="I819" s="1" t="n"/>
      <c r="J819" s="1" t="n"/>
    </row>
    <row r="820" ht="15.75" customHeight="1" s="311">
      <c r="A820" s="1" t="n"/>
      <c r="B820" s="1" t="n"/>
      <c r="C820" s="1" t="n"/>
      <c r="D820" s="1" t="n"/>
      <c r="E820" s="1" t="n"/>
      <c r="F820" s="1" t="n"/>
      <c r="G820" s="1" t="n"/>
      <c r="H820" s="1" t="n"/>
      <c r="I820" s="1" t="n"/>
      <c r="J820" s="1" t="n"/>
    </row>
    <row r="821" ht="15.75" customHeight="1" s="311">
      <c r="A821" s="1" t="n"/>
      <c r="B821" s="1" t="n"/>
      <c r="C821" s="1" t="n"/>
      <c r="D821" s="1" t="n"/>
      <c r="E821" s="1" t="n"/>
      <c r="F821" s="1" t="n"/>
      <c r="G821" s="1" t="n"/>
      <c r="H821" s="1" t="n"/>
      <c r="I821" s="1" t="n"/>
      <c r="J821" s="1" t="n"/>
    </row>
    <row r="822" ht="15.75" customHeight="1" s="311">
      <c r="A822" s="1" t="n"/>
      <c r="B822" s="1" t="n"/>
      <c r="C822" s="1" t="n"/>
      <c r="D822" s="1" t="n"/>
      <c r="E822" s="1" t="n"/>
      <c r="F822" s="1" t="n"/>
      <c r="G822" s="1" t="n"/>
      <c r="H822" s="1" t="n"/>
      <c r="I822" s="1" t="n"/>
      <c r="J822" s="1" t="n"/>
    </row>
    <row r="823" ht="15.75" customHeight="1" s="311">
      <c r="A823" s="1" t="n"/>
      <c r="B823" s="1" t="n"/>
      <c r="C823" s="1" t="n"/>
      <c r="D823" s="1" t="n"/>
      <c r="E823" s="1" t="n"/>
      <c r="F823" s="1" t="n"/>
      <c r="G823" s="1" t="n"/>
      <c r="H823" s="1" t="n"/>
      <c r="I823" s="1" t="n"/>
      <c r="J823" s="1" t="n"/>
    </row>
    <row r="824" ht="15.75" customHeight="1" s="311">
      <c r="A824" s="1" t="n"/>
      <c r="B824" s="1" t="n"/>
      <c r="C824" s="1" t="n"/>
      <c r="D824" s="1" t="n"/>
      <c r="E824" s="1" t="n"/>
      <c r="F824" s="1" t="n"/>
      <c r="G824" s="1" t="n"/>
      <c r="H824" s="1" t="n"/>
      <c r="I824" s="1" t="n"/>
      <c r="J824" s="1" t="n"/>
    </row>
    <row r="825" ht="15.75" customHeight="1" s="311">
      <c r="A825" s="1" t="n"/>
      <c r="B825" s="1" t="n"/>
      <c r="C825" s="1" t="n"/>
      <c r="D825" s="1" t="n"/>
      <c r="E825" s="1" t="n"/>
      <c r="F825" s="1" t="n"/>
      <c r="G825" s="1" t="n"/>
      <c r="H825" s="1" t="n"/>
      <c r="I825" s="1" t="n"/>
      <c r="J825" s="1" t="n"/>
    </row>
    <row r="826" ht="15.75" customHeight="1" s="311">
      <c r="A826" s="1" t="n"/>
      <c r="B826" s="1" t="n"/>
      <c r="C826" s="1" t="n"/>
      <c r="D826" s="1" t="n"/>
      <c r="E826" s="1" t="n"/>
      <c r="F826" s="1" t="n"/>
      <c r="G826" s="1" t="n"/>
      <c r="H826" s="1" t="n"/>
      <c r="I826" s="1" t="n"/>
      <c r="J826" s="1" t="n"/>
    </row>
    <row r="827" ht="15.75" customHeight="1" s="311">
      <c r="A827" s="1" t="n"/>
      <c r="B827" s="1" t="n"/>
      <c r="C827" s="1" t="n"/>
      <c r="D827" s="1" t="n"/>
      <c r="E827" s="1" t="n"/>
      <c r="F827" s="1" t="n"/>
      <c r="G827" s="1" t="n"/>
      <c r="H827" s="1" t="n"/>
      <c r="I827" s="1" t="n"/>
      <c r="J827" s="1" t="n"/>
    </row>
    <row r="828" ht="15.75" customHeight="1" s="311">
      <c r="A828" s="1" t="n"/>
      <c r="B828" s="1" t="n"/>
      <c r="C828" s="1" t="n"/>
      <c r="D828" s="1" t="n"/>
      <c r="E828" s="1" t="n"/>
      <c r="F828" s="1" t="n"/>
      <c r="G828" s="1" t="n"/>
      <c r="H828" s="1" t="n"/>
      <c r="I828" s="1" t="n"/>
      <c r="J828" s="1" t="n"/>
    </row>
    <row r="829" ht="15.75" customHeight="1" s="311">
      <c r="A829" s="1" t="n"/>
      <c r="B829" s="1" t="n"/>
      <c r="C829" s="1" t="n"/>
      <c r="D829" s="1" t="n"/>
      <c r="E829" s="1" t="n"/>
      <c r="F829" s="1" t="n"/>
      <c r="G829" s="1" t="n"/>
      <c r="H829" s="1" t="n"/>
      <c r="I829" s="1" t="n"/>
      <c r="J829" s="1" t="n"/>
    </row>
    <row r="830" ht="15.75" customHeight="1" s="311">
      <c r="A830" s="1" t="n"/>
      <c r="B830" s="1" t="n"/>
      <c r="C830" s="1" t="n"/>
      <c r="D830" s="1" t="n"/>
      <c r="E830" s="1" t="n"/>
      <c r="F830" s="1" t="n"/>
      <c r="G830" s="1" t="n"/>
      <c r="H830" s="1" t="n"/>
      <c r="I830" s="1" t="n"/>
      <c r="J830" s="1" t="n"/>
    </row>
    <row r="831" ht="15.75" customHeight="1" s="311">
      <c r="A831" s="1" t="n"/>
      <c r="B831" s="1" t="n"/>
      <c r="C831" s="1" t="n"/>
      <c r="D831" s="1" t="n"/>
      <c r="E831" s="1" t="n"/>
      <c r="F831" s="1" t="n"/>
      <c r="G831" s="1" t="n"/>
      <c r="H831" s="1" t="n"/>
      <c r="I831" s="1" t="n"/>
      <c r="J831" s="1" t="n"/>
    </row>
    <row r="832" ht="15.75" customHeight="1" s="311">
      <c r="A832" s="1" t="n"/>
      <c r="B832" s="1" t="n"/>
      <c r="C832" s="1" t="n"/>
      <c r="D832" s="1" t="n"/>
      <c r="E832" s="1" t="n"/>
      <c r="F832" s="1" t="n"/>
      <c r="G832" s="1" t="n"/>
      <c r="H832" s="1" t="n"/>
      <c r="I832" s="1" t="n"/>
      <c r="J832" s="1" t="n"/>
    </row>
    <row r="833" ht="15.75" customHeight="1" s="311">
      <c r="A833" s="1" t="n"/>
      <c r="B833" s="1" t="n"/>
      <c r="C833" s="1" t="n"/>
      <c r="D833" s="1" t="n"/>
      <c r="E833" s="1" t="n"/>
      <c r="F833" s="1" t="n"/>
      <c r="G833" s="1" t="n"/>
      <c r="H833" s="1" t="n"/>
      <c r="I833" s="1" t="n"/>
      <c r="J833" s="1" t="n"/>
    </row>
    <row r="834" ht="15.75" customHeight="1" s="311">
      <c r="A834" s="1" t="n"/>
      <c r="B834" s="1" t="n"/>
      <c r="C834" s="1" t="n"/>
      <c r="D834" s="1" t="n"/>
      <c r="E834" s="1" t="n"/>
      <c r="F834" s="1" t="n"/>
      <c r="G834" s="1" t="n"/>
      <c r="H834" s="1" t="n"/>
      <c r="I834" s="1" t="n"/>
      <c r="J834" s="1" t="n"/>
    </row>
    <row r="835" ht="15.75" customHeight="1" s="311">
      <c r="A835" s="1" t="n"/>
      <c r="B835" s="1" t="n"/>
      <c r="C835" s="1" t="n"/>
      <c r="D835" s="1" t="n"/>
      <c r="E835" s="1" t="n"/>
      <c r="F835" s="1" t="n"/>
      <c r="G835" s="1" t="n"/>
      <c r="H835" s="1" t="n"/>
      <c r="I835" s="1" t="n"/>
      <c r="J835" s="1" t="n"/>
    </row>
    <row r="836" ht="15.75" customHeight="1" s="311">
      <c r="A836" s="1" t="n"/>
      <c r="B836" s="1" t="n"/>
      <c r="C836" s="1" t="n"/>
      <c r="D836" s="1" t="n"/>
      <c r="E836" s="1" t="n"/>
      <c r="F836" s="1" t="n"/>
      <c r="G836" s="1" t="n"/>
      <c r="H836" s="1" t="n"/>
      <c r="I836" s="1" t="n"/>
      <c r="J836" s="1" t="n"/>
    </row>
    <row r="837" ht="15.75" customHeight="1" s="311">
      <c r="A837" s="1" t="n"/>
      <c r="B837" s="1" t="n"/>
      <c r="C837" s="1" t="n"/>
      <c r="D837" s="1" t="n"/>
      <c r="E837" s="1" t="n"/>
      <c r="F837" s="1" t="n"/>
      <c r="G837" s="1" t="n"/>
      <c r="H837" s="1" t="n"/>
      <c r="I837" s="1" t="n"/>
      <c r="J837" s="1" t="n"/>
    </row>
    <row r="838" ht="15.75" customHeight="1" s="311">
      <c r="A838" s="1" t="n"/>
      <c r="B838" s="1" t="n"/>
      <c r="C838" s="1" t="n"/>
      <c r="D838" s="1" t="n"/>
      <c r="E838" s="1" t="n"/>
      <c r="F838" s="1" t="n"/>
      <c r="G838" s="1" t="n"/>
      <c r="H838" s="1" t="n"/>
      <c r="I838" s="1" t="n"/>
      <c r="J838" s="1" t="n"/>
    </row>
    <row r="839" ht="15.75" customHeight="1" s="311">
      <c r="A839" s="1" t="n"/>
      <c r="B839" s="1" t="n"/>
      <c r="C839" s="1" t="n"/>
      <c r="D839" s="1" t="n"/>
      <c r="E839" s="1" t="n"/>
      <c r="F839" s="1" t="n"/>
      <c r="G839" s="1" t="n"/>
      <c r="H839" s="1" t="n"/>
      <c r="I839" s="1" t="n"/>
      <c r="J839" s="1" t="n"/>
    </row>
    <row r="840" ht="15.75" customHeight="1" s="311">
      <c r="A840" s="1" t="n"/>
      <c r="B840" s="1" t="n"/>
      <c r="C840" s="1" t="n"/>
      <c r="D840" s="1" t="n"/>
      <c r="E840" s="1" t="n"/>
      <c r="F840" s="1" t="n"/>
      <c r="G840" s="1" t="n"/>
      <c r="H840" s="1" t="n"/>
      <c r="I840" s="1" t="n"/>
      <c r="J840" s="1" t="n"/>
    </row>
    <row r="841" ht="15.75" customHeight="1" s="311">
      <c r="A841" s="1" t="n"/>
      <c r="B841" s="1" t="n"/>
      <c r="C841" s="1" t="n"/>
      <c r="D841" s="1" t="n"/>
      <c r="E841" s="1" t="n"/>
      <c r="F841" s="1" t="n"/>
      <c r="G841" s="1" t="n"/>
      <c r="H841" s="1" t="n"/>
      <c r="I841" s="1" t="n"/>
      <c r="J841" s="1" t="n"/>
    </row>
    <row r="842" ht="15.75" customHeight="1" s="311">
      <c r="A842" s="1" t="n"/>
      <c r="B842" s="1" t="n"/>
      <c r="C842" s="1" t="n"/>
      <c r="D842" s="1" t="n"/>
      <c r="E842" s="1" t="n"/>
      <c r="F842" s="1" t="n"/>
      <c r="G842" s="1" t="n"/>
      <c r="H842" s="1" t="n"/>
      <c r="I842" s="1" t="n"/>
      <c r="J842" s="1" t="n"/>
    </row>
    <row r="843" ht="15.75" customHeight="1" s="311">
      <c r="A843" s="1" t="n"/>
      <c r="B843" s="1" t="n"/>
      <c r="C843" s="1" t="n"/>
      <c r="D843" s="1" t="n"/>
      <c r="E843" s="1" t="n"/>
      <c r="F843" s="1" t="n"/>
      <c r="G843" s="1" t="n"/>
      <c r="H843" s="1" t="n"/>
      <c r="I843" s="1" t="n"/>
      <c r="J843" s="1" t="n"/>
    </row>
    <row r="844" ht="15.75" customHeight="1" s="311">
      <c r="A844" s="1" t="n"/>
      <c r="B844" s="1" t="n"/>
      <c r="C844" s="1" t="n"/>
      <c r="D844" s="1" t="n"/>
      <c r="E844" s="1" t="n"/>
      <c r="F844" s="1" t="n"/>
      <c r="G844" s="1" t="n"/>
      <c r="H844" s="1" t="n"/>
      <c r="I844" s="1" t="n"/>
      <c r="J844" s="1" t="n"/>
    </row>
    <row r="845" ht="15.75" customHeight="1" s="311">
      <c r="A845" s="1" t="n"/>
      <c r="B845" s="1" t="n"/>
      <c r="C845" s="1" t="n"/>
      <c r="D845" s="1" t="n"/>
      <c r="E845" s="1" t="n"/>
      <c r="F845" s="1" t="n"/>
      <c r="G845" s="1" t="n"/>
      <c r="H845" s="1" t="n"/>
      <c r="I845" s="1" t="n"/>
      <c r="J845" s="1" t="n"/>
    </row>
    <row r="846" ht="15.75" customHeight="1" s="311">
      <c r="A846" s="1" t="n"/>
      <c r="B846" s="1" t="n"/>
      <c r="C846" s="1" t="n"/>
      <c r="D846" s="1" t="n"/>
      <c r="E846" s="1" t="n"/>
      <c r="F846" s="1" t="n"/>
      <c r="G846" s="1" t="n"/>
      <c r="H846" s="1" t="n"/>
      <c r="I846" s="1" t="n"/>
      <c r="J846" s="1" t="n"/>
    </row>
    <row r="847" ht="15.75" customHeight="1" s="311">
      <c r="A847" s="1" t="n"/>
      <c r="B847" s="1" t="n"/>
      <c r="C847" s="1" t="n"/>
      <c r="D847" s="1" t="n"/>
      <c r="E847" s="1" t="n"/>
      <c r="F847" s="1" t="n"/>
      <c r="G847" s="1" t="n"/>
      <c r="H847" s="1" t="n"/>
      <c r="I847" s="1" t="n"/>
      <c r="J847" s="1" t="n"/>
    </row>
    <row r="848" ht="15.75" customHeight="1" s="311">
      <c r="A848" s="1" t="n"/>
      <c r="B848" s="1" t="n"/>
      <c r="C848" s="1" t="n"/>
      <c r="D848" s="1" t="n"/>
      <c r="E848" s="1" t="n"/>
      <c r="F848" s="1" t="n"/>
      <c r="G848" s="1" t="n"/>
      <c r="H848" s="1" t="n"/>
      <c r="I848" s="1" t="n"/>
      <c r="J848" s="1" t="n"/>
    </row>
    <row r="849" ht="15.75" customHeight="1" s="311">
      <c r="A849" s="1" t="n"/>
      <c r="B849" s="1" t="n"/>
      <c r="C849" s="1" t="n"/>
      <c r="D849" s="1" t="n"/>
      <c r="E849" s="1" t="n"/>
      <c r="F849" s="1" t="n"/>
      <c r="G849" s="1" t="n"/>
      <c r="H849" s="1" t="n"/>
      <c r="I849" s="1" t="n"/>
      <c r="J849" s="1" t="n"/>
    </row>
    <row r="850" ht="15.75" customHeight="1" s="311">
      <c r="A850" s="1" t="n"/>
      <c r="B850" s="1" t="n"/>
      <c r="C850" s="1" t="n"/>
      <c r="D850" s="1" t="n"/>
      <c r="E850" s="1" t="n"/>
      <c r="F850" s="1" t="n"/>
      <c r="G850" s="1" t="n"/>
      <c r="H850" s="1" t="n"/>
      <c r="I850" s="1" t="n"/>
      <c r="J850" s="1" t="n"/>
    </row>
    <row r="851" ht="15.75" customHeight="1" s="311">
      <c r="A851" s="1" t="n"/>
      <c r="B851" s="1" t="n"/>
      <c r="C851" s="1" t="n"/>
      <c r="D851" s="1" t="n"/>
      <c r="E851" s="1" t="n"/>
      <c r="F851" s="1" t="n"/>
      <c r="G851" s="1" t="n"/>
      <c r="H851" s="1" t="n"/>
      <c r="I851" s="1" t="n"/>
      <c r="J851" s="1" t="n"/>
    </row>
    <row r="852" ht="15.75" customHeight="1" s="311">
      <c r="A852" s="1" t="n"/>
      <c r="B852" s="1" t="n"/>
      <c r="C852" s="1" t="n"/>
      <c r="D852" s="1" t="n"/>
      <c r="E852" s="1" t="n"/>
      <c r="F852" s="1" t="n"/>
      <c r="G852" s="1" t="n"/>
      <c r="H852" s="1" t="n"/>
      <c r="I852" s="1" t="n"/>
      <c r="J852" s="1" t="n"/>
    </row>
    <row r="853" ht="15.75" customHeight="1" s="311">
      <c r="A853" s="1" t="n"/>
      <c r="B853" s="1" t="n"/>
      <c r="C853" s="1" t="n"/>
      <c r="D853" s="1" t="n"/>
      <c r="E853" s="1" t="n"/>
      <c r="F853" s="1" t="n"/>
      <c r="G853" s="1" t="n"/>
      <c r="H853" s="1" t="n"/>
      <c r="I853" s="1" t="n"/>
      <c r="J853" s="1" t="n"/>
    </row>
    <row r="854" ht="15.75" customHeight="1" s="311">
      <c r="A854" s="1" t="n"/>
      <c r="B854" s="1" t="n"/>
      <c r="C854" s="1" t="n"/>
      <c r="D854" s="1" t="n"/>
      <c r="E854" s="1" t="n"/>
      <c r="F854" s="1" t="n"/>
      <c r="G854" s="1" t="n"/>
      <c r="H854" s="1" t="n"/>
      <c r="I854" s="1" t="n"/>
      <c r="J854" s="1" t="n"/>
    </row>
    <row r="855" ht="15.75" customHeight="1" s="311">
      <c r="A855" s="1" t="n"/>
      <c r="B855" s="1" t="n"/>
      <c r="C855" s="1" t="n"/>
      <c r="D855" s="1" t="n"/>
      <c r="E855" s="1" t="n"/>
      <c r="F855" s="1" t="n"/>
      <c r="G855" s="1" t="n"/>
      <c r="H855" s="1" t="n"/>
      <c r="I855" s="1" t="n"/>
      <c r="J855" s="1" t="n"/>
    </row>
    <row r="856" ht="15.75" customHeight="1" s="311">
      <c r="A856" s="1" t="n"/>
      <c r="B856" s="1" t="n"/>
      <c r="C856" s="1" t="n"/>
      <c r="D856" s="1" t="n"/>
      <c r="E856" s="1" t="n"/>
      <c r="F856" s="1" t="n"/>
      <c r="G856" s="1" t="n"/>
      <c r="H856" s="1" t="n"/>
      <c r="I856" s="1" t="n"/>
      <c r="J856" s="1" t="n"/>
    </row>
    <row r="857" ht="15.75" customHeight="1" s="311">
      <c r="A857" s="1" t="n"/>
      <c r="B857" s="1" t="n"/>
      <c r="C857" s="1" t="n"/>
      <c r="D857" s="1" t="n"/>
      <c r="E857" s="1" t="n"/>
      <c r="F857" s="1" t="n"/>
      <c r="G857" s="1" t="n"/>
      <c r="H857" s="1" t="n"/>
      <c r="I857" s="1" t="n"/>
      <c r="J857" s="1" t="n"/>
    </row>
    <row r="858" ht="15.75" customHeight="1" s="311">
      <c r="A858" s="1" t="n"/>
      <c r="B858" s="1" t="n"/>
      <c r="C858" s="1" t="n"/>
      <c r="D858" s="1" t="n"/>
      <c r="E858" s="1" t="n"/>
      <c r="F858" s="1" t="n"/>
      <c r="G858" s="1" t="n"/>
      <c r="H858" s="1" t="n"/>
      <c r="I858" s="1" t="n"/>
      <c r="J858" s="1" t="n"/>
    </row>
    <row r="859" ht="15.75" customHeight="1" s="311">
      <c r="A859" s="1" t="n"/>
      <c r="B859" s="1" t="n"/>
      <c r="C859" s="1" t="n"/>
      <c r="D859" s="1" t="n"/>
      <c r="E859" s="1" t="n"/>
      <c r="F859" s="1" t="n"/>
      <c r="G859" s="1" t="n"/>
      <c r="H859" s="1" t="n"/>
      <c r="I859" s="1" t="n"/>
      <c r="J859" s="1" t="n"/>
    </row>
    <row r="860" ht="15.75" customHeight="1" s="311">
      <c r="A860" s="1" t="n"/>
      <c r="B860" s="1" t="n"/>
      <c r="C860" s="1" t="n"/>
      <c r="D860" s="1" t="n"/>
      <c r="E860" s="1" t="n"/>
      <c r="F860" s="1" t="n"/>
      <c r="G860" s="1" t="n"/>
      <c r="H860" s="1" t="n"/>
      <c r="I860" s="1" t="n"/>
      <c r="J860" s="1" t="n"/>
    </row>
    <row r="861" ht="15.75" customHeight="1" s="311">
      <c r="A861" s="1" t="n"/>
      <c r="B861" s="1" t="n"/>
      <c r="C861" s="1" t="n"/>
      <c r="D861" s="1" t="n"/>
      <c r="E861" s="1" t="n"/>
      <c r="F861" s="1" t="n"/>
      <c r="G861" s="1" t="n"/>
      <c r="H861" s="1" t="n"/>
      <c r="I861" s="1" t="n"/>
      <c r="J861" s="1" t="n"/>
    </row>
    <row r="862" ht="15.75" customHeight="1" s="311">
      <c r="A862" s="1" t="n"/>
      <c r="B862" s="1" t="n"/>
      <c r="C862" s="1" t="n"/>
      <c r="D862" s="1" t="n"/>
      <c r="E862" s="1" t="n"/>
      <c r="F862" s="1" t="n"/>
      <c r="G862" s="1" t="n"/>
      <c r="H862" s="1" t="n"/>
      <c r="I862" s="1" t="n"/>
      <c r="J862" s="1" t="n"/>
    </row>
    <row r="863" ht="15.75" customHeight="1" s="311">
      <c r="A863" s="1" t="n"/>
      <c r="B863" s="1" t="n"/>
      <c r="C863" s="1" t="n"/>
      <c r="D863" s="1" t="n"/>
      <c r="E863" s="1" t="n"/>
      <c r="F863" s="1" t="n"/>
      <c r="G863" s="1" t="n"/>
      <c r="H863" s="1" t="n"/>
      <c r="I863" s="1" t="n"/>
      <c r="J863" s="1" t="n"/>
    </row>
    <row r="864" ht="15.75" customHeight="1" s="311">
      <c r="A864" s="1" t="n"/>
      <c r="B864" s="1" t="n"/>
      <c r="C864" s="1" t="n"/>
      <c r="D864" s="1" t="n"/>
      <c r="E864" s="1" t="n"/>
      <c r="F864" s="1" t="n"/>
      <c r="G864" s="1" t="n"/>
      <c r="H864" s="1" t="n"/>
      <c r="I864" s="1" t="n"/>
      <c r="J864" s="1" t="n"/>
    </row>
    <row r="865" ht="15.75" customHeight="1" s="311">
      <c r="A865" s="1" t="n"/>
      <c r="B865" s="1" t="n"/>
      <c r="C865" s="1" t="n"/>
      <c r="D865" s="1" t="n"/>
      <c r="E865" s="1" t="n"/>
      <c r="F865" s="1" t="n"/>
      <c r="G865" s="1" t="n"/>
      <c r="H865" s="1" t="n"/>
      <c r="I865" s="1" t="n"/>
      <c r="J865" s="1" t="n"/>
    </row>
    <row r="866" ht="15.75" customHeight="1" s="311">
      <c r="A866" s="1" t="n"/>
      <c r="B866" s="1" t="n"/>
      <c r="C866" s="1" t="n"/>
      <c r="D866" s="1" t="n"/>
      <c r="E866" s="1" t="n"/>
      <c r="F866" s="1" t="n"/>
      <c r="G866" s="1" t="n"/>
      <c r="H866" s="1" t="n"/>
      <c r="I866" s="1" t="n"/>
      <c r="J866" s="1" t="n"/>
    </row>
    <row r="867" ht="15.75" customHeight="1" s="311">
      <c r="A867" s="1" t="n"/>
      <c r="B867" s="1" t="n"/>
      <c r="C867" s="1" t="n"/>
      <c r="D867" s="1" t="n"/>
      <c r="E867" s="1" t="n"/>
      <c r="F867" s="1" t="n"/>
      <c r="G867" s="1" t="n"/>
      <c r="H867" s="1" t="n"/>
      <c r="I867" s="1" t="n"/>
      <c r="J867" s="1" t="n"/>
    </row>
    <row r="868" ht="15.75" customHeight="1" s="311">
      <c r="A868" s="1" t="n"/>
      <c r="B868" s="1" t="n"/>
      <c r="C868" s="1" t="n"/>
      <c r="D868" s="1" t="n"/>
      <c r="E868" s="1" t="n"/>
      <c r="F868" s="1" t="n"/>
      <c r="G868" s="1" t="n"/>
      <c r="H868" s="1" t="n"/>
      <c r="I868" s="1" t="n"/>
      <c r="J868" s="1" t="n"/>
    </row>
    <row r="869" ht="15.75" customHeight="1" s="311">
      <c r="A869" s="1" t="n"/>
      <c r="B869" s="1" t="n"/>
      <c r="C869" s="1" t="n"/>
      <c r="D869" s="1" t="n"/>
      <c r="E869" s="1" t="n"/>
      <c r="F869" s="1" t="n"/>
      <c r="G869" s="1" t="n"/>
      <c r="H869" s="1" t="n"/>
      <c r="I869" s="1" t="n"/>
      <c r="J869" s="1" t="n"/>
    </row>
    <row r="870" ht="15.75" customHeight="1" s="311">
      <c r="A870" s="1" t="n"/>
      <c r="B870" s="1" t="n"/>
      <c r="C870" s="1" t="n"/>
      <c r="D870" s="1" t="n"/>
      <c r="E870" s="1" t="n"/>
      <c r="F870" s="1" t="n"/>
      <c r="G870" s="1" t="n"/>
      <c r="H870" s="1" t="n"/>
      <c r="I870" s="1" t="n"/>
      <c r="J870" s="1" t="n"/>
    </row>
    <row r="871" ht="15.75" customHeight="1" s="311">
      <c r="A871" s="1" t="n"/>
      <c r="B871" s="1" t="n"/>
      <c r="C871" s="1" t="n"/>
      <c r="D871" s="1" t="n"/>
      <c r="E871" s="1" t="n"/>
      <c r="F871" s="1" t="n"/>
      <c r="G871" s="1" t="n"/>
      <c r="H871" s="1" t="n"/>
      <c r="I871" s="1" t="n"/>
      <c r="J871" s="1" t="n"/>
    </row>
    <row r="872" ht="15.75" customHeight="1" s="311">
      <c r="A872" s="1" t="n"/>
      <c r="B872" s="1" t="n"/>
      <c r="C872" s="1" t="n"/>
      <c r="D872" s="1" t="n"/>
      <c r="E872" s="1" t="n"/>
      <c r="F872" s="1" t="n"/>
      <c r="G872" s="1" t="n"/>
      <c r="H872" s="1" t="n"/>
      <c r="I872" s="1" t="n"/>
      <c r="J872" s="1" t="n"/>
    </row>
    <row r="873" ht="15.75" customHeight="1" s="311">
      <c r="A873" s="1" t="n"/>
      <c r="B873" s="1" t="n"/>
      <c r="C873" s="1" t="n"/>
      <c r="D873" s="1" t="n"/>
      <c r="E873" s="1" t="n"/>
      <c r="F873" s="1" t="n"/>
      <c r="G873" s="1" t="n"/>
      <c r="H873" s="1" t="n"/>
      <c r="I873" s="1" t="n"/>
      <c r="J873" s="1" t="n"/>
    </row>
    <row r="874" ht="15.75" customHeight="1" s="311">
      <c r="A874" s="1" t="n"/>
      <c r="B874" s="1" t="n"/>
      <c r="C874" s="1" t="n"/>
      <c r="D874" s="1" t="n"/>
      <c r="E874" s="1" t="n"/>
      <c r="F874" s="1" t="n"/>
      <c r="G874" s="1" t="n"/>
      <c r="H874" s="1" t="n"/>
      <c r="I874" s="1" t="n"/>
      <c r="J874" s="1" t="n"/>
    </row>
    <row r="875" ht="15.75" customHeight="1" s="311">
      <c r="A875" s="1" t="n"/>
      <c r="B875" s="1" t="n"/>
      <c r="C875" s="1" t="n"/>
      <c r="D875" s="1" t="n"/>
      <c r="E875" s="1" t="n"/>
      <c r="F875" s="1" t="n"/>
      <c r="G875" s="1" t="n"/>
      <c r="H875" s="1" t="n"/>
      <c r="I875" s="1" t="n"/>
      <c r="J875" s="1" t="n"/>
    </row>
    <row r="876" ht="15.75" customHeight="1" s="311">
      <c r="A876" s="1" t="n"/>
      <c r="B876" s="1" t="n"/>
      <c r="C876" s="1" t="n"/>
      <c r="D876" s="1" t="n"/>
      <c r="E876" s="1" t="n"/>
      <c r="F876" s="1" t="n"/>
      <c r="G876" s="1" t="n"/>
      <c r="H876" s="1" t="n"/>
      <c r="I876" s="1" t="n"/>
      <c r="J876" s="1" t="n"/>
    </row>
    <row r="877" ht="15.75" customHeight="1" s="311">
      <c r="A877" s="1" t="n"/>
      <c r="B877" s="1" t="n"/>
      <c r="C877" s="1" t="n"/>
      <c r="D877" s="1" t="n"/>
      <c r="E877" s="1" t="n"/>
      <c r="F877" s="1" t="n"/>
      <c r="G877" s="1" t="n"/>
      <c r="H877" s="1" t="n"/>
      <c r="I877" s="1" t="n"/>
      <c r="J877" s="1" t="n"/>
    </row>
    <row r="878" ht="15.75" customHeight="1" s="311">
      <c r="A878" s="1" t="n"/>
      <c r="B878" s="1" t="n"/>
      <c r="C878" s="1" t="n"/>
      <c r="D878" s="1" t="n"/>
      <c r="E878" s="1" t="n"/>
      <c r="F878" s="1" t="n"/>
      <c r="G878" s="1" t="n"/>
      <c r="H878" s="1" t="n"/>
      <c r="I878" s="1" t="n"/>
      <c r="J878" s="1" t="n"/>
    </row>
    <row r="879" ht="15.75" customHeight="1" s="311">
      <c r="A879" s="1" t="n"/>
      <c r="B879" s="1" t="n"/>
      <c r="C879" s="1" t="n"/>
      <c r="D879" s="1" t="n"/>
      <c r="E879" s="1" t="n"/>
      <c r="F879" s="1" t="n"/>
      <c r="G879" s="1" t="n"/>
      <c r="H879" s="1" t="n"/>
      <c r="I879" s="1" t="n"/>
      <c r="J879" s="1" t="n"/>
    </row>
    <row r="880" ht="15.75" customHeight="1" s="311">
      <c r="A880" s="1" t="n"/>
      <c r="B880" s="1" t="n"/>
      <c r="C880" s="1" t="n"/>
      <c r="D880" s="1" t="n"/>
      <c r="E880" s="1" t="n"/>
      <c r="F880" s="1" t="n"/>
      <c r="G880" s="1" t="n"/>
      <c r="H880" s="1" t="n"/>
      <c r="I880" s="1" t="n"/>
      <c r="J880" s="1" t="n"/>
    </row>
    <row r="881" ht="15.75" customHeight="1" s="311">
      <c r="A881" s="1" t="n"/>
      <c r="B881" s="1" t="n"/>
      <c r="C881" s="1" t="n"/>
      <c r="D881" s="1" t="n"/>
      <c r="E881" s="1" t="n"/>
      <c r="F881" s="1" t="n"/>
      <c r="G881" s="1" t="n"/>
      <c r="H881" s="1" t="n"/>
      <c r="I881" s="1" t="n"/>
      <c r="J881" s="1" t="n"/>
    </row>
    <row r="882" ht="15.75" customHeight="1" s="311">
      <c r="A882" s="1" t="n"/>
      <c r="B882" s="1" t="n"/>
      <c r="C882" s="1" t="n"/>
      <c r="D882" s="1" t="n"/>
      <c r="E882" s="1" t="n"/>
      <c r="F882" s="1" t="n"/>
      <c r="G882" s="1" t="n"/>
      <c r="H882" s="1" t="n"/>
      <c r="I882" s="1" t="n"/>
      <c r="J882" s="1" t="n"/>
    </row>
    <row r="883" ht="15.75" customHeight="1" s="311">
      <c r="A883" s="1" t="n"/>
      <c r="B883" s="1" t="n"/>
      <c r="C883" s="1" t="n"/>
      <c r="D883" s="1" t="n"/>
      <c r="E883" s="1" t="n"/>
      <c r="F883" s="1" t="n"/>
      <c r="G883" s="1" t="n"/>
      <c r="H883" s="1" t="n"/>
      <c r="I883" s="1" t="n"/>
      <c r="J883" s="1" t="n"/>
    </row>
    <row r="884" ht="15.75" customHeight="1" s="311">
      <c r="A884" s="1" t="n"/>
      <c r="B884" s="1" t="n"/>
      <c r="C884" s="1" t="n"/>
      <c r="D884" s="1" t="n"/>
      <c r="E884" s="1" t="n"/>
      <c r="F884" s="1" t="n"/>
      <c r="G884" s="1" t="n"/>
      <c r="H884" s="1" t="n"/>
      <c r="I884" s="1" t="n"/>
      <c r="J884" s="1" t="n"/>
    </row>
    <row r="885" ht="15.75" customHeight="1" s="311">
      <c r="A885" s="1" t="n"/>
      <c r="B885" s="1" t="n"/>
      <c r="C885" s="1" t="n"/>
      <c r="D885" s="1" t="n"/>
      <c r="E885" s="1" t="n"/>
      <c r="F885" s="1" t="n"/>
      <c r="G885" s="1" t="n"/>
      <c r="H885" s="1" t="n"/>
      <c r="I885" s="1" t="n"/>
      <c r="J885" s="1" t="n"/>
    </row>
    <row r="886" ht="15.75" customHeight="1" s="311">
      <c r="A886" s="1" t="n"/>
      <c r="B886" s="1" t="n"/>
      <c r="C886" s="1" t="n"/>
      <c r="D886" s="1" t="n"/>
      <c r="E886" s="1" t="n"/>
      <c r="F886" s="1" t="n"/>
      <c r="G886" s="1" t="n"/>
      <c r="H886" s="1" t="n"/>
      <c r="I886" s="1" t="n"/>
      <c r="J886" s="1" t="n"/>
    </row>
    <row r="887" ht="15.75" customHeight="1" s="311">
      <c r="A887" s="1" t="n"/>
      <c r="B887" s="1" t="n"/>
      <c r="C887" s="1" t="n"/>
      <c r="D887" s="1" t="n"/>
      <c r="E887" s="1" t="n"/>
      <c r="F887" s="1" t="n"/>
      <c r="G887" s="1" t="n"/>
      <c r="H887" s="1" t="n"/>
      <c r="I887" s="1" t="n"/>
      <c r="J887" s="1" t="n"/>
    </row>
    <row r="888" ht="15.75" customHeight="1" s="311">
      <c r="A888" s="1" t="n"/>
      <c r="B888" s="1" t="n"/>
      <c r="C888" s="1" t="n"/>
      <c r="D888" s="1" t="n"/>
      <c r="E888" s="1" t="n"/>
      <c r="F888" s="1" t="n"/>
      <c r="G888" s="1" t="n"/>
      <c r="H888" s="1" t="n"/>
      <c r="I888" s="1" t="n"/>
      <c r="J888" s="1" t="n"/>
    </row>
    <row r="889" ht="15.75" customHeight="1" s="311">
      <c r="A889" s="1" t="n"/>
      <c r="B889" s="1" t="n"/>
      <c r="C889" s="1" t="n"/>
      <c r="D889" s="1" t="n"/>
      <c r="E889" s="1" t="n"/>
      <c r="F889" s="1" t="n"/>
      <c r="G889" s="1" t="n"/>
      <c r="H889" s="1" t="n"/>
      <c r="I889" s="1" t="n"/>
      <c r="J889" s="1" t="n"/>
    </row>
    <row r="890" ht="15.75" customHeight="1" s="311">
      <c r="A890" s="1" t="n"/>
      <c r="B890" s="1" t="n"/>
      <c r="C890" s="1" t="n"/>
      <c r="D890" s="1" t="n"/>
      <c r="E890" s="1" t="n"/>
      <c r="F890" s="1" t="n"/>
      <c r="G890" s="1" t="n"/>
      <c r="H890" s="1" t="n"/>
      <c r="I890" s="1" t="n"/>
      <c r="J890" s="1" t="n"/>
    </row>
    <row r="891" ht="15.75" customHeight="1" s="311">
      <c r="A891" s="1" t="n"/>
      <c r="B891" s="1" t="n"/>
      <c r="C891" s="1" t="n"/>
      <c r="D891" s="1" t="n"/>
      <c r="E891" s="1" t="n"/>
      <c r="F891" s="1" t="n"/>
      <c r="G891" s="1" t="n"/>
      <c r="H891" s="1" t="n"/>
      <c r="I891" s="1" t="n"/>
      <c r="J891" s="1" t="n"/>
    </row>
    <row r="892" ht="15.75" customHeight="1" s="311">
      <c r="A892" s="1" t="n"/>
      <c r="B892" s="1" t="n"/>
      <c r="C892" s="1" t="n"/>
      <c r="D892" s="1" t="n"/>
      <c r="E892" s="1" t="n"/>
      <c r="F892" s="1" t="n"/>
      <c r="G892" s="1" t="n"/>
      <c r="H892" s="1" t="n"/>
      <c r="I892" s="1" t="n"/>
      <c r="J892" s="1" t="n"/>
    </row>
    <row r="893" ht="15.75" customHeight="1" s="311">
      <c r="A893" s="1" t="n"/>
      <c r="B893" s="1" t="n"/>
      <c r="C893" s="1" t="n"/>
      <c r="D893" s="1" t="n"/>
      <c r="E893" s="1" t="n"/>
      <c r="F893" s="1" t="n"/>
      <c r="G893" s="1" t="n"/>
      <c r="H893" s="1" t="n"/>
      <c r="I893" s="1" t="n"/>
      <c r="J893" s="1" t="n"/>
    </row>
    <row r="894" ht="15.75" customHeight="1" s="311">
      <c r="A894" s="1" t="n"/>
      <c r="B894" s="1" t="n"/>
      <c r="C894" s="1" t="n"/>
      <c r="D894" s="1" t="n"/>
      <c r="E894" s="1" t="n"/>
      <c r="F894" s="1" t="n"/>
      <c r="G894" s="1" t="n"/>
      <c r="H894" s="1" t="n"/>
      <c r="I894" s="1" t="n"/>
      <c r="J894" s="1" t="n"/>
    </row>
    <row r="895" ht="15.75" customHeight="1" s="311">
      <c r="A895" s="1" t="n"/>
      <c r="B895" s="1" t="n"/>
      <c r="C895" s="1" t="n"/>
      <c r="D895" s="1" t="n"/>
      <c r="E895" s="1" t="n"/>
      <c r="F895" s="1" t="n"/>
      <c r="G895" s="1" t="n"/>
      <c r="H895" s="1" t="n"/>
      <c r="I895" s="1" t="n"/>
      <c r="J895" s="1" t="n"/>
    </row>
    <row r="896" ht="15.75" customHeight="1" s="311">
      <c r="A896" s="1" t="n"/>
      <c r="B896" s="1" t="n"/>
      <c r="C896" s="1" t="n"/>
      <c r="D896" s="1" t="n"/>
      <c r="E896" s="1" t="n"/>
      <c r="F896" s="1" t="n"/>
      <c r="G896" s="1" t="n"/>
      <c r="H896" s="1" t="n"/>
      <c r="I896" s="1" t="n"/>
      <c r="J896" s="1" t="n"/>
    </row>
    <row r="897" ht="15.75" customHeight="1" s="311">
      <c r="A897" s="1" t="n"/>
      <c r="B897" s="1" t="n"/>
      <c r="C897" s="1" t="n"/>
      <c r="D897" s="1" t="n"/>
      <c r="E897" s="1" t="n"/>
      <c r="F897" s="1" t="n"/>
      <c r="G897" s="1" t="n"/>
      <c r="H897" s="1" t="n"/>
      <c r="I897" s="1" t="n"/>
      <c r="J897" s="1" t="n"/>
    </row>
    <row r="898" ht="15.75" customHeight="1" s="311">
      <c r="A898" s="1" t="n"/>
      <c r="B898" s="1" t="n"/>
      <c r="C898" s="1" t="n"/>
      <c r="D898" s="1" t="n"/>
      <c r="E898" s="1" t="n"/>
      <c r="F898" s="1" t="n"/>
      <c r="G898" s="1" t="n"/>
      <c r="H898" s="1" t="n"/>
      <c r="I898" s="1" t="n"/>
      <c r="J898" s="1" t="n"/>
    </row>
    <row r="899" ht="15.75" customHeight="1" s="311">
      <c r="A899" s="1" t="n"/>
      <c r="B899" s="1" t="n"/>
      <c r="C899" s="1" t="n"/>
      <c r="D899" s="1" t="n"/>
      <c r="E899" s="1" t="n"/>
      <c r="F899" s="1" t="n"/>
      <c r="G899" s="1" t="n"/>
      <c r="H899" s="1" t="n"/>
      <c r="I899" s="1" t="n"/>
      <c r="J899" s="1" t="n"/>
    </row>
    <row r="900" ht="15.75" customHeight="1" s="311">
      <c r="A900" s="1" t="n"/>
      <c r="B900" s="1" t="n"/>
      <c r="C900" s="1" t="n"/>
      <c r="D900" s="1" t="n"/>
      <c r="E900" s="1" t="n"/>
      <c r="F900" s="1" t="n"/>
      <c r="G900" s="1" t="n"/>
      <c r="H900" s="1" t="n"/>
      <c r="I900" s="1" t="n"/>
      <c r="J900" s="1" t="n"/>
    </row>
    <row r="901" ht="15.75" customHeight="1" s="311">
      <c r="A901" s="1" t="n"/>
      <c r="B901" s="1" t="n"/>
      <c r="C901" s="1" t="n"/>
      <c r="D901" s="1" t="n"/>
      <c r="E901" s="1" t="n"/>
      <c r="F901" s="1" t="n"/>
      <c r="G901" s="1" t="n"/>
      <c r="H901" s="1" t="n"/>
      <c r="I901" s="1" t="n"/>
      <c r="J901" s="1" t="n"/>
    </row>
    <row r="902" ht="15.75" customHeight="1" s="311">
      <c r="A902" s="1" t="n"/>
      <c r="B902" s="1" t="n"/>
      <c r="C902" s="1" t="n"/>
      <c r="D902" s="1" t="n"/>
      <c r="E902" s="1" t="n"/>
      <c r="F902" s="1" t="n"/>
      <c r="G902" s="1" t="n"/>
      <c r="H902" s="1" t="n"/>
      <c r="I902" s="1" t="n"/>
      <c r="J902" s="1" t="n"/>
    </row>
    <row r="903" ht="15.75" customHeight="1" s="311">
      <c r="A903" s="1" t="n"/>
      <c r="B903" s="1" t="n"/>
      <c r="C903" s="1" t="n"/>
      <c r="D903" s="1" t="n"/>
      <c r="E903" s="1" t="n"/>
      <c r="F903" s="1" t="n"/>
      <c r="G903" s="1" t="n"/>
      <c r="H903" s="1" t="n"/>
      <c r="I903" s="1" t="n"/>
      <c r="J903" s="1" t="n"/>
    </row>
    <row r="904" ht="15.75" customHeight="1" s="311">
      <c r="A904" s="1" t="n"/>
      <c r="B904" s="1" t="n"/>
      <c r="C904" s="1" t="n"/>
      <c r="D904" s="1" t="n"/>
      <c r="E904" s="1" t="n"/>
      <c r="F904" s="1" t="n"/>
      <c r="G904" s="1" t="n"/>
      <c r="H904" s="1" t="n"/>
      <c r="I904" s="1" t="n"/>
      <c r="J904" s="1" t="n"/>
    </row>
    <row r="905" ht="15.75" customHeight="1" s="311">
      <c r="A905" s="1" t="n"/>
      <c r="B905" s="1" t="n"/>
      <c r="C905" s="1" t="n"/>
      <c r="D905" s="1" t="n"/>
      <c r="E905" s="1" t="n"/>
      <c r="F905" s="1" t="n"/>
      <c r="G905" s="1" t="n"/>
      <c r="H905" s="1" t="n"/>
      <c r="I905" s="1" t="n"/>
      <c r="J905" s="1" t="n"/>
    </row>
    <row r="906" ht="15.75" customHeight="1" s="311">
      <c r="A906" s="1" t="n"/>
      <c r="B906" s="1" t="n"/>
      <c r="C906" s="1" t="n"/>
      <c r="D906" s="1" t="n"/>
      <c r="E906" s="1" t="n"/>
      <c r="F906" s="1" t="n"/>
      <c r="G906" s="1" t="n"/>
      <c r="H906" s="1" t="n"/>
      <c r="I906" s="1" t="n"/>
      <c r="J906" s="1" t="n"/>
    </row>
    <row r="907" ht="15.75" customHeight="1" s="311">
      <c r="A907" s="1" t="n"/>
      <c r="B907" s="1" t="n"/>
      <c r="C907" s="1" t="n"/>
      <c r="D907" s="1" t="n"/>
      <c r="E907" s="1" t="n"/>
      <c r="F907" s="1" t="n"/>
      <c r="G907" s="1" t="n"/>
      <c r="H907" s="1" t="n"/>
      <c r="I907" s="1" t="n"/>
      <c r="J907" s="1" t="n"/>
    </row>
    <row r="908" ht="15.75" customHeight="1" s="311">
      <c r="A908" s="1" t="n"/>
      <c r="B908" s="1" t="n"/>
      <c r="C908" s="1" t="n"/>
      <c r="D908" s="1" t="n"/>
      <c r="E908" s="1" t="n"/>
      <c r="F908" s="1" t="n"/>
      <c r="G908" s="1" t="n"/>
      <c r="H908" s="1" t="n"/>
      <c r="I908" s="1" t="n"/>
      <c r="J908" s="1" t="n"/>
    </row>
    <row r="909" ht="15.75" customHeight="1" s="311">
      <c r="A909" s="1" t="n"/>
      <c r="B909" s="1" t="n"/>
      <c r="C909" s="1" t="n"/>
      <c r="D909" s="1" t="n"/>
      <c r="E909" s="1" t="n"/>
      <c r="F909" s="1" t="n"/>
      <c r="G909" s="1" t="n"/>
      <c r="H909" s="1" t="n"/>
      <c r="I909" s="1" t="n"/>
      <c r="J909" s="1" t="n"/>
    </row>
    <row r="910" ht="15.75" customHeight="1" s="311">
      <c r="A910" s="1" t="n"/>
      <c r="B910" s="1" t="n"/>
      <c r="C910" s="1" t="n"/>
      <c r="D910" s="1" t="n"/>
      <c r="E910" s="1" t="n"/>
      <c r="F910" s="1" t="n"/>
      <c r="G910" s="1" t="n"/>
      <c r="H910" s="1" t="n"/>
      <c r="I910" s="1" t="n"/>
      <c r="J910" s="1" t="n"/>
    </row>
    <row r="911" ht="15.75" customHeight="1" s="311">
      <c r="A911" s="1" t="n"/>
      <c r="B911" s="1" t="n"/>
      <c r="C911" s="1" t="n"/>
      <c r="D911" s="1" t="n"/>
      <c r="E911" s="1" t="n"/>
      <c r="F911" s="1" t="n"/>
      <c r="G911" s="1" t="n"/>
      <c r="H911" s="1" t="n"/>
      <c r="I911" s="1" t="n"/>
      <c r="J911" s="1" t="n"/>
    </row>
    <row r="912" ht="15.75" customHeight="1" s="311">
      <c r="A912" s="1" t="n"/>
      <c r="B912" s="1" t="n"/>
      <c r="C912" s="1" t="n"/>
      <c r="D912" s="1" t="n"/>
      <c r="E912" s="1" t="n"/>
      <c r="F912" s="1" t="n"/>
      <c r="G912" s="1" t="n"/>
      <c r="H912" s="1" t="n"/>
      <c r="I912" s="1" t="n"/>
      <c r="J912" s="1" t="n"/>
    </row>
    <row r="913" ht="15.75" customHeight="1" s="311">
      <c r="A913" s="1" t="n"/>
      <c r="B913" s="1" t="n"/>
      <c r="C913" s="1" t="n"/>
      <c r="D913" s="1" t="n"/>
      <c r="E913" s="1" t="n"/>
      <c r="F913" s="1" t="n"/>
      <c r="G913" s="1" t="n"/>
      <c r="H913" s="1" t="n"/>
      <c r="I913" s="1" t="n"/>
      <c r="J913" s="1" t="n"/>
    </row>
    <row r="914" ht="15.75" customHeight="1" s="311">
      <c r="A914" s="1" t="n"/>
      <c r="B914" s="1" t="n"/>
      <c r="C914" s="1" t="n"/>
      <c r="D914" s="1" t="n"/>
      <c r="E914" s="1" t="n"/>
      <c r="F914" s="1" t="n"/>
      <c r="G914" s="1" t="n"/>
      <c r="H914" s="1" t="n"/>
      <c r="I914" s="1" t="n"/>
      <c r="J914" s="1" t="n"/>
    </row>
    <row r="915" ht="15.75" customHeight="1" s="311">
      <c r="A915" s="1" t="n"/>
      <c r="B915" s="1" t="n"/>
      <c r="C915" s="1" t="n"/>
      <c r="D915" s="1" t="n"/>
      <c r="E915" s="1" t="n"/>
      <c r="F915" s="1" t="n"/>
      <c r="G915" s="1" t="n"/>
      <c r="H915" s="1" t="n"/>
      <c r="I915" s="1" t="n"/>
      <c r="J915" s="1" t="n"/>
    </row>
    <row r="916" ht="15.75" customHeight="1" s="311">
      <c r="A916" s="1" t="n"/>
      <c r="B916" s="1" t="n"/>
      <c r="C916" s="1" t="n"/>
      <c r="D916" s="1" t="n"/>
      <c r="E916" s="1" t="n"/>
      <c r="F916" s="1" t="n"/>
      <c r="G916" s="1" t="n"/>
      <c r="H916" s="1" t="n"/>
      <c r="I916" s="1" t="n"/>
      <c r="J916" s="1" t="n"/>
    </row>
    <row r="917" ht="15.75" customHeight="1" s="311">
      <c r="A917" s="1" t="n"/>
      <c r="B917" s="1" t="n"/>
      <c r="C917" s="1" t="n"/>
      <c r="D917" s="1" t="n"/>
      <c r="E917" s="1" t="n"/>
      <c r="F917" s="1" t="n"/>
      <c r="G917" s="1" t="n"/>
      <c r="H917" s="1" t="n"/>
      <c r="I917" s="1" t="n"/>
      <c r="J917" s="1" t="n"/>
    </row>
    <row r="918" ht="15.75" customHeight="1" s="311">
      <c r="A918" s="1" t="n"/>
      <c r="B918" s="1" t="n"/>
      <c r="C918" s="1" t="n"/>
      <c r="D918" s="1" t="n"/>
      <c r="E918" s="1" t="n"/>
      <c r="F918" s="1" t="n"/>
      <c r="G918" s="1" t="n"/>
      <c r="H918" s="1" t="n"/>
      <c r="I918" s="1" t="n"/>
      <c r="J918" s="1" t="n"/>
    </row>
    <row r="919" ht="15.75" customHeight="1" s="311">
      <c r="A919" s="1" t="n"/>
      <c r="B919" s="1" t="n"/>
      <c r="C919" s="1" t="n"/>
      <c r="D919" s="1" t="n"/>
      <c r="E919" s="1" t="n"/>
      <c r="F919" s="1" t="n"/>
      <c r="G919" s="1" t="n"/>
      <c r="H919" s="1" t="n"/>
      <c r="I919" s="1" t="n"/>
      <c r="J919" s="1" t="n"/>
    </row>
    <row r="920" ht="15.75" customHeight="1" s="311">
      <c r="A920" s="1" t="n"/>
      <c r="B920" s="1" t="n"/>
      <c r="C920" s="1" t="n"/>
      <c r="D920" s="1" t="n"/>
      <c r="E920" s="1" t="n"/>
      <c r="F920" s="1" t="n"/>
      <c r="G920" s="1" t="n"/>
      <c r="H920" s="1" t="n"/>
      <c r="I920" s="1" t="n"/>
      <c r="J920" s="1" t="n"/>
    </row>
    <row r="921" ht="15.75" customHeight="1" s="311">
      <c r="A921" s="1" t="n"/>
      <c r="B921" s="1" t="n"/>
      <c r="C921" s="1" t="n"/>
      <c r="D921" s="1" t="n"/>
      <c r="E921" s="1" t="n"/>
      <c r="F921" s="1" t="n"/>
      <c r="G921" s="1" t="n"/>
      <c r="H921" s="1" t="n"/>
      <c r="I921" s="1" t="n"/>
      <c r="J921" s="1" t="n"/>
    </row>
    <row r="922" ht="15.75" customHeight="1" s="311">
      <c r="A922" s="1" t="n"/>
      <c r="B922" s="1" t="n"/>
      <c r="C922" s="1" t="n"/>
      <c r="D922" s="1" t="n"/>
      <c r="E922" s="1" t="n"/>
      <c r="F922" s="1" t="n"/>
      <c r="G922" s="1" t="n"/>
      <c r="H922" s="1" t="n"/>
      <c r="I922" s="1" t="n"/>
      <c r="J922" s="1" t="n"/>
    </row>
    <row r="923" ht="15.75" customHeight="1" s="311">
      <c r="A923" s="1" t="n"/>
      <c r="B923" s="1" t="n"/>
      <c r="C923" s="1" t="n"/>
      <c r="D923" s="1" t="n"/>
      <c r="E923" s="1" t="n"/>
      <c r="F923" s="1" t="n"/>
      <c r="G923" s="1" t="n"/>
      <c r="H923" s="1" t="n"/>
      <c r="I923" s="1" t="n"/>
      <c r="J923" s="1" t="n"/>
    </row>
    <row r="924" ht="15.75" customHeight="1" s="311">
      <c r="A924" s="1" t="n"/>
      <c r="B924" s="1" t="n"/>
      <c r="C924" s="1" t="n"/>
      <c r="D924" s="1" t="n"/>
      <c r="E924" s="1" t="n"/>
      <c r="F924" s="1" t="n"/>
      <c r="G924" s="1" t="n"/>
      <c r="H924" s="1" t="n"/>
      <c r="I924" s="1" t="n"/>
      <c r="J924" s="1" t="n"/>
    </row>
    <row r="925" ht="15.75" customHeight="1" s="311">
      <c r="A925" s="1" t="n"/>
      <c r="B925" s="1" t="n"/>
      <c r="C925" s="1" t="n"/>
      <c r="D925" s="1" t="n"/>
      <c r="E925" s="1" t="n"/>
      <c r="F925" s="1" t="n"/>
      <c r="G925" s="1" t="n"/>
      <c r="H925" s="1" t="n"/>
      <c r="I925" s="1" t="n"/>
      <c r="J925" s="1" t="n"/>
    </row>
    <row r="926" ht="15.75" customHeight="1" s="311">
      <c r="A926" s="1" t="n"/>
      <c r="B926" s="1" t="n"/>
      <c r="C926" s="1" t="n"/>
      <c r="D926" s="1" t="n"/>
      <c r="E926" s="1" t="n"/>
      <c r="F926" s="1" t="n"/>
      <c r="G926" s="1" t="n"/>
      <c r="H926" s="1" t="n"/>
      <c r="I926" s="1" t="n"/>
      <c r="J926" s="1" t="n"/>
    </row>
    <row r="927" ht="15.75" customHeight="1" s="311">
      <c r="A927" s="1" t="n"/>
      <c r="B927" s="1" t="n"/>
      <c r="C927" s="1" t="n"/>
      <c r="D927" s="1" t="n"/>
      <c r="E927" s="1" t="n"/>
      <c r="F927" s="1" t="n"/>
      <c r="G927" s="1" t="n"/>
      <c r="H927" s="1" t="n"/>
      <c r="I927" s="1" t="n"/>
      <c r="J927" s="1" t="n"/>
    </row>
    <row r="928" ht="15.75" customHeight="1" s="311">
      <c r="A928" s="1" t="n"/>
      <c r="B928" s="1" t="n"/>
      <c r="C928" s="1" t="n"/>
      <c r="D928" s="1" t="n"/>
      <c r="E928" s="1" t="n"/>
      <c r="F928" s="1" t="n"/>
      <c r="G928" s="1" t="n"/>
      <c r="H928" s="1" t="n"/>
      <c r="I928" s="1" t="n"/>
      <c r="J928" s="1" t="n"/>
    </row>
    <row r="929" ht="15.75" customHeight="1" s="311">
      <c r="A929" s="1" t="n"/>
      <c r="B929" s="1" t="n"/>
      <c r="C929" s="1" t="n"/>
      <c r="D929" s="1" t="n"/>
      <c r="E929" s="1" t="n"/>
      <c r="F929" s="1" t="n"/>
      <c r="G929" s="1" t="n"/>
      <c r="H929" s="1" t="n"/>
      <c r="I929" s="1" t="n"/>
      <c r="J929" s="1" t="n"/>
    </row>
    <row r="930" ht="15.75" customHeight="1" s="311">
      <c r="A930" s="1" t="n"/>
      <c r="B930" s="1" t="n"/>
      <c r="C930" s="1" t="n"/>
      <c r="D930" s="1" t="n"/>
      <c r="E930" s="1" t="n"/>
      <c r="F930" s="1" t="n"/>
      <c r="G930" s="1" t="n"/>
      <c r="H930" s="1" t="n"/>
      <c r="I930" s="1" t="n"/>
      <c r="J930" s="1" t="n"/>
    </row>
    <row r="931" ht="15.75" customHeight="1" s="311">
      <c r="A931" s="1" t="n"/>
      <c r="B931" s="1" t="n"/>
      <c r="C931" s="1" t="n"/>
      <c r="D931" s="1" t="n"/>
      <c r="E931" s="1" t="n"/>
      <c r="F931" s="1" t="n"/>
      <c r="G931" s="1" t="n"/>
      <c r="H931" s="1" t="n"/>
      <c r="I931" s="1" t="n"/>
      <c r="J931" s="1" t="n"/>
    </row>
    <row r="932" ht="15.75" customHeight="1" s="311">
      <c r="A932" s="1" t="n"/>
      <c r="B932" s="1" t="n"/>
      <c r="C932" s="1" t="n"/>
      <c r="D932" s="1" t="n"/>
      <c r="E932" s="1" t="n"/>
      <c r="F932" s="1" t="n"/>
      <c r="G932" s="1" t="n"/>
      <c r="H932" s="1" t="n"/>
      <c r="I932" s="1" t="n"/>
      <c r="J932" s="1" t="n"/>
    </row>
    <row r="933" ht="15.75" customHeight="1" s="311">
      <c r="A933" s="1" t="n"/>
      <c r="B933" s="1" t="n"/>
      <c r="C933" s="1" t="n"/>
      <c r="D933" s="1" t="n"/>
      <c r="E933" s="1" t="n"/>
      <c r="F933" s="1" t="n"/>
      <c r="G933" s="1" t="n"/>
      <c r="H933" s="1" t="n"/>
      <c r="I933" s="1" t="n"/>
      <c r="J933" s="1" t="n"/>
    </row>
    <row r="934" ht="15.75" customHeight="1" s="311">
      <c r="A934" s="1" t="n"/>
      <c r="B934" s="1" t="n"/>
      <c r="C934" s="1" t="n"/>
      <c r="D934" s="1" t="n"/>
      <c r="E934" s="1" t="n"/>
      <c r="F934" s="1" t="n"/>
      <c r="G934" s="1" t="n"/>
      <c r="H934" s="1" t="n"/>
      <c r="I934" s="1" t="n"/>
      <c r="J934" s="1" t="n"/>
    </row>
    <row r="935" ht="15.75" customHeight="1" s="311">
      <c r="A935" s="1" t="n"/>
      <c r="B935" s="1" t="n"/>
      <c r="C935" s="1" t="n"/>
      <c r="D935" s="1" t="n"/>
      <c r="E935" s="1" t="n"/>
      <c r="F935" s="1" t="n"/>
      <c r="G935" s="1" t="n"/>
      <c r="H935" s="1" t="n"/>
      <c r="I935" s="1" t="n"/>
      <c r="J935" s="1" t="n"/>
    </row>
    <row r="936" ht="15.75" customHeight="1" s="311">
      <c r="A936" s="1" t="n"/>
      <c r="B936" s="1" t="n"/>
      <c r="C936" s="1" t="n"/>
      <c r="D936" s="1" t="n"/>
      <c r="E936" s="1" t="n"/>
      <c r="F936" s="1" t="n"/>
      <c r="G936" s="1" t="n"/>
      <c r="H936" s="1" t="n"/>
      <c r="I936" s="1" t="n"/>
      <c r="J936" s="1" t="n"/>
    </row>
    <row r="937" ht="15.75" customHeight="1" s="311">
      <c r="A937" s="1" t="n"/>
      <c r="B937" s="1" t="n"/>
      <c r="C937" s="1" t="n"/>
      <c r="D937" s="1" t="n"/>
      <c r="E937" s="1" t="n"/>
      <c r="F937" s="1" t="n"/>
      <c r="G937" s="1" t="n"/>
      <c r="H937" s="1" t="n"/>
      <c r="I937" s="1" t="n"/>
      <c r="J937" s="1" t="n"/>
    </row>
    <row r="938" ht="15.75" customHeight="1" s="311">
      <c r="A938" s="1" t="n"/>
      <c r="B938" s="1" t="n"/>
      <c r="C938" s="1" t="n"/>
      <c r="D938" s="1" t="n"/>
      <c r="E938" s="1" t="n"/>
      <c r="F938" s="1" t="n"/>
      <c r="G938" s="1" t="n"/>
      <c r="H938" s="1" t="n"/>
      <c r="I938" s="1" t="n"/>
      <c r="J938" s="1" t="n"/>
    </row>
    <row r="939" ht="15.75" customHeight="1" s="311">
      <c r="A939" s="1" t="n"/>
      <c r="B939" s="1" t="n"/>
      <c r="C939" s="1" t="n"/>
      <c r="D939" s="1" t="n"/>
      <c r="E939" s="1" t="n"/>
      <c r="F939" s="1" t="n"/>
      <c r="G939" s="1" t="n"/>
      <c r="H939" s="1" t="n"/>
      <c r="I939" s="1" t="n"/>
      <c r="J939" s="1" t="n"/>
    </row>
    <row r="940" ht="15.75" customHeight="1" s="311">
      <c r="A940" s="1" t="n"/>
      <c r="B940" s="1" t="n"/>
      <c r="C940" s="1" t="n"/>
      <c r="D940" s="1" t="n"/>
      <c r="E940" s="1" t="n"/>
      <c r="F940" s="1" t="n"/>
      <c r="G940" s="1" t="n"/>
      <c r="H940" s="1" t="n"/>
      <c r="I940" s="1" t="n"/>
      <c r="J940" s="1" t="n"/>
    </row>
    <row r="941" ht="15.75" customHeight="1" s="311">
      <c r="A941" s="1" t="n"/>
      <c r="B941" s="1" t="n"/>
      <c r="C941" s="1" t="n"/>
      <c r="D941" s="1" t="n"/>
      <c r="E941" s="1" t="n"/>
      <c r="F941" s="1" t="n"/>
      <c r="G941" s="1" t="n"/>
      <c r="H941" s="1" t="n"/>
      <c r="I941" s="1" t="n"/>
      <c r="J941" s="1" t="n"/>
    </row>
    <row r="942" ht="15.75" customHeight="1" s="311">
      <c r="A942" s="1" t="n"/>
      <c r="B942" s="1" t="n"/>
      <c r="C942" s="1" t="n"/>
      <c r="D942" s="1" t="n"/>
      <c r="E942" s="1" t="n"/>
      <c r="F942" s="1" t="n"/>
      <c r="G942" s="1" t="n"/>
      <c r="H942" s="1" t="n"/>
      <c r="I942" s="1" t="n"/>
      <c r="J942" s="1" t="n"/>
    </row>
    <row r="943" ht="15.75" customHeight="1" s="311">
      <c r="A943" s="1" t="n"/>
      <c r="B943" s="1" t="n"/>
      <c r="C943" s="1" t="n"/>
      <c r="D943" s="1" t="n"/>
      <c r="E943" s="1" t="n"/>
      <c r="F943" s="1" t="n"/>
      <c r="G943" s="1" t="n"/>
      <c r="H943" s="1" t="n"/>
      <c r="I943" s="1" t="n"/>
      <c r="J943" s="1" t="n"/>
    </row>
    <row r="944" ht="15.75" customHeight="1" s="311">
      <c r="A944" s="1" t="n"/>
      <c r="B944" s="1" t="n"/>
      <c r="C944" s="1" t="n"/>
      <c r="D944" s="1" t="n"/>
      <c r="E944" s="1" t="n"/>
      <c r="F944" s="1" t="n"/>
      <c r="G944" s="1" t="n"/>
      <c r="H944" s="1" t="n"/>
      <c r="I944" s="1" t="n"/>
      <c r="J944" s="1" t="n"/>
    </row>
    <row r="945" ht="15.75" customHeight="1" s="311">
      <c r="A945" s="1" t="n"/>
      <c r="B945" s="1" t="n"/>
      <c r="C945" s="1" t="n"/>
      <c r="D945" s="1" t="n"/>
      <c r="E945" s="1" t="n"/>
      <c r="F945" s="1" t="n"/>
      <c r="G945" s="1" t="n"/>
      <c r="H945" s="1" t="n"/>
      <c r="I945" s="1" t="n"/>
      <c r="J945" s="1" t="n"/>
    </row>
    <row r="946" ht="15.75" customHeight="1" s="311">
      <c r="A946" s="1" t="n"/>
      <c r="B946" s="1" t="n"/>
      <c r="C946" s="1" t="n"/>
      <c r="D946" s="1" t="n"/>
      <c r="E946" s="1" t="n"/>
      <c r="F946" s="1" t="n"/>
      <c r="G946" s="1" t="n"/>
      <c r="H946" s="1" t="n"/>
      <c r="I946" s="1" t="n"/>
      <c r="J946" s="1" t="n"/>
    </row>
    <row r="947" ht="15.75" customHeight="1" s="311">
      <c r="A947" s="1" t="n"/>
      <c r="B947" s="1" t="n"/>
      <c r="C947" s="1" t="n"/>
      <c r="D947" s="1" t="n"/>
      <c r="E947" s="1" t="n"/>
      <c r="F947" s="1" t="n"/>
      <c r="G947" s="1" t="n"/>
      <c r="H947" s="1" t="n"/>
      <c r="I947" s="1" t="n"/>
      <c r="J947" s="1" t="n"/>
    </row>
    <row r="948" ht="15.75" customHeight="1" s="311">
      <c r="A948" s="1" t="n"/>
      <c r="B948" s="1" t="n"/>
      <c r="C948" s="1" t="n"/>
      <c r="D948" s="1" t="n"/>
      <c r="E948" s="1" t="n"/>
      <c r="F948" s="1" t="n"/>
      <c r="G948" s="1" t="n"/>
      <c r="H948" s="1" t="n"/>
      <c r="I948" s="1" t="n"/>
      <c r="J948" s="1" t="n"/>
    </row>
    <row r="949" ht="15.75" customHeight="1" s="311">
      <c r="A949" s="1" t="n"/>
      <c r="B949" s="1" t="n"/>
      <c r="C949" s="1" t="n"/>
      <c r="D949" s="1" t="n"/>
      <c r="E949" s="1" t="n"/>
      <c r="F949" s="1" t="n"/>
      <c r="G949" s="1" t="n"/>
      <c r="H949" s="1" t="n"/>
      <c r="I949" s="1" t="n"/>
      <c r="J949" s="1" t="n"/>
    </row>
    <row r="950" ht="15.75" customHeight="1" s="311">
      <c r="A950" s="1" t="n"/>
      <c r="B950" s="1" t="n"/>
      <c r="C950" s="1" t="n"/>
      <c r="D950" s="1" t="n"/>
      <c r="E950" s="1" t="n"/>
      <c r="F950" s="1" t="n"/>
      <c r="G950" s="1" t="n"/>
      <c r="H950" s="1" t="n"/>
      <c r="I950" s="1" t="n"/>
      <c r="J950" s="1" t="n"/>
    </row>
    <row r="951" ht="15.75" customHeight="1" s="311">
      <c r="A951" s="1" t="n"/>
      <c r="B951" s="1" t="n"/>
      <c r="C951" s="1" t="n"/>
      <c r="D951" s="1" t="n"/>
      <c r="E951" s="1" t="n"/>
      <c r="F951" s="1" t="n"/>
      <c r="G951" s="1" t="n"/>
      <c r="H951" s="1" t="n"/>
      <c r="I951" s="1" t="n"/>
      <c r="J951" s="1" t="n"/>
    </row>
    <row r="952" ht="15.75" customHeight="1" s="311">
      <c r="A952" s="1" t="n"/>
      <c r="B952" s="1" t="n"/>
      <c r="C952" s="1" t="n"/>
      <c r="D952" s="1" t="n"/>
      <c r="E952" s="1" t="n"/>
      <c r="F952" s="1" t="n"/>
      <c r="G952" s="1" t="n"/>
      <c r="H952" s="1" t="n"/>
      <c r="I952" s="1" t="n"/>
      <c r="J952" s="1" t="n"/>
    </row>
    <row r="953" ht="15.75" customHeight="1" s="311">
      <c r="A953" s="1" t="n"/>
      <c r="B953" s="1" t="n"/>
      <c r="C953" s="1" t="n"/>
      <c r="D953" s="1" t="n"/>
      <c r="E953" s="1" t="n"/>
      <c r="F953" s="1" t="n"/>
      <c r="G953" s="1" t="n"/>
      <c r="H953" s="1" t="n"/>
      <c r="I953" s="1" t="n"/>
      <c r="J953" s="1" t="n"/>
    </row>
    <row r="954" ht="15.75" customHeight="1" s="311">
      <c r="A954" s="1" t="n"/>
      <c r="B954" s="1" t="n"/>
      <c r="C954" s="1" t="n"/>
      <c r="D954" s="1" t="n"/>
      <c r="E954" s="1" t="n"/>
      <c r="F954" s="1" t="n"/>
      <c r="G954" s="1" t="n"/>
      <c r="H954" s="1" t="n"/>
      <c r="I954" s="1" t="n"/>
      <c r="J954" s="1" t="n"/>
    </row>
    <row r="955" ht="15.75" customHeight="1" s="311">
      <c r="A955" s="1" t="n"/>
      <c r="B955" s="1" t="n"/>
      <c r="C955" s="1" t="n"/>
      <c r="D955" s="1" t="n"/>
      <c r="E955" s="1" t="n"/>
      <c r="F955" s="1" t="n"/>
      <c r="G955" s="1" t="n"/>
      <c r="H955" s="1" t="n"/>
      <c r="I955" s="1" t="n"/>
      <c r="J955" s="1" t="n"/>
    </row>
    <row r="956" ht="15.75" customHeight="1" s="311">
      <c r="A956" s="1" t="n"/>
      <c r="B956" s="1" t="n"/>
      <c r="C956" s="1" t="n"/>
      <c r="D956" s="1" t="n"/>
      <c r="E956" s="1" t="n"/>
      <c r="F956" s="1" t="n"/>
      <c r="G956" s="1" t="n"/>
      <c r="H956" s="1" t="n"/>
      <c r="I956" s="1" t="n"/>
      <c r="J956" s="1" t="n"/>
    </row>
    <row r="957" ht="15.75" customHeight="1" s="311">
      <c r="A957" s="1" t="n"/>
      <c r="B957" s="1" t="n"/>
      <c r="C957" s="1" t="n"/>
      <c r="D957" s="1" t="n"/>
      <c r="E957" s="1" t="n"/>
      <c r="F957" s="1" t="n"/>
      <c r="G957" s="1" t="n"/>
      <c r="H957" s="1" t="n"/>
      <c r="I957" s="1" t="n"/>
      <c r="J957" s="1" t="n"/>
    </row>
    <row r="958" ht="15.75" customHeight="1" s="311">
      <c r="A958" s="1" t="n"/>
      <c r="B958" s="1" t="n"/>
      <c r="C958" s="1" t="n"/>
      <c r="D958" s="1" t="n"/>
      <c r="E958" s="1" t="n"/>
      <c r="F958" s="1" t="n"/>
      <c r="G958" s="1" t="n"/>
      <c r="H958" s="1" t="n"/>
      <c r="I958" s="1" t="n"/>
      <c r="J958" s="1" t="n"/>
    </row>
    <row r="959" ht="15.75" customHeight="1" s="311">
      <c r="A959" s="1" t="n"/>
      <c r="B959" s="1" t="n"/>
      <c r="C959" s="1" t="n"/>
      <c r="D959" s="1" t="n"/>
      <c r="E959" s="1" t="n"/>
      <c r="F959" s="1" t="n"/>
      <c r="G959" s="1" t="n"/>
      <c r="H959" s="1" t="n"/>
      <c r="I959" s="1" t="n"/>
      <c r="J959" s="1" t="n"/>
    </row>
    <row r="960" ht="15.75" customHeight="1" s="311">
      <c r="A960" s="1" t="n"/>
      <c r="B960" s="1" t="n"/>
      <c r="C960" s="1" t="n"/>
      <c r="D960" s="1" t="n"/>
      <c r="E960" s="1" t="n"/>
      <c r="F960" s="1" t="n"/>
      <c r="G960" s="1" t="n"/>
      <c r="H960" s="1" t="n"/>
      <c r="I960" s="1" t="n"/>
      <c r="J960" s="1" t="n"/>
    </row>
    <row r="961" ht="15.75" customHeight="1" s="311">
      <c r="A961" s="1" t="n"/>
      <c r="B961" s="1" t="n"/>
      <c r="C961" s="1" t="n"/>
      <c r="D961" s="1" t="n"/>
      <c r="E961" s="1" t="n"/>
      <c r="F961" s="1" t="n"/>
      <c r="G961" s="1" t="n"/>
      <c r="H961" s="1" t="n"/>
      <c r="I961" s="1" t="n"/>
      <c r="J961" s="1" t="n"/>
    </row>
    <row r="962" ht="15.75" customHeight="1" s="311">
      <c r="A962" s="1" t="n"/>
      <c r="B962" s="1" t="n"/>
      <c r="C962" s="1" t="n"/>
      <c r="D962" s="1" t="n"/>
      <c r="E962" s="1" t="n"/>
      <c r="F962" s="1" t="n"/>
      <c r="G962" s="1" t="n"/>
      <c r="H962" s="1" t="n"/>
      <c r="I962" s="1" t="n"/>
      <c r="J962" s="1" t="n"/>
    </row>
    <row r="963" ht="15.75" customHeight="1" s="311">
      <c r="A963" s="1" t="n"/>
      <c r="B963" s="1" t="n"/>
      <c r="C963" s="1" t="n"/>
      <c r="D963" s="1" t="n"/>
      <c r="E963" s="1" t="n"/>
      <c r="F963" s="1" t="n"/>
      <c r="G963" s="1" t="n"/>
      <c r="H963" s="1" t="n"/>
      <c r="I963" s="1" t="n"/>
      <c r="J963" s="1" t="n"/>
    </row>
    <row r="964" ht="15.75" customHeight="1" s="311">
      <c r="A964" s="1" t="n"/>
      <c r="B964" s="1" t="n"/>
      <c r="C964" s="1" t="n"/>
      <c r="D964" s="1" t="n"/>
      <c r="E964" s="1" t="n"/>
      <c r="F964" s="1" t="n"/>
      <c r="G964" s="1" t="n"/>
      <c r="H964" s="1" t="n"/>
      <c r="I964" s="1" t="n"/>
      <c r="J964" s="1" t="n"/>
    </row>
    <row r="965" ht="15.75" customHeight="1" s="311">
      <c r="A965" s="1" t="n"/>
      <c r="B965" s="1" t="n"/>
      <c r="C965" s="1" t="n"/>
      <c r="D965" s="1" t="n"/>
      <c r="E965" s="1" t="n"/>
      <c r="F965" s="1" t="n"/>
      <c r="G965" s="1" t="n"/>
      <c r="H965" s="1" t="n"/>
      <c r="I965" s="1" t="n"/>
      <c r="J965" s="1" t="n"/>
    </row>
    <row r="966" ht="15.75" customHeight="1" s="311">
      <c r="A966" s="1" t="n"/>
      <c r="B966" s="1" t="n"/>
      <c r="C966" s="1" t="n"/>
      <c r="D966" s="1" t="n"/>
      <c r="E966" s="1" t="n"/>
      <c r="F966" s="1" t="n"/>
      <c r="G966" s="1" t="n"/>
      <c r="H966" s="1" t="n"/>
      <c r="I966" s="1" t="n"/>
      <c r="J966" s="1" t="n"/>
    </row>
    <row r="967" ht="15.75" customHeight="1" s="311">
      <c r="A967" s="1" t="n"/>
      <c r="B967" s="1" t="n"/>
      <c r="C967" s="1" t="n"/>
      <c r="D967" s="1" t="n"/>
      <c r="E967" s="1" t="n"/>
      <c r="F967" s="1" t="n"/>
      <c r="G967" s="1" t="n"/>
      <c r="H967" s="1" t="n"/>
      <c r="I967" s="1" t="n"/>
      <c r="J967" s="1" t="n"/>
    </row>
    <row r="968" ht="15.75" customHeight="1" s="311">
      <c r="A968" s="1" t="n"/>
      <c r="B968" s="1" t="n"/>
      <c r="C968" s="1" t="n"/>
      <c r="D968" s="1" t="n"/>
      <c r="E968" s="1" t="n"/>
      <c r="F968" s="1" t="n"/>
      <c r="G968" s="1" t="n"/>
      <c r="H968" s="1" t="n"/>
      <c r="I968" s="1" t="n"/>
      <c r="J968" s="1" t="n"/>
    </row>
    <row r="969" ht="15.75" customHeight="1" s="311">
      <c r="A969" s="1" t="n"/>
      <c r="B969" s="1" t="n"/>
      <c r="C969" s="1" t="n"/>
      <c r="D969" s="1" t="n"/>
      <c r="E969" s="1" t="n"/>
      <c r="F969" s="1" t="n"/>
      <c r="G969" s="1" t="n"/>
      <c r="H969" s="1" t="n"/>
      <c r="I969" s="1" t="n"/>
      <c r="J969" s="1" t="n"/>
    </row>
    <row r="970" ht="15.75" customHeight="1" s="311">
      <c r="A970" s="1" t="n"/>
      <c r="B970" s="1" t="n"/>
      <c r="C970" s="1" t="n"/>
      <c r="D970" s="1" t="n"/>
      <c r="E970" s="1" t="n"/>
      <c r="F970" s="1" t="n"/>
      <c r="G970" s="1" t="n"/>
      <c r="H970" s="1" t="n"/>
      <c r="I970" s="1" t="n"/>
      <c r="J970" s="1" t="n"/>
    </row>
    <row r="971" ht="15.75" customHeight="1" s="311">
      <c r="A971" s="1" t="n"/>
      <c r="B971" s="1" t="n"/>
      <c r="C971" s="1" t="n"/>
      <c r="D971" s="1" t="n"/>
      <c r="E971" s="1" t="n"/>
      <c r="F971" s="1" t="n"/>
      <c r="G971" s="1" t="n"/>
      <c r="H971" s="1" t="n"/>
      <c r="I971" s="1" t="n"/>
      <c r="J971" s="1" t="n"/>
    </row>
    <row r="972" ht="15.75" customHeight="1" s="311">
      <c r="A972" s="1" t="n"/>
      <c r="B972" s="1" t="n"/>
      <c r="C972" s="1" t="n"/>
      <c r="D972" s="1" t="n"/>
      <c r="E972" s="1" t="n"/>
      <c r="F972" s="1" t="n"/>
      <c r="G972" s="1" t="n"/>
      <c r="H972" s="1" t="n"/>
      <c r="I972" s="1" t="n"/>
      <c r="J972" s="1" t="n"/>
    </row>
    <row r="973" ht="15.75" customHeight="1" s="311">
      <c r="A973" s="1" t="n"/>
      <c r="B973" s="1" t="n"/>
      <c r="C973" s="1" t="n"/>
      <c r="D973" s="1" t="n"/>
      <c r="E973" s="1" t="n"/>
      <c r="F973" s="1" t="n"/>
      <c r="G973" s="1" t="n"/>
      <c r="H973" s="1" t="n"/>
      <c r="I973" s="1" t="n"/>
      <c r="J973" s="1" t="n"/>
    </row>
    <row r="974" ht="15.75" customHeight="1" s="311">
      <c r="A974" s="1" t="n"/>
      <c r="B974" s="1" t="n"/>
      <c r="C974" s="1" t="n"/>
      <c r="D974" s="1" t="n"/>
      <c r="E974" s="1" t="n"/>
      <c r="F974" s="1" t="n"/>
      <c r="G974" s="1" t="n"/>
      <c r="H974" s="1" t="n"/>
      <c r="I974" s="1" t="n"/>
      <c r="J974" s="1" t="n"/>
    </row>
    <row r="975" ht="15.75" customHeight="1" s="311">
      <c r="A975" s="1" t="n"/>
      <c r="B975" s="1" t="n"/>
      <c r="C975" s="1" t="n"/>
      <c r="D975" s="1" t="n"/>
      <c r="E975" s="1" t="n"/>
      <c r="F975" s="1" t="n"/>
      <c r="G975" s="1" t="n"/>
      <c r="H975" s="1" t="n"/>
      <c r="I975" s="1" t="n"/>
      <c r="J975" s="1" t="n"/>
    </row>
    <row r="976" ht="15.75" customHeight="1" s="311">
      <c r="A976" s="1" t="n"/>
      <c r="B976" s="1" t="n"/>
      <c r="C976" s="1" t="n"/>
      <c r="D976" s="1" t="n"/>
      <c r="E976" s="1" t="n"/>
      <c r="F976" s="1" t="n"/>
      <c r="G976" s="1" t="n"/>
      <c r="H976" s="1" t="n"/>
      <c r="I976" s="1" t="n"/>
      <c r="J976" s="1" t="n"/>
    </row>
    <row r="977" ht="15.75" customHeight="1" s="311">
      <c r="A977" s="1" t="n"/>
      <c r="B977" s="1" t="n"/>
      <c r="C977" s="1" t="n"/>
      <c r="D977" s="1" t="n"/>
      <c r="E977" s="1" t="n"/>
      <c r="F977" s="1" t="n"/>
      <c r="G977" s="1" t="n"/>
      <c r="H977" s="1" t="n"/>
      <c r="I977" s="1" t="n"/>
      <c r="J977" s="1" t="n"/>
    </row>
    <row r="978" ht="15.75" customHeight="1" s="311">
      <c r="A978" s="1" t="n"/>
      <c r="B978" s="1" t="n"/>
      <c r="C978" s="1" t="n"/>
      <c r="D978" s="1" t="n"/>
      <c r="E978" s="1" t="n"/>
      <c r="F978" s="1" t="n"/>
      <c r="G978" s="1" t="n"/>
      <c r="H978" s="1" t="n"/>
      <c r="I978" s="1" t="n"/>
      <c r="J978" s="1" t="n"/>
    </row>
    <row r="979" ht="15.75" customHeight="1" s="311">
      <c r="A979" s="1" t="n"/>
      <c r="B979" s="1" t="n"/>
      <c r="C979" s="1" t="n"/>
      <c r="D979" s="1" t="n"/>
      <c r="E979" s="1" t="n"/>
      <c r="F979" s="1" t="n"/>
      <c r="G979" s="1" t="n"/>
      <c r="H979" s="1" t="n"/>
      <c r="I979" s="1" t="n"/>
      <c r="J979" s="1" t="n"/>
    </row>
    <row r="980" ht="15.75" customHeight="1" s="311">
      <c r="A980" s="1" t="n"/>
      <c r="B980" s="1" t="n"/>
      <c r="C980" s="1" t="n"/>
      <c r="D980" s="1" t="n"/>
      <c r="E980" s="1" t="n"/>
      <c r="F980" s="1" t="n"/>
      <c r="G980" s="1" t="n"/>
      <c r="H980" s="1" t="n"/>
      <c r="I980" s="1" t="n"/>
      <c r="J980" s="1" t="n"/>
    </row>
    <row r="981" ht="15.75" customHeight="1" s="311">
      <c r="A981" s="1" t="n"/>
      <c r="B981" s="1" t="n"/>
      <c r="C981" s="1" t="n"/>
      <c r="D981" s="1" t="n"/>
      <c r="E981" s="1" t="n"/>
      <c r="F981" s="1" t="n"/>
      <c r="G981" s="1" t="n"/>
      <c r="H981" s="1" t="n"/>
      <c r="I981" s="1" t="n"/>
      <c r="J981" s="1" t="n"/>
    </row>
    <row r="982" ht="15.75" customHeight="1" s="311">
      <c r="A982" s="1" t="n"/>
      <c r="B982" s="1" t="n"/>
      <c r="C982" s="1" t="n"/>
      <c r="D982" s="1" t="n"/>
      <c r="E982" s="1" t="n"/>
      <c r="F982" s="1" t="n"/>
      <c r="G982" s="1" t="n"/>
      <c r="H982" s="1" t="n"/>
      <c r="I982" s="1" t="n"/>
      <c r="J982" s="1" t="n"/>
    </row>
    <row r="983" ht="15.75" customHeight="1" s="311">
      <c r="A983" s="1" t="n"/>
      <c r="B983" s="1" t="n"/>
      <c r="C983" s="1" t="n"/>
      <c r="D983" s="1" t="n"/>
      <c r="E983" s="1" t="n"/>
      <c r="F983" s="1" t="n"/>
      <c r="G983" s="1" t="n"/>
      <c r="H983" s="1" t="n"/>
      <c r="I983" s="1" t="n"/>
      <c r="J983" s="1" t="n"/>
    </row>
    <row r="984" ht="15.75" customHeight="1" s="311">
      <c r="A984" s="1" t="n"/>
      <c r="B984" s="1" t="n"/>
      <c r="C984" s="1" t="n"/>
      <c r="D984" s="1" t="n"/>
      <c r="E984" s="1" t="n"/>
      <c r="F984" s="1" t="n"/>
      <c r="G984" s="1" t="n"/>
      <c r="H984" s="1" t="n"/>
      <c r="I984" s="1" t="n"/>
      <c r="J984" s="1" t="n"/>
    </row>
    <row r="985" ht="15.75" customHeight="1" s="311">
      <c r="A985" s="1" t="n"/>
      <c r="B985" s="1" t="n"/>
      <c r="C985" s="1" t="n"/>
      <c r="D985" s="1" t="n"/>
      <c r="E985" s="1" t="n"/>
      <c r="F985" s="1" t="n"/>
      <c r="G985" s="1" t="n"/>
      <c r="H985" s="1" t="n"/>
      <c r="I985" s="1" t="n"/>
      <c r="J985" s="1" t="n"/>
    </row>
    <row r="986" ht="15.75" customHeight="1" s="311">
      <c r="A986" s="1" t="n"/>
      <c r="B986" s="1" t="n"/>
      <c r="C986" s="1" t="n"/>
      <c r="D986" s="1" t="n"/>
      <c r="E986" s="1" t="n"/>
      <c r="F986" s="1" t="n"/>
      <c r="G986" s="1" t="n"/>
      <c r="H986" s="1" t="n"/>
      <c r="I986" s="1" t="n"/>
      <c r="J986" s="1" t="n"/>
    </row>
    <row r="987" ht="15.75" customHeight="1" s="311">
      <c r="A987" s="1" t="n"/>
      <c r="B987" s="1" t="n"/>
      <c r="C987" s="1" t="n"/>
      <c r="D987" s="1" t="n"/>
      <c r="E987" s="1" t="n"/>
      <c r="F987" s="1" t="n"/>
      <c r="G987" s="1" t="n"/>
      <c r="H987" s="1" t="n"/>
      <c r="I987" s="1" t="n"/>
      <c r="J987" s="1" t="n"/>
    </row>
    <row r="988" ht="15.75" customHeight="1" s="311">
      <c r="A988" s="1" t="n"/>
      <c r="B988" s="1" t="n"/>
      <c r="C988" s="1" t="n"/>
      <c r="D988" s="1" t="n"/>
      <c r="E988" s="1" t="n"/>
      <c r="F988" s="1" t="n"/>
      <c r="G988" s="1" t="n"/>
      <c r="H988" s="1" t="n"/>
      <c r="I988" s="1" t="n"/>
      <c r="J988" s="1" t="n"/>
    </row>
    <row r="989" ht="15.75" customHeight="1" s="311">
      <c r="A989" s="1" t="n"/>
      <c r="B989" s="1" t="n"/>
      <c r="C989" s="1" t="n"/>
      <c r="D989" s="1" t="n"/>
      <c r="E989" s="1" t="n"/>
      <c r="F989" s="1" t="n"/>
      <c r="G989" s="1" t="n"/>
      <c r="H989" s="1" t="n"/>
      <c r="I989" s="1" t="n"/>
      <c r="J989" s="1" t="n"/>
    </row>
    <row r="990" ht="15.75" customHeight="1" s="311">
      <c r="A990" s="1" t="n"/>
      <c r="B990" s="1" t="n"/>
      <c r="C990" s="1" t="n"/>
      <c r="D990" s="1" t="n"/>
      <c r="E990" s="1" t="n"/>
      <c r="F990" s="1" t="n"/>
      <c r="G990" s="1" t="n"/>
      <c r="H990" s="1" t="n"/>
      <c r="I990" s="1" t="n"/>
      <c r="J990" s="1" t="n"/>
    </row>
    <row r="991" ht="15.75" customHeight="1" s="311">
      <c r="A991" s="1" t="n"/>
      <c r="B991" s="1" t="n"/>
      <c r="C991" s="1" t="n"/>
      <c r="D991" s="1" t="n"/>
      <c r="E991" s="1" t="n"/>
      <c r="F991" s="1" t="n"/>
      <c r="G991" s="1" t="n"/>
      <c r="H991" s="1" t="n"/>
      <c r="I991" s="1" t="n"/>
      <c r="J991" s="1" t="n"/>
    </row>
    <row r="992" ht="15.75" customHeight="1" s="311">
      <c r="A992" s="1" t="n"/>
      <c r="B992" s="1" t="n"/>
      <c r="C992" s="1" t="n"/>
      <c r="D992" s="1" t="n"/>
      <c r="E992" s="1" t="n"/>
      <c r="F992" s="1" t="n"/>
      <c r="G992" s="1" t="n"/>
      <c r="H992" s="1" t="n"/>
      <c r="I992" s="1" t="n"/>
      <c r="J992" s="1" t="n"/>
    </row>
    <row r="993" ht="15.75" customHeight="1" s="311">
      <c r="A993" s="1" t="n"/>
      <c r="B993" s="1" t="n"/>
      <c r="C993" s="1" t="n"/>
      <c r="D993" s="1" t="n"/>
      <c r="E993" s="1" t="n"/>
      <c r="F993" s="1" t="n"/>
      <c r="G993" s="1" t="n"/>
      <c r="H993" s="1" t="n"/>
      <c r="I993" s="1" t="n"/>
      <c r="J993" s="1" t="n"/>
    </row>
    <row r="994" ht="15.75" customHeight="1" s="311">
      <c r="A994" s="1" t="n"/>
      <c r="B994" s="1" t="n"/>
      <c r="C994" s="1" t="n"/>
      <c r="D994" s="1" t="n"/>
      <c r="E994" s="1" t="n"/>
      <c r="F994" s="1" t="n"/>
      <c r="G994" s="1" t="n"/>
      <c r="H994" s="1" t="n"/>
      <c r="I994" s="1" t="n"/>
      <c r="J994" s="1" t="n"/>
    </row>
    <row r="995" ht="15.75" customHeight="1" s="311">
      <c r="A995" s="1" t="n"/>
      <c r="B995" s="1" t="n"/>
      <c r="C995" s="1" t="n"/>
      <c r="D995" s="1" t="n"/>
      <c r="E995" s="1" t="n"/>
      <c r="F995" s="1" t="n"/>
      <c r="G995" s="1" t="n"/>
      <c r="H995" s="1" t="n"/>
      <c r="I995" s="1" t="n"/>
      <c r="J995" s="1" t="n"/>
    </row>
    <row r="996" ht="15.75" customHeight="1" s="311">
      <c r="A996" s="1" t="n"/>
      <c r="B996" s="1" t="n"/>
      <c r="C996" s="1" t="n"/>
      <c r="D996" s="1" t="n"/>
      <c r="E996" s="1" t="n"/>
      <c r="F996" s="1" t="n"/>
      <c r="G996" s="1" t="n"/>
      <c r="H996" s="1" t="n"/>
      <c r="I996" s="1" t="n"/>
      <c r="J996" s="1" t="n"/>
    </row>
    <row r="997" ht="15.75" customHeight="1" s="311">
      <c r="A997" s="1" t="n"/>
      <c r="B997" s="1" t="n"/>
      <c r="C997" s="1" t="n"/>
      <c r="D997" s="1" t="n"/>
      <c r="E997" s="1" t="n"/>
      <c r="F997" s="1" t="n"/>
      <c r="G997" s="1" t="n"/>
      <c r="H997" s="1" t="n"/>
      <c r="I997" s="1" t="n"/>
      <c r="J997" s="1" t="n"/>
    </row>
    <row r="998" ht="15.75" customHeight="1" s="311">
      <c r="A998" s="1" t="n"/>
      <c r="B998" s="1" t="n"/>
      <c r="C998" s="1" t="n"/>
      <c r="D998" s="1" t="n"/>
      <c r="E998" s="1" t="n"/>
      <c r="F998" s="1" t="n"/>
      <c r="G998" s="1" t="n"/>
      <c r="H998" s="1" t="n"/>
      <c r="I998" s="1" t="n"/>
      <c r="J998" s="1" t="n"/>
    </row>
    <row r="999" ht="15.75" customHeight="1" s="311">
      <c r="A999" s="1" t="n"/>
      <c r="B999" s="1" t="n"/>
      <c r="C999" s="1" t="n"/>
      <c r="D999" s="1" t="n"/>
      <c r="E999" s="1" t="n"/>
      <c r="F999" s="1" t="n"/>
      <c r="G999" s="1" t="n"/>
      <c r="H999" s="1" t="n"/>
      <c r="I999" s="1" t="n"/>
      <c r="J999" s="1" t="n"/>
    </row>
    <row r="1000" ht="15.75" customHeight="1" s="311">
      <c r="A1000" s="1" t="n"/>
      <c r="B1000" s="1" t="n"/>
      <c r="C1000" s="1" t="n"/>
      <c r="D1000" s="1" t="n"/>
      <c r="E1000" s="1" t="n"/>
      <c r="F1000" s="1" t="n"/>
      <c r="G1000" s="1" t="n"/>
      <c r="H1000" s="1" t="n"/>
      <c r="I1000" s="1" t="n"/>
      <c r="J1000" s="1" t="n"/>
    </row>
  </sheetData>
  <mergeCells count="10">
    <mergeCell ref="B119:I119"/>
    <mergeCell ref="B130:I130"/>
    <mergeCell ref="C74:E74"/>
    <mergeCell ref="B152:I152"/>
    <mergeCell ref="G16:H16"/>
    <mergeCell ref="C44:G44"/>
    <mergeCell ref="D158:I158"/>
    <mergeCell ref="E4:G4"/>
    <mergeCell ref="B2:E2"/>
    <mergeCell ref="I127:J127"/>
  </mergeCells>
  <conditionalFormatting sqref="E41">
    <cfRule type="cellIs" priority="1" operator="lessThan" dxfId="3">
      <formula>0</formula>
    </cfRule>
  </conditionalFormatting>
  <conditionalFormatting sqref="E42">
    <cfRule type="cellIs" priority="2" operator="notEqual" dxfId="3">
      <formula>0</formula>
    </cfRule>
  </conditionalFormatting>
  <conditionalFormatting sqref="F105:F114">
    <cfRule type="cellIs" priority="3" operator="lessThan" dxfId="3">
      <formula>0</formula>
    </cfRule>
  </conditionalFormatting>
  <dataValidations count="3">
    <dataValidation sqref="D80:D88" showDropDown="0" showInputMessage="0" showErrorMessage="0" allowBlank="1" type="list">
      <formula1>Disponibilidad!$M$6:$M$9</formula1>
    </dataValidation>
    <dataValidation sqref="G80:G88" showDropDown="0" showInputMessage="0" showErrorMessage="0" allowBlank="1" type="list">
      <formula1>"Inmueble,Bien duradero,Otro activo"</formula1>
    </dataValidation>
    <dataValidation sqref="H80:H88 H105:H114" showDropDown="0" showInputMessage="0" showErrorMessage="0" allowBlank="1" type="list">
      <formula1>"Tú,Hogar"</formula1>
    </dataValidation>
  </dataValidations>
  <pageMargins left="0.75" right="0.75" top="1" bottom="1" header="0" footer="0"/>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Z1000"/>
  <sheetViews>
    <sheetView showGridLines="0" workbookViewId="0">
      <pane xSplit="1" ySplit="7" topLeftCell="B8" activePane="bottomRight" state="frozen"/>
      <selection pane="topRight" activeCell="B1" sqref="B1"/>
      <selection pane="bottomLeft" activeCell="A8" sqref="A8"/>
      <selection pane="bottomRight" activeCell="B8" sqref="B8"/>
    </sheetView>
  </sheetViews>
  <sheetFormatPr baseColWidth="8" defaultColWidth="14.43" defaultRowHeight="15" customHeight="1"/>
  <cols>
    <col width="2.14" customWidth="1" style="311" min="1" max="1"/>
    <col width="30" customWidth="1" style="311" min="2" max="2"/>
    <col width="15" customWidth="1" style="311" min="3" max="5"/>
    <col width="11" customWidth="1" style="311" min="6" max="6"/>
    <col width="17.86" customWidth="1" style="311" min="7" max="7"/>
    <col width="16" customWidth="1" style="311" min="8" max="9"/>
    <col width="44" customWidth="1" style="311" min="10" max="10"/>
  </cols>
  <sheetData>
    <row r="1" ht="30" customHeight="1" s="311">
      <c r="A1" s="1" t="n"/>
      <c r="B1" s="2" t="inlineStr">
        <is>
          <t>PRESUPUESTO CONTRA REALIDAD</t>
        </is>
      </c>
      <c r="K1" s="1" t="n"/>
      <c r="L1" s="1" t="n"/>
      <c r="M1" s="1" t="n"/>
      <c r="N1" s="1" t="n"/>
      <c r="O1" s="1" t="n"/>
      <c r="P1" s="1" t="n"/>
      <c r="Q1" s="1" t="n"/>
      <c r="R1" s="1" t="n"/>
      <c r="S1" s="1" t="n"/>
      <c r="T1" s="1" t="n"/>
      <c r="U1" s="1" t="n"/>
      <c r="V1" s="1" t="n"/>
      <c r="W1" s="1" t="n"/>
      <c r="X1" s="1" t="n"/>
      <c r="Y1" s="1" t="n"/>
      <c r="Z1" s="1" t="n"/>
    </row>
    <row r="2" ht="27.75" customHeight="1" s="311">
      <c r="A2" s="1" t="n"/>
      <c r="B2" s="3" t="inlineStr">
        <is>
          <t>Hasta ahora el presupuesto vivía en la hoja Escenarios y el gasto real en la hoja Caja, sin que nadie los enfrentara. Aquí se ven juntos: lo que dijiste que ibas a gastar y lo que gastaste de verdad, categoría a categoría. El mes se elige en el Panel. La columna "Real" se llena sola con los apuntes de Caja, así que solo funciona si registras los movimientos.</t>
        </is>
      </c>
      <c r="K2" s="1" t="n"/>
      <c r="L2" s="1" t="n"/>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4" t="inlineStr">
        <is>
          <t>Mes analizado</t>
        </is>
      </c>
      <c r="C4" s="5">
        <f>Panel!$I$4</f>
        <v/>
      </c>
      <c r="D4" s="194" t="inlineStr">
        <is>
          <t>Apuntes registrados ese mes</t>
        </is>
      </c>
      <c r="E4" s="395" t="n"/>
      <c r="F4" s="8">
        <f>COUNTIFS(Caja!$K$6:$K$505,$C$4)</f>
        <v/>
      </c>
      <c r="G4" s="9">
        <f>IF($F$4=0,"🔴 No hay ningún apunte de este mes en la hoja Caja: la columna Real saldrá a cero.",IF($F$4&lt;10,"🟡 Solo "&amp;$F$4&amp;" apuntes: el mes está a medio registrar y la comparación engaña.","✅ Mes con datos suficientes para comparar."))</f>
        <v/>
      </c>
      <c r="K4" s="1" t="n"/>
      <c r="L4" s="1" t="n"/>
      <c r="M4" s="1" t="n"/>
      <c r="N4" s="1" t="n"/>
      <c r="O4" s="1" t="n"/>
      <c r="P4" s="1" t="n"/>
      <c r="Q4" s="1" t="n"/>
      <c r="R4" s="1" t="n"/>
      <c r="S4" s="1" t="n"/>
      <c r="T4" s="1" t="n"/>
      <c r="U4" s="1" t="n"/>
      <c r="V4" s="1" t="n"/>
      <c r="W4" s="1" t="n"/>
      <c r="X4" s="1" t="n"/>
      <c r="Y4" s="1" t="n"/>
      <c r="Z4" s="1"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4" customHeight="1" s="311">
      <c r="A6" s="1" t="n"/>
      <c r="B6" s="10" t="inlineStr">
        <is>
          <t>A.  INGRESOS</t>
        </is>
      </c>
      <c r="K6" s="1" t="n"/>
      <c r="L6" s="1" t="n"/>
      <c r="M6" s="1" t="n"/>
      <c r="N6" s="1" t="n"/>
      <c r="O6" s="1" t="n"/>
      <c r="P6" s="1" t="n"/>
      <c r="Q6" s="1" t="n"/>
      <c r="R6" s="1" t="n"/>
      <c r="S6" s="1" t="n"/>
      <c r="T6" s="1" t="n"/>
      <c r="U6" s="1" t="n"/>
      <c r="V6" s="1" t="n"/>
      <c r="W6" s="1" t="n"/>
      <c r="X6" s="1" t="n"/>
      <c r="Y6" s="1" t="n"/>
      <c r="Z6" s="1" t="n"/>
    </row>
    <row r="7" ht="30" customHeight="1" s="311">
      <c r="A7" s="1" t="n"/>
      <c r="B7" s="11" t="inlineStr">
        <is>
          <t>Categoría</t>
        </is>
      </c>
      <c r="C7" s="11" t="inlineStr">
        <is>
          <t>Presupuesto
(€/mes)</t>
        </is>
      </c>
      <c r="D7" s="11" t="inlineStr">
        <is>
          <t>REAL del mes
(€)</t>
        </is>
      </c>
      <c r="E7" s="11" t="inlineStr">
        <is>
          <t>Desviación
(€)</t>
        </is>
      </c>
      <c r="F7" s="11" t="inlineStr">
        <is>
          <t>% s/ppto</t>
        </is>
      </c>
      <c r="G7" s="11" t="inlineStr">
        <is>
          <t>Estado</t>
        </is>
      </c>
      <c r="H7" s="11" t="inlineStr">
        <is>
          <t>Nº de apuntes</t>
        </is>
      </c>
      <c r="I7" s="11" t="inlineStr">
        <is>
          <t>Acumulado
del año (€)</t>
        </is>
      </c>
      <c r="J7" s="11" t="inlineStr">
        <is>
          <t>Notas</t>
        </is>
      </c>
      <c r="K7" s="1" t="n"/>
      <c r="L7" s="1" t="n"/>
      <c r="M7" s="1" t="n"/>
      <c r="N7" s="1" t="n"/>
      <c r="O7" s="1" t="n"/>
      <c r="P7" s="1" t="n"/>
      <c r="Q7" s="1" t="n"/>
      <c r="R7" s="1" t="n"/>
      <c r="S7" s="1" t="n"/>
      <c r="T7" s="1" t="n"/>
      <c r="U7" s="1" t="n"/>
      <c r="V7" s="1" t="n"/>
      <c r="W7" s="1" t="n"/>
      <c r="X7" s="1" t="n"/>
      <c r="Y7" s="1" t="n"/>
      <c r="Z7" s="1" t="n"/>
    </row>
    <row r="8" ht="18" customHeight="1" s="311">
      <c r="A8" s="1" t="n"/>
      <c r="B8" s="4" t="inlineStr">
        <is>
          <t>Nómina y salarios</t>
        </is>
      </c>
      <c r="C8" s="12" t="n">
        <v>852.5</v>
      </c>
      <c r="D8" s="13">
        <f>SUMIFS(Caja!$H$6:$H$505,Caja!$K$6:$K$505,$C$4,Caja!$C$6:$C$505,"Cobro",Caja!$E$6:$E$505,$B8)</f>
        <v/>
      </c>
      <c r="E8" s="13">
        <f>N($D8)-N($C8)</f>
        <v/>
      </c>
      <c r="F8" s="14">
        <f>IFERROR($D8/$C8,"")</f>
        <v/>
      </c>
      <c r="G8" s="15">
        <f>IF(N($C8)=0,IF(N($D8)=0,"—","✅ Extra"),IF($D8&gt;=$C8,"✅ Cumplido",IF($D8&gt;=$C8*0.9,"🟡 Casi","🔴 Por debajo")))</f>
        <v/>
      </c>
      <c r="H8" s="16">
        <f>COUNTIFS(Caja!$K$6:$K$505,$C$4,Caja!$C$6:$C$505,"Cobro",Caja!$E$6:$E$505,$B8)</f>
        <v/>
      </c>
      <c r="I8" s="13">
        <f>SUMPRODUCT((LEFT(Caja!$K$6:$K$505,4)=TEXT(YEAR(TODAY()),"0"))*(Caja!$C$6:$C$505="Cobro")*(Caja!$E$6:$E$505=$B8)*Caja!$H$6:$H$505)</f>
        <v/>
      </c>
      <c r="J8" s="17" t="n"/>
      <c r="K8" s="1" t="n"/>
      <c r="L8" s="1" t="n"/>
      <c r="M8" s="1" t="n"/>
      <c r="N8" s="1" t="n"/>
      <c r="O8" s="1" t="n"/>
      <c r="P8" s="1" t="n"/>
      <c r="Q8" s="1" t="n"/>
      <c r="R8" s="1" t="n"/>
      <c r="S8" s="1" t="n"/>
      <c r="T8" s="1" t="n"/>
      <c r="U8" s="1" t="n"/>
      <c r="V8" s="1" t="n"/>
      <c r="W8" s="1" t="n"/>
      <c r="X8" s="1" t="n"/>
      <c r="Y8" s="1" t="n"/>
      <c r="Z8" s="1" t="n"/>
    </row>
    <row r="9" ht="18" customHeight="1" s="311">
      <c r="A9" s="1" t="n"/>
      <c r="B9" s="4" t="inlineStr">
        <is>
          <t>Otros ingresos</t>
        </is>
      </c>
      <c r="C9" s="12" t="n">
        <v>339</v>
      </c>
      <c r="D9" s="13">
        <f>SUMIFS(Caja!$H$6:$H$505,Caja!$K$6:$K$505,$C$4,Caja!$C$6:$C$505,"Cobro",Caja!$E$6:$E$505,$B9)</f>
        <v/>
      </c>
      <c r="E9" s="13">
        <f>N($D9)-N($C9)</f>
        <v/>
      </c>
      <c r="F9" s="14">
        <f>IFERROR($D9/$C9,"")</f>
        <v/>
      </c>
      <c r="G9" s="15">
        <f>IF(N($C9)=0,IF(N($D9)=0,"—","✅ Extra"),IF($D9&gt;=$C9,"✅ Cumplido",IF($D9&gt;=$C9*0.9,"🟡 Casi","🔴 Por debajo")))</f>
        <v/>
      </c>
      <c r="H9" s="16">
        <f>COUNTIFS(Caja!$K$6:$K$505,$C$4,Caja!$C$6:$C$505,"Cobro",Caja!$E$6:$E$505,$B9)</f>
        <v/>
      </c>
      <c r="I9" s="13">
        <f>SUMPRODUCT((LEFT(Caja!$K$6:$K$505,4)=TEXT(YEAR(TODAY()),"0"))*(Caja!$C$6:$C$505="Cobro")*(Caja!$E$6:$E$505=$B9)*Caja!$H$6:$H$505)</f>
        <v/>
      </c>
      <c r="J9" s="17" t="n"/>
      <c r="K9" s="1" t="n"/>
      <c r="L9" s="1" t="n"/>
      <c r="M9" s="1" t="n"/>
      <c r="N9" s="1" t="n"/>
      <c r="O9" s="1" t="n"/>
      <c r="P9" s="1" t="n"/>
      <c r="Q9" s="1" t="n"/>
      <c r="R9" s="1" t="n"/>
      <c r="S9" s="1" t="n"/>
      <c r="T9" s="1" t="n"/>
      <c r="U9" s="1" t="n"/>
      <c r="V9" s="1" t="n"/>
      <c r="W9" s="1" t="n"/>
      <c r="X9" s="1" t="n"/>
      <c r="Y9" s="1" t="n"/>
      <c r="Z9" s="1" t="n"/>
    </row>
    <row r="10" ht="18" customHeight="1" s="311">
      <c r="A10" s="1" t="n"/>
      <c r="B10" s="4" t="inlineStr">
        <is>
          <t>Intereses y dividendos</t>
        </is>
      </c>
      <c r="C10" s="12" t="n">
        <v>0</v>
      </c>
      <c r="D10" s="13">
        <f>SUMIFS(Caja!$H$6:$H$505,Caja!$K$6:$K$505,$C$4,Caja!$C$6:$C$505,"Cobro",Caja!$E$6:$E$505,$B10)</f>
        <v/>
      </c>
      <c r="E10" s="13">
        <f>N($D10)-N($C10)</f>
        <v/>
      </c>
      <c r="F10" s="14">
        <f>IFERROR($D10/$C10,"")</f>
        <v/>
      </c>
      <c r="G10" s="15">
        <f>IF(N($C10)=0,IF(N($D10)=0,"—","✅ Extra"),IF($D10&gt;=$C10,"✅ Cumplido",IF($D10&gt;=$C10*0.9,"🟡 Casi","🔴 Por debajo")))</f>
        <v/>
      </c>
      <c r="H10" s="16">
        <f>COUNTIFS(Caja!$K$6:$K$505,$C$4,Caja!$C$6:$C$505,"Cobro",Caja!$E$6:$E$505,$B10)</f>
        <v/>
      </c>
      <c r="I10" s="13">
        <f>SUMPRODUCT((LEFT(Caja!$K$6:$K$505,4)=TEXT(YEAR(TODAY()),"0"))*(Caja!$C$6:$C$505="Cobro")*(Caja!$E$6:$E$505=$B10)*Caja!$H$6:$H$505)</f>
        <v/>
      </c>
      <c r="J10" s="17" t="n"/>
      <c r="K10" s="1" t="n"/>
      <c r="L10" s="1" t="n"/>
      <c r="M10" s="1" t="n"/>
      <c r="N10" s="1" t="n"/>
      <c r="O10" s="1" t="n"/>
      <c r="P10" s="1" t="n"/>
      <c r="Q10" s="1" t="n"/>
      <c r="R10" s="1" t="n"/>
      <c r="S10" s="1" t="n"/>
      <c r="T10" s="1" t="n"/>
      <c r="U10" s="1" t="n"/>
      <c r="V10" s="1" t="n"/>
      <c r="W10" s="1" t="n"/>
      <c r="X10" s="1" t="n"/>
      <c r="Y10" s="1" t="n"/>
      <c r="Z10" s="1" t="n"/>
    </row>
    <row r="11" ht="18" customHeight="1" s="311">
      <c r="A11" s="1" t="n"/>
      <c r="B11" s="4" t="inlineStr">
        <is>
          <t>Devoluciones y reembolsos</t>
        </is>
      </c>
      <c r="C11" s="12" t="n">
        <v>0</v>
      </c>
      <c r="D11" s="13">
        <f>SUMIFS(Caja!$H$6:$H$505,Caja!$K$6:$K$505,$C$4,Caja!$C$6:$C$505,"Cobro",Caja!$E$6:$E$505,$B11)</f>
        <v/>
      </c>
      <c r="E11" s="13">
        <f>N($D11)-N($C11)</f>
        <v/>
      </c>
      <c r="F11" s="14">
        <f>IFERROR($D11/$C11,"")</f>
        <v/>
      </c>
      <c r="G11" s="15">
        <f>IF(N($C11)=0,IF(N($D11)=0,"—","✅ Extra"),IF($D11&gt;=$C11,"✅ Cumplido",IF($D11&gt;=$C11*0.9,"🟡 Casi","🔴 Por debajo")))</f>
        <v/>
      </c>
      <c r="H11" s="16">
        <f>COUNTIFS(Caja!$K$6:$K$505,$C$4,Caja!$C$6:$C$505,"Cobro",Caja!$E$6:$E$505,$B11)</f>
        <v/>
      </c>
      <c r="I11" s="13">
        <f>SUMPRODUCT((LEFT(Caja!$K$6:$K$505,4)=TEXT(YEAR(TODAY()),"0"))*(Caja!$C$6:$C$505="Cobro")*(Caja!$E$6:$E$505=$B11)*Caja!$H$6:$H$505)</f>
        <v/>
      </c>
      <c r="J11" s="17" t="n"/>
      <c r="K11" s="1" t="n"/>
      <c r="L11" s="1" t="n"/>
      <c r="M11" s="1" t="n"/>
      <c r="N11" s="1" t="n"/>
      <c r="O11" s="1" t="n"/>
      <c r="P11" s="1" t="n"/>
      <c r="Q11" s="1" t="n"/>
      <c r="R11" s="1" t="n"/>
      <c r="S11" s="1" t="n"/>
      <c r="T11" s="1" t="n"/>
      <c r="U11" s="1" t="n"/>
      <c r="V11" s="1" t="n"/>
      <c r="W11" s="1" t="n"/>
      <c r="X11" s="1" t="n"/>
      <c r="Y11" s="1" t="n"/>
      <c r="Z11" s="1" t="n"/>
    </row>
    <row r="12" ht="18" customHeight="1" s="311">
      <c r="A12" s="1" t="n"/>
      <c r="B12" s="4" t="inlineStr">
        <is>
          <t>Regalos recibidos</t>
        </is>
      </c>
      <c r="C12" s="12" t="n">
        <v>0</v>
      </c>
      <c r="D12" s="13">
        <f>SUMIFS(Caja!$H$6:$H$505,Caja!$K$6:$K$505,$C$4,Caja!$C$6:$C$505,"Cobro",Caja!$E$6:$E$505,$B12)</f>
        <v/>
      </c>
      <c r="E12" s="13">
        <f>N($D12)-N($C12)</f>
        <v/>
      </c>
      <c r="F12" s="14">
        <f>IFERROR($D12/$C12,"")</f>
        <v/>
      </c>
      <c r="G12" s="15">
        <f>IF(N($C12)=0,IF(N($D12)=0,"—","✅ Extra"),IF($D12&gt;=$C12,"✅ Cumplido",IF($D12&gt;=$C12*0.9,"🟡 Casi","🔴 Por debajo")))</f>
        <v/>
      </c>
      <c r="H12" s="16">
        <f>COUNTIFS(Caja!$K$6:$K$505,$C$4,Caja!$C$6:$C$505,"Cobro",Caja!$E$6:$E$505,$B12)</f>
        <v/>
      </c>
      <c r="I12" s="13">
        <f>SUMPRODUCT((LEFT(Caja!$K$6:$K$505,4)=TEXT(YEAR(TODAY()),"0"))*(Caja!$C$6:$C$505="Cobro")*(Caja!$E$6:$E$505=$B12)*Caja!$H$6:$H$505)</f>
        <v/>
      </c>
      <c r="J12" s="17" t="n"/>
      <c r="K12" s="1" t="n"/>
      <c r="L12" s="1" t="n"/>
      <c r="M12" s="1" t="n"/>
      <c r="N12" s="1" t="n"/>
      <c r="O12" s="1" t="n"/>
      <c r="P12" s="1" t="n"/>
      <c r="Q12" s="1" t="n"/>
      <c r="R12" s="1" t="n"/>
      <c r="S12" s="1" t="n"/>
      <c r="T12" s="1" t="n"/>
      <c r="U12" s="1" t="n"/>
      <c r="V12" s="1" t="n"/>
      <c r="W12" s="1" t="n"/>
      <c r="X12" s="1" t="n"/>
      <c r="Y12" s="1" t="n"/>
      <c r="Z12" s="1" t="n"/>
    </row>
    <row r="13">
      <c r="A13" s="1" t="n"/>
      <c r="B13" s="45" t="inlineStr">
        <is>
          <t>TOTAL</t>
        </is>
      </c>
      <c r="C13" s="47">
        <f>SUM(C$8:C$12)</f>
        <v/>
      </c>
      <c r="D13" s="47">
        <f>SUM(D$8:D$12)</f>
        <v/>
      </c>
      <c r="E13" s="47">
        <f>SUM(E$8:E$12)</f>
        <v/>
      </c>
      <c r="F13" s="51">
        <f>IFERROR($D13/$C13,"")</f>
        <v/>
      </c>
      <c r="G13" s="53" t="n"/>
      <c r="H13" s="55">
        <f>SUM($H$8:$H$12)</f>
        <v/>
      </c>
      <c r="I13" s="47">
        <f>SUM(I$8:I$12)</f>
        <v/>
      </c>
      <c r="J13" s="53" t="n"/>
      <c r="K13" s="1" t="n"/>
      <c r="L13" s="1" t="n"/>
      <c r="M13" s="1" t="n"/>
      <c r="N13" s="1" t="n"/>
      <c r="O13" s="1" t="n"/>
      <c r="P13" s="1" t="n"/>
      <c r="Q13" s="1" t="n"/>
      <c r="R13" s="1" t="n"/>
      <c r="S13" s="1" t="n"/>
      <c r="T13" s="1" t="n"/>
      <c r="U13" s="1" t="n"/>
      <c r="V13" s="1" t="n"/>
      <c r="W13" s="1" t="n"/>
      <c r="X13" s="1" t="n"/>
      <c r="Y13" s="1" t="n"/>
      <c r="Z13" s="1"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24" customHeight="1" s="311">
      <c r="A15" s="1" t="n"/>
      <c r="B15" s="10" t="inlineStr">
        <is>
          <t>B.  GASTOS</t>
        </is>
      </c>
      <c r="K15" s="1" t="n"/>
      <c r="L15" s="1" t="n"/>
      <c r="M15" s="1" t="n"/>
      <c r="N15" s="1" t="n"/>
      <c r="O15" s="1" t="n"/>
      <c r="P15" s="1" t="n"/>
      <c r="Q15" s="1" t="n"/>
      <c r="R15" s="1" t="n"/>
      <c r="S15" s="1" t="n"/>
      <c r="T15" s="1" t="n"/>
      <c r="U15" s="1" t="n"/>
      <c r="V15" s="1" t="n"/>
      <c r="W15" s="1" t="n"/>
      <c r="X15" s="1" t="n"/>
      <c r="Y15" s="1" t="n"/>
      <c r="Z15" s="1" t="n"/>
    </row>
    <row r="16" ht="30" customHeight="1" s="311">
      <c r="A16" s="1" t="n"/>
      <c r="B16" s="11" t="inlineStr">
        <is>
          <t>Categoría</t>
        </is>
      </c>
      <c r="C16" s="11" t="inlineStr">
        <is>
          <t>Presupuesto
(€/mes)</t>
        </is>
      </c>
      <c r="D16" s="11" t="inlineStr">
        <is>
          <t>REAL del mes
(€)</t>
        </is>
      </c>
      <c r="E16" s="11" t="inlineStr">
        <is>
          <t>Desviación
(€)</t>
        </is>
      </c>
      <c r="F16" s="11" t="inlineStr">
        <is>
          <t>% s/ppto</t>
        </is>
      </c>
      <c r="G16" s="11" t="inlineStr">
        <is>
          <t>Estado</t>
        </is>
      </c>
      <c r="H16" s="11" t="inlineStr">
        <is>
          <t>Nº de apuntes</t>
        </is>
      </c>
      <c r="I16" s="11" t="inlineStr">
        <is>
          <t>Acumulado
del año (€)</t>
        </is>
      </c>
      <c r="J16" s="11" t="inlineStr">
        <is>
          <t>Notas</t>
        </is>
      </c>
      <c r="K16" s="1" t="n"/>
      <c r="L16" s="1" t="n"/>
      <c r="M16" s="1" t="n"/>
      <c r="N16" s="1" t="n"/>
      <c r="O16" s="1" t="n"/>
      <c r="P16" s="1" t="n"/>
      <c r="Q16" s="1" t="n"/>
      <c r="R16" s="1" t="n"/>
      <c r="S16" s="1" t="n"/>
      <c r="T16" s="1" t="n"/>
      <c r="U16" s="1" t="n"/>
      <c r="V16" s="1" t="n"/>
      <c r="W16" s="1" t="n"/>
      <c r="X16" s="1" t="n"/>
      <c r="Y16" s="1" t="n"/>
      <c r="Z16" s="1" t="n"/>
    </row>
    <row r="17" ht="18" customHeight="1" s="311">
      <c r="A17" s="1" t="n"/>
      <c r="B17" s="4" t="inlineStr">
        <is>
          <t>Hipoteca</t>
        </is>
      </c>
      <c r="C17" s="12" t="n">
        <v>431</v>
      </c>
      <c r="D17" s="13">
        <f>SUMIFS(Caja!$H$6:$H$505,Caja!$K$6:$K$505,$C$4,Caja!$C$6:$C$505,"Pago",Caja!$E$6:$E$505,$B17)</f>
        <v/>
      </c>
      <c r="E17" s="13">
        <f>N($D17)-N($C17)</f>
        <v/>
      </c>
      <c r="F17" s="14">
        <f>IFERROR($D17/$C17,"")</f>
        <v/>
      </c>
      <c r="G17" s="15">
        <f>IF(N($C17)=0,IF(N($D17)=0,"—","🟠 Sin presupuesto"),IF($D17&lt;=$C17,"✅ Dentro",IF($D17&lt;=$C17*1.1,"🟡 Ajustado","🔴 Pasado")))</f>
        <v/>
      </c>
      <c r="H17" s="16">
        <f>COUNTIFS(Caja!$K$6:$K$505,$C$4,Caja!$C$6:$C$505,"Pago",Caja!$E$6:$E$505,$B17)</f>
        <v/>
      </c>
      <c r="I17" s="13">
        <f>SUMPRODUCT((LEFT(Caja!$K$6:$K$505,4)=TEXT(YEAR(TODAY()),"0"))*(Caja!$C$6:$C$505="Pago")*(Caja!$E$6:$E$505=$B17)*Caja!$H$6:$H$505)</f>
        <v/>
      </c>
      <c r="J17" s="17" t="n"/>
      <c r="K17" s="1" t="n"/>
      <c r="L17" s="1" t="n"/>
      <c r="M17" s="1" t="n"/>
      <c r="N17" s="1" t="n"/>
      <c r="O17" s="1" t="n"/>
      <c r="P17" s="1" t="n"/>
      <c r="Q17" s="1" t="n"/>
      <c r="R17" s="1" t="n"/>
      <c r="S17" s="1" t="n"/>
      <c r="T17" s="1" t="n"/>
      <c r="U17" s="1" t="n"/>
      <c r="V17" s="1" t="n"/>
      <c r="W17" s="1" t="n"/>
      <c r="X17" s="1" t="n"/>
      <c r="Y17" s="1" t="n"/>
      <c r="Z17" s="1" t="n"/>
    </row>
    <row r="18" ht="18" customHeight="1" s="311">
      <c r="A18" s="1" t="n"/>
      <c r="B18" s="4" t="inlineStr">
        <is>
          <t>Alquiler / habitación</t>
        </is>
      </c>
      <c r="C18" s="12" t="n">
        <v>0</v>
      </c>
      <c r="D18" s="13">
        <f>SUMIFS(Caja!$H$6:$H$505,Caja!$K$6:$K$505,$C$4,Caja!$C$6:$C$505,"Pago",Caja!$E$6:$E$505,$B18)</f>
        <v/>
      </c>
      <c r="E18" s="13">
        <f>N($D18)-N($C18)</f>
        <v/>
      </c>
      <c r="F18" s="14">
        <f>IFERROR($D18/$C18,"")</f>
        <v/>
      </c>
      <c r="G18" s="15">
        <f>IF(N($C18)=0,IF(N($D18)=0,"—","🟠 Sin presupuesto"),IF($D18&lt;=$C18,"✅ Dentro",IF($D18&lt;=$C18*1.1,"🟡 Ajustado","🔴 Pasado")))</f>
        <v/>
      </c>
      <c r="H18" s="16">
        <f>COUNTIFS(Caja!$K$6:$K$505,$C$4,Caja!$C$6:$C$505,"Pago",Caja!$E$6:$E$505,$B18)</f>
        <v/>
      </c>
      <c r="I18" s="13">
        <f>SUMPRODUCT((LEFT(Caja!$K$6:$K$505,4)=TEXT(YEAR(TODAY()),"0"))*(Caja!$C$6:$C$505="Pago")*(Caja!$E$6:$E$505=$B18)*Caja!$H$6:$H$505)</f>
        <v/>
      </c>
      <c r="J18" s="17" t="n"/>
      <c r="K18" s="1" t="n"/>
      <c r="L18" s="1" t="n"/>
      <c r="M18" s="1" t="n"/>
      <c r="N18" s="1" t="n"/>
      <c r="O18" s="1" t="n"/>
      <c r="P18" s="1" t="n"/>
      <c r="Q18" s="1" t="n"/>
      <c r="R18" s="1" t="n"/>
      <c r="S18" s="1" t="n"/>
      <c r="T18" s="1" t="n"/>
      <c r="U18" s="1" t="n"/>
      <c r="V18" s="1" t="n"/>
      <c r="W18" s="1" t="n"/>
      <c r="X18" s="1" t="n"/>
      <c r="Y18" s="1" t="n"/>
      <c r="Z18" s="1" t="n"/>
    </row>
    <row r="19" ht="18" customHeight="1" s="311">
      <c r="A19" s="1" t="n"/>
      <c r="B19" s="4" t="inlineStr">
        <is>
          <t>Agua</t>
        </is>
      </c>
      <c r="C19" s="12" t="n">
        <v>45</v>
      </c>
      <c r="D19" s="13">
        <f>SUMIFS(Caja!$H$6:$H$505,Caja!$K$6:$K$505,$C$4,Caja!$C$6:$C$505,"Pago",Caja!$E$6:$E$505,$B19)</f>
        <v/>
      </c>
      <c r="E19" s="13">
        <f>N($D19)-N($C19)</f>
        <v/>
      </c>
      <c r="F19" s="14">
        <f>IFERROR($D19/$C19,"")</f>
        <v/>
      </c>
      <c r="G19" s="15">
        <f>IF(N($C19)=0,IF(N($D19)=0,"—","🟠 Sin presupuesto"),IF($D19&lt;=$C19,"✅ Dentro",IF($D19&lt;=$C19*1.1,"🟡 Ajustado","🔴 Pasado")))</f>
        <v/>
      </c>
      <c r="H19" s="16">
        <f>COUNTIFS(Caja!$K$6:$K$505,$C$4,Caja!$C$6:$C$505,"Pago",Caja!$E$6:$E$505,$B19)</f>
        <v/>
      </c>
      <c r="I19" s="13">
        <f>SUMPRODUCT((LEFT(Caja!$K$6:$K$505,4)=TEXT(YEAR(TODAY()),"0"))*(Caja!$C$6:$C$505="Pago")*(Caja!$E$6:$E$505=$B19)*Caja!$H$6:$H$505)</f>
        <v/>
      </c>
      <c r="J19" s="17" t="n"/>
      <c r="K19" s="1" t="n"/>
      <c r="L19" s="1" t="n"/>
      <c r="M19" s="1" t="n"/>
      <c r="N19" s="1" t="n"/>
      <c r="O19" s="1" t="n"/>
      <c r="P19" s="1" t="n"/>
      <c r="Q19" s="1" t="n"/>
      <c r="R19" s="1" t="n"/>
      <c r="S19" s="1" t="n"/>
      <c r="T19" s="1" t="n"/>
      <c r="U19" s="1" t="n"/>
      <c r="V19" s="1" t="n"/>
      <c r="W19" s="1" t="n"/>
      <c r="X19" s="1" t="n"/>
      <c r="Y19" s="1" t="n"/>
      <c r="Z19" s="1" t="n"/>
    </row>
    <row r="20" ht="18" customHeight="1" s="311">
      <c r="A20" s="1" t="n"/>
      <c r="B20" s="4" t="inlineStr">
        <is>
          <t>Luz</t>
        </is>
      </c>
      <c r="C20" s="12" t="n">
        <v>42</v>
      </c>
      <c r="D20" s="13">
        <f>SUMIFS(Caja!$H$6:$H$505,Caja!$K$6:$K$505,$C$4,Caja!$C$6:$C$505,"Pago",Caja!$E$6:$E$505,$B20)</f>
        <v/>
      </c>
      <c r="E20" s="13">
        <f>N($D20)-N($C20)</f>
        <v/>
      </c>
      <c r="F20" s="14">
        <f>IFERROR($D20/$C20,"")</f>
        <v/>
      </c>
      <c r="G20" s="15">
        <f>IF(N($C20)=0,IF(N($D20)=0,"—","🟠 Sin presupuesto"),IF($D20&lt;=$C20,"✅ Dentro",IF($D20&lt;=$C20*1.1,"🟡 Ajustado","🔴 Pasado")))</f>
        <v/>
      </c>
      <c r="H20" s="16">
        <f>COUNTIFS(Caja!$K$6:$K$505,$C$4,Caja!$C$6:$C$505,"Pago",Caja!$E$6:$E$505,$B20)</f>
        <v/>
      </c>
      <c r="I20" s="13">
        <f>SUMPRODUCT((LEFT(Caja!$K$6:$K$505,4)=TEXT(YEAR(TODAY()),"0"))*(Caja!$C$6:$C$505="Pago")*(Caja!$E$6:$E$505=$B20)*Caja!$H$6:$H$505)</f>
        <v/>
      </c>
      <c r="J20" s="17" t="n"/>
      <c r="K20" s="1" t="n"/>
      <c r="L20" s="1" t="n"/>
      <c r="M20" s="1" t="n"/>
      <c r="N20" s="1" t="n"/>
      <c r="O20" s="1" t="n"/>
      <c r="P20" s="1" t="n"/>
      <c r="Q20" s="1" t="n"/>
      <c r="R20" s="1" t="n"/>
      <c r="S20" s="1" t="n"/>
      <c r="T20" s="1" t="n"/>
      <c r="U20" s="1" t="n"/>
      <c r="V20" s="1" t="n"/>
      <c r="W20" s="1" t="n"/>
      <c r="X20" s="1" t="n"/>
      <c r="Y20" s="1" t="n"/>
      <c r="Z20" s="1" t="n"/>
    </row>
    <row r="21" ht="18" customHeight="1" s="311">
      <c r="A21" s="1" t="n"/>
      <c r="B21" s="4" t="inlineStr">
        <is>
          <t>Gas</t>
        </is>
      </c>
      <c r="C21" s="12" t="n">
        <v>0</v>
      </c>
      <c r="D21" s="13">
        <f>SUMIFS(Caja!$H$6:$H$505,Caja!$K$6:$K$505,$C$4,Caja!$C$6:$C$505,"Pago",Caja!$E$6:$E$505,$B21)</f>
        <v/>
      </c>
      <c r="E21" s="13">
        <f>N($D21)-N($C21)</f>
        <v/>
      </c>
      <c r="F21" s="14">
        <f>IFERROR($D21/$C21,"")</f>
        <v/>
      </c>
      <c r="G21" s="15">
        <f>IF(N($C21)=0,IF(N($D21)=0,"—","🟠 Sin presupuesto"),IF($D21&lt;=$C21,"✅ Dentro",IF($D21&lt;=$C21*1.1,"🟡 Ajustado","🔴 Pasado")))</f>
        <v/>
      </c>
      <c r="H21" s="16">
        <f>COUNTIFS(Caja!$K$6:$K$505,$C$4,Caja!$C$6:$C$505,"Pago",Caja!$E$6:$E$505,$B21)</f>
        <v/>
      </c>
      <c r="I21" s="13">
        <f>SUMPRODUCT((LEFT(Caja!$K$6:$K$505,4)=TEXT(YEAR(TODAY()),"0"))*(Caja!$C$6:$C$505="Pago")*(Caja!$E$6:$E$505=$B21)*Caja!$H$6:$H$505)</f>
        <v/>
      </c>
      <c r="J21" s="17" t="n"/>
      <c r="K21" s="1" t="n"/>
      <c r="L21" s="1" t="n"/>
      <c r="M21" s="1" t="n"/>
      <c r="N21" s="1" t="n"/>
      <c r="O21" s="1" t="n"/>
      <c r="P21" s="1" t="n"/>
      <c r="Q21" s="1" t="n"/>
      <c r="R21" s="1" t="n"/>
      <c r="S21" s="1" t="n"/>
      <c r="T21" s="1" t="n"/>
      <c r="U21" s="1" t="n"/>
      <c r="V21" s="1" t="n"/>
      <c r="W21" s="1" t="n"/>
      <c r="X21" s="1" t="n"/>
      <c r="Y21" s="1" t="n"/>
      <c r="Z21" s="1" t="n"/>
    </row>
    <row r="22" ht="18" customHeight="1" s="311">
      <c r="A22" s="1" t="n"/>
      <c r="B22" s="4" t="inlineStr">
        <is>
          <t>Comunidad</t>
        </is>
      </c>
      <c r="C22" s="12" t="n">
        <v>30</v>
      </c>
      <c r="D22" s="13">
        <f>SUMIFS(Caja!$H$6:$H$505,Caja!$K$6:$K$505,$C$4,Caja!$C$6:$C$505,"Pago",Caja!$E$6:$E$505,$B22)</f>
        <v/>
      </c>
      <c r="E22" s="13">
        <f>N($D22)-N($C22)</f>
        <v/>
      </c>
      <c r="F22" s="14">
        <f>IFERROR($D22/$C22,"")</f>
        <v/>
      </c>
      <c r="G22" s="15">
        <f>IF(N($C22)=0,IF(N($D22)=0,"—","🟠 Sin presupuesto"),IF($D22&lt;=$C22,"✅ Dentro",IF($D22&lt;=$C22*1.1,"🟡 Ajustado","🔴 Pasado")))</f>
        <v/>
      </c>
      <c r="H22" s="16">
        <f>COUNTIFS(Caja!$K$6:$K$505,$C$4,Caja!$C$6:$C$505,"Pago",Caja!$E$6:$E$505,$B22)</f>
        <v/>
      </c>
      <c r="I22" s="13">
        <f>SUMPRODUCT((LEFT(Caja!$K$6:$K$505,4)=TEXT(YEAR(TODAY()),"0"))*(Caja!$C$6:$C$505="Pago")*(Caja!$E$6:$E$505=$B22)*Caja!$H$6:$H$505)</f>
        <v/>
      </c>
      <c r="J22" s="17" t="n"/>
      <c r="K22" s="1" t="n"/>
      <c r="L22" s="1" t="n"/>
      <c r="M22" s="1" t="n"/>
      <c r="N22" s="1" t="n"/>
      <c r="O22" s="1" t="n"/>
      <c r="P22" s="1" t="n"/>
      <c r="Q22" s="1" t="n"/>
      <c r="R22" s="1" t="n"/>
      <c r="S22" s="1" t="n"/>
      <c r="T22" s="1" t="n"/>
      <c r="U22" s="1" t="n"/>
      <c r="V22" s="1" t="n"/>
      <c r="W22" s="1" t="n"/>
      <c r="X22" s="1" t="n"/>
      <c r="Y22" s="1" t="n"/>
      <c r="Z22" s="1" t="n"/>
    </row>
    <row r="23" ht="18" customHeight="1" s="311">
      <c r="A23" s="1" t="n"/>
      <c r="B23" s="4" t="inlineStr">
        <is>
          <t>Telefonía y datos</t>
        </is>
      </c>
      <c r="C23" s="12" t="n">
        <v>90</v>
      </c>
      <c r="D23" s="13">
        <f>SUMIFS(Caja!$H$6:$H$505,Caja!$K$6:$K$505,$C$4,Caja!$C$6:$C$505,"Pago",Caja!$E$6:$E$505,$B23)</f>
        <v/>
      </c>
      <c r="E23" s="13">
        <f>N($D23)-N($C23)</f>
        <v/>
      </c>
      <c r="F23" s="14">
        <f>IFERROR($D23/$C23,"")</f>
        <v/>
      </c>
      <c r="G23" s="15">
        <f>IF(N($C23)=0,IF(N($D23)=0,"—","🟠 Sin presupuesto"),IF($D23&lt;=$C23,"✅ Dentro",IF($D23&lt;=$C23*1.1,"🟡 Ajustado","🔴 Pasado")))</f>
        <v/>
      </c>
      <c r="H23" s="16">
        <f>COUNTIFS(Caja!$K$6:$K$505,$C$4,Caja!$C$6:$C$505,"Pago",Caja!$E$6:$E$505,$B23)</f>
        <v/>
      </c>
      <c r="I23" s="13">
        <f>SUMPRODUCT((LEFT(Caja!$K$6:$K$505,4)=TEXT(YEAR(TODAY()),"0"))*(Caja!$C$6:$C$505="Pago")*(Caja!$E$6:$E$505=$B23)*Caja!$H$6:$H$505)</f>
        <v/>
      </c>
      <c r="J23" s="17" t="n"/>
      <c r="K23" s="1" t="n"/>
      <c r="L23" s="1" t="n"/>
      <c r="M23" s="1" t="n"/>
      <c r="N23" s="1" t="n"/>
      <c r="O23" s="1" t="n"/>
      <c r="P23" s="1" t="n"/>
      <c r="Q23" s="1" t="n"/>
      <c r="R23" s="1" t="n"/>
      <c r="S23" s="1" t="n"/>
      <c r="T23" s="1" t="n"/>
      <c r="U23" s="1" t="n"/>
      <c r="V23" s="1" t="n"/>
      <c r="W23" s="1" t="n"/>
      <c r="X23" s="1" t="n"/>
      <c r="Y23" s="1" t="n"/>
      <c r="Z23" s="1" t="n"/>
    </row>
    <row r="24" ht="18" customHeight="1" s="311">
      <c r="A24" s="1" t="n"/>
      <c r="B24" s="4" t="inlineStr">
        <is>
          <t>Alimentación</t>
        </is>
      </c>
      <c r="C24" s="12" t="n">
        <v>345</v>
      </c>
      <c r="D24" s="13">
        <f>SUMIFS(Caja!$H$6:$H$505,Caja!$K$6:$K$505,$C$4,Caja!$C$6:$C$505,"Pago",Caja!$E$6:$E$505,$B24)</f>
        <v/>
      </c>
      <c r="E24" s="13">
        <f>N($D24)-N($C24)</f>
        <v/>
      </c>
      <c r="F24" s="14">
        <f>IFERROR($D24/$C24,"")</f>
        <v/>
      </c>
      <c r="G24" s="15">
        <f>IF(N($C24)=0,IF(N($D24)=0,"—","🟠 Sin presupuesto"),IF($D24&lt;=$C24,"✅ Dentro",IF($D24&lt;=$C24*1.1,"🟡 Ajustado","🔴 Pasado")))</f>
        <v/>
      </c>
      <c r="H24" s="16">
        <f>COUNTIFS(Caja!$K$6:$K$505,$C$4,Caja!$C$6:$C$505,"Pago",Caja!$E$6:$E$505,$B24)</f>
        <v/>
      </c>
      <c r="I24" s="13">
        <f>SUMPRODUCT((LEFT(Caja!$K$6:$K$505,4)=TEXT(YEAR(TODAY()),"0"))*(Caja!$C$6:$C$505="Pago")*(Caja!$E$6:$E$505=$B24)*Caja!$H$6:$H$505)</f>
        <v/>
      </c>
      <c r="J24" s="17" t="n"/>
      <c r="K24" s="1" t="n"/>
      <c r="L24" s="1" t="n"/>
      <c r="M24" s="1" t="n"/>
      <c r="N24" s="1" t="n"/>
      <c r="O24" s="1" t="n"/>
      <c r="P24" s="1" t="n"/>
      <c r="Q24" s="1" t="n"/>
      <c r="R24" s="1" t="n"/>
      <c r="S24" s="1" t="n"/>
      <c r="T24" s="1" t="n"/>
      <c r="U24" s="1" t="n"/>
      <c r="V24" s="1" t="n"/>
      <c r="W24" s="1" t="n"/>
      <c r="X24" s="1" t="n"/>
      <c r="Y24" s="1" t="n"/>
      <c r="Z24" s="1" t="n"/>
    </row>
    <row r="25" ht="18" customHeight="1" s="311">
      <c r="A25" s="1" t="n"/>
      <c r="B25" s="4" t="inlineStr">
        <is>
          <t>Transporte</t>
        </is>
      </c>
      <c r="C25" s="12" t="n">
        <v>0</v>
      </c>
      <c r="D25" s="13">
        <f>SUMIFS(Caja!$H$6:$H$505,Caja!$K$6:$K$505,$C$4,Caja!$C$6:$C$505,"Pago",Caja!$E$6:$E$505,$B25)</f>
        <v/>
      </c>
      <c r="E25" s="13">
        <f>N($D25)-N($C25)</f>
        <v/>
      </c>
      <c r="F25" s="14">
        <f>IFERROR($D25/$C25,"")</f>
        <v/>
      </c>
      <c r="G25" s="15">
        <f>IF(N($C25)=0,IF(N($D25)=0,"—","🟠 Sin presupuesto"),IF($D25&lt;=$C25,"✅ Dentro",IF($D25&lt;=$C25*1.1,"🟡 Ajustado","🔴 Pasado")))</f>
        <v/>
      </c>
      <c r="H25" s="16">
        <f>COUNTIFS(Caja!$K$6:$K$505,$C$4,Caja!$C$6:$C$505,"Pago",Caja!$E$6:$E$505,$B25)</f>
        <v/>
      </c>
      <c r="I25" s="13">
        <f>SUMPRODUCT((LEFT(Caja!$K$6:$K$505,4)=TEXT(YEAR(TODAY()),"0"))*(Caja!$C$6:$C$505="Pago")*(Caja!$E$6:$E$505=$B25)*Caja!$H$6:$H$505)</f>
        <v/>
      </c>
      <c r="J25" s="17" t="n"/>
      <c r="K25" s="1" t="n"/>
      <c r="L25" s="1" t="n"/>
      <c r="M25" s="1" t="n"/>
      <c r="N25" s="1" t="n"/>
      <c r="O25" s="1" t="n"/>
      <c r="P25" s="1" t="n"/>
      <c r="Q25" s="1" t="n"/>
      <c r="R25" s="1" t="n"/>
      <c r="S25" s="1" t="n"/>
      <c r="T25" s="1" t="n"/>
      <c r="U25" s="1" t="n"/>
      <c r="V25" s="1" t="n"/>
      <c r="W25" s="1" t="n"/>
      <c r="X25" s="1" t="n"/>
      <c r="Y25" s="1" t="n"/>
      <c r="Z25" s="1" t="n"/>
    </row>
    <row r="26" ht="18" customHeight="1" s="311">
      <c r="A26" s="1" t="n"/>
      <c r="B26" s="4" t="inlineStr">
        <is>
          <t>Taxi</t>
        </is>
      </c>
      <c r="C26" s="12" t="n">
        <v>0</v>
      </c>
      <c r="D26" s="13">
        <f>SUMIFS(Caja!$H$6:$H$505,Caja!$K$6:$K$505,$C$4,Caja!$C$6:$C$505,"Pago",Caja!$E$6:$E$505,$B26)</f>
        <v/>
      </c>
      <c r="E26" s="13">
        <f>N($D26)-N($C26)</f>
        <v/>
      </c>
      <c r="F26" s="14">
        <f>IFERROR($D26/$C26,"")</f>
        <v/>
      </c>
      <c r="G26" s="15">
        <f>IF(N($C26)=0,IF(N($D26)=0,"—","🟠 Sin presupuesto"),IF($D26&lt;=$C26,"✅ Dentro",IF($D26&lt;=$C26*1.1,"🟡 Ajustado","🔴 Pasado")))</f>
        <v/>
      </c>
      <c r="H26" s="16">
        <f>COUNTIFS(Caja!$K$6:$K$505,$C$4,Caja!$C$6:$C$505,"Pago",Caja!$E$6:$E$505,$B26)</f>
        <v/>
      </c>
      <c r="I26" s="13">
        <f>SUMPRODUCT((LEFT(Caja!$K$6:$K$505,4)=TEXT(YEAR(TODAY()),"0"))*(Caja!$C$6:$C$505="Pago")*(Caja!$E$6:$E$505=$B26)*Caja!$H$6:$H$505)</f>
        <v/>
      </c>
      <c r="J26" s="17" t="n"/>
      <c r="K26" s="1" t="n"/>
      <c r="L26" s="1" t="n"/>
      <c r="M26" s="1" t="n"/>
      <c r="N26" s="1" t="n"/>
      <c r="O26" s="1" t="n"/>
      <c r="P26" s="1" t="n"/>
      <c r="Q26" s="1" t="n"/>
      <c r="R26" s="1" t="n"/>
      <c r="S26" s="1" t="n"/>
      <c r="T26" s="1" t="n"/>
      <c r="U26" s="1" t="n"/>
      <c r="V26" s="1" t="n"/>
      <c r="W26" s="1" t="n"/>
      <c r="X26" s="1" t="n"/>
      <c r="Y26" s="1" t="n"/>
      <c r="Z26" s="1" t="n"/>
    </row>
    <row r="27" ht="18" customHeight="1" s="311">
      <c r="A27" s="1" t="n"/>
      <c r="B27" s="4" t="inlineStr">
        <is>
          <t>Salud</t>
        </is>
      </c>
      <c r="C27" s="12" t="n">
        <v>0</v>
      </c>
      <c r="D27" s="13">
        <f>SUMIFS(Caja!$H$6:$H$505,Caja!$K$6:$K$505,$C$4,Caja!$C$6:$C$505,"Pago",Caja!$E$6:$E$505,$B27)</f>
        <v/>
      </c>
      <c r="E27" s="13">
        <f>N($D27)-N($C27)</f>
        <v/>
      </c>
      <c r="F27" s="14">
        <f>IFERROR($D27/$C27,"")</f>
        <v/>
      </c>
      <c r="G27" s="15">
        <f>IF(N($C27)=0,IF(N($D27)=0,"—","🟠 Sin presupuesto"),IF($D27&lt;=$C27,"✅ Dentro",IF($D27&lt;=$C27*1.1,"🟡 Ajustado","🔴 Pasado")))</f>
        <v/>
      </c>
      <c r="H27" s="16">
        <f>COUNTIFS(Caja!$K$6:$K$505,$C$4,Caja!$C$6:$C$505,"Pago",Caja!$E$6:$E$505,$B27)</f>
        <v/>
      </c>
      <c r="I27" s="13">
        <f>SUMPRODUCT((LEFT(Caja!$K$6:$K$505,4)=TEXT(YEAR(TODAY()),"0"))*(Caja!$C$6:$C$505="Pago")*(Caja!$E$6:$E$505=$B27)*Caja!$H$6:$H$505)</f>
        <v/>
      </c>
      <c r="J27" s="17" t="n"/>
      <c r="K27" s="1" t="n"/>
      <c r="L27" s="1" t="n"/>
      <c r="M27" s="1" t="n"/>
      <c r="N27" s="1" t="n"/>
      <c r="O27" s="1" t="n"/>
      <c r="P27" s="1" t="n"/>
      <c r="Q27" s="1" t="n"/>
      <c r="R27" s="1" t="n"/>
      <c r="S27" s="1" t="n"/>
      <c r="T27" s="1" t="n"/>
      <c r="U27" s="1" t="n"/>
      <c r="V27" s="1" t="n"/>
      <c r="W27" s="1" t="n"/>
      <c r="X27" s="1" t="n"/>
      <c r="Y27" s="1" t="n"/>
      <c r="Z27" s="1" t="n"/>
    </row>
    <row r="28" ht="18" customHeight="1" s="311">
      <c r="A28" s="1" t="n"/>
      <c r="B28" s="4" t="inlineStr">
        <is>
          <t>Ropa</t>
        </is>
      </c>
      <c r="C28" s="12" t="n">
        <v>0</v>
      </c>
      <c r="D28" s="13">
        <f>SUMIFS(Caja!$H$6:$H$505,Caja!$K$6:$K$505,$C$4,Caja!$C$6:$C$505,"Pago",Caja!$E$6:$E$505,$B28)</f>
        <v/>
      </c>
      <c r="E28" s="13">
        <f>N($D28)-N($C28)</f>
        <v/>
      </c>
      <c r="F28" s="14">
        <f>IFERROR($D28/$C28,"")</f>
        <v/>
      </c>
      <c r="G28" s="15">
        <f>IF(N($C28)=0,IF(N($D28)=0,"—","🟠 Sin presupuesto"),IF($D28&lt;=$C28,"✅ Dentro",IF($D28&lt;=$C28*1.1,"🟡 Ajustado","🔴 Pasado")))</f>
        <v/>
      </c>
      <c r="H28" s="16">
        <f>COUNTIFS(Caja!$K$6:$K$505,$C$4,Caja!$C$6:$C$505,"Pago",Caja!$E$6:$E$505,$B28)</f>
        <v/>
      </c>
      <c r="I28" s="13">
        <f>SUMPRODUCT((LEFT(Caja!$K$6:$K$505,4)=TEXT(YEAR(TODAY()),"0"))*(Caja!$C$6:$C$505="Pago")*(Caja!$E$6:$E$505=$B28)*Caja!$H$6:$H$505)</f>
        <v/>
      </c>
      <c r="J28" s="17" t="n"/>
      <c r="K28" s="1" t="n"/>
      <c r="L28" s="1" t="n"/>
      <c r="M28" s="1" t="n"/>
      <c r="N28" s="1" t="n"/>
      <c r="O28" s="1" t="n"/>
      <c r="P28" s="1" t="n"/>
      <c r="Q28" s="1" t="n"/>
      <c r="R28" s="1" t="n"/>
      <c r="S28" s="1" t="n"/>
      <c r="T28" s="1" t="n"/>
      <c r="U28" s="1" t="n"/>
      <c r="V28" s="1" t="n"/>
      <c r="W28" s="1" t="n"/>
      <c r="X28" s="1" t="n"/>
      <c r="Y28" s="1" t="n"/>
      <c r="Z28" s="1" t="n"/>
    </row>
    <row r="29" ht="18" customHeight="1" s="311">
      <c r="A29" s="1" t="n"/>
      <c r="B29" s="4" t="inlineStr">
        <is>
          <t>Ocio y cuidado personal</t>
        </is>
      </c>
      <c r="C29" s="12" t="n">
        <v>0</v>
      </c>
      <c r="D29" s="13">
        <f>SUMIFS(Caja!$H$6:$H$505,Caja!$K$6:$K$505,$C$4,Caja!$C$6:$C$505,"Pago",Caja!$E$6:$E$505,$B29)</f>
        <v/>
      </c>
      <c r="E29" s="13">
        <f>N($D29)-N($C29)</f>
        <v/>
      </c>
      <c r="F29" s="14">
        <f>IFERROR($D29/$C29,"")</f>
        <v/>
      </c>
      <c r="G29" s="15">
        <f>IF(N($C29)=0,IF(N($D29)=0,"—","🟠 Sin presupuesto"),IF($D29&lt;=$C29,"✅ Dentro",IF($D29&lt;=$C29*1.1,"🟡 Ajustado","🔴 Pasado")))</f>
        <v/>
      </c>
      <c r="H29" s="16">
        <f>COUNTIFS(Caja!$K$6:$K$505,$C$4,Caja!$C$6:$C$505,"Pago",Caja!$E$6:$E$505,$B29)</f>
        <v/>
      </c>
      <c r="I29" s="13">
        <f>SUMPRODUCT((LEFT(Caja!$K$6:$K$505,4)=TEXT(YEAR(TODAY()),"0"))*(Caja!$C$6:$C$505="Pago")*(Caja!$E$6:$E$505=$B29)*Caja!$H$6:$H$505)</f>
        <v/>
      </c>
      <c r="J29" s="17" t="n"/>
      <c r="K29" s="1" t="n"/>
      <c r="L29" s="1" t="n"/>
      <c r="M29" s="1" t="n"/>
      <c r="N29" s="1" t="n"/>
      <c r="O29" s="1" t="n"/>
      <c r="P29" s="1" t="n"/>
      <c r="Q29" s="1" t="n"/>
      <c r="R29" s="1" t="n"/>
      <c r="S29" s="1" t="n"/>
      <c r="T29" s="1" t="n"/>
      <c r="U29" s="1" t="n"/>
      <c r="V29" s="1" t="n"/>
      <c r="W29" s="1" t="n"/>
      <c r="X29" s="1" t="n"/>
      <c r="Y29" s="1" t="n"/>
      <c r="Z29" s="1" t="n"/>
    </row>
    <row r="30" ht="18" customHeight="1" s="311">
      <c r="A30" s="1" t="n"/>
      <c r="B30" s="4" t="inlineStr">
        <is>
          <t>Seguros</t>
        </is>
      </c>
      <c r="C30" s="12" t="n">
        <v>0</v>
      </c>
      <c r="D30" s="13">
        <f>SUMIFS(Caja!$H$6:$H$505,Caja!$K$6:$K$505,$C$4,Caja!$C$6:$C$505,"Pago",Caja!$E$6:$E$505,$B30)</f>
        <v/>
      </c>
      <c r="E30" s="13">
        <f>N($D30)-N($C30)</f>
        <v/>
      </c>
      <c r="F30" s="14">
        <f>IFERROR($D30/$C30,"")</f>
        <v/>
      </c>
      <c r="G30" s="15">
        <f>IF(N($C30)=0,IF(N($D30)=0,"—","🟠 Sin presupuesto"),IF($D30&lt;=$C30,"✅ Dentro",IF($D30&lt;=$C30*1.1,"🟡 Ajustado","🔴 Pasado")))</f>
        <v/>
      </c>
      <c r="H30" s="16">
        <f>COUNTIFS(Caja!$K$6:$K$505,$C$4,Caja!$C$6:$C$505,"Pago",Caja!$E$6:$E$505,$B30)</f>
        <v/>
      </c>
      <c r="I30" s="13">
        <f>SUMPRODUCT((LEFT(Caja!$K$6:$K$505,4)=TEXT(YEAR(TODAY()),"0"))*(Caja!$C$6:$C$505="Pago")*(Caja!$E$6:$E$505=$B30)*Caja!$H$6:$H$505)</f>
        <v/>
      </c>
      <c r="J30" s="17" t="n"/>
      <c r="K30" s="1" t="n"/>
      <c r="L30" s="1" t="n"/>
      <c r="M30" s="1" t="n"/>
      <c r="N30" s="1" t="n"/>
      <c r="O30" s="1" t="n"/>
      <c r="P30" s="1" t="n"/>
      <c r="Q30" s="1" t="n"/>
      <c r="R30" s="1" t="n"/>
      <c r="S30" s="1" t="n"/>
      <c r="T30" s="1" t="n"/>
      <c r="U30" s="1" t="n"/>
      <c r="V30" s="1" t="n"/>
      <c r="W30" s="1" t="n"/>
      <c r="X30" s="1" t="n"/>
      <c r="Y30" s="1" t="n"/>
      <c r="Z30" s="1" t="n"/>
    </row>
    <row r="31" ht="18" customHeight="1" s="311">
      <c r="A31" s="1" t="n"/>
      <c r="B31" s="4" t="inlineStr">
        <is>
          <t>Impuestos y hacienda</t>
        </is>
      </c>
      <c r="C31" s="12" t="n">
        <v>76.48</v>
      </c>
      <c r="D31" s="13">
        <f>SUMIFS(Caja!$H$6:$H$505,Caja!$K$6:$K$505,$C$4,Caja!$C$6:$C$505,"Pago",Caja!$E$6:$E$505,$B31)</f>
        <v/>
      </c>
      <c r="E31" s="13">
        <f>N($D31)-N($C31)</f>
        <v/>
      </c>
      <c r="F31" s="14">
        <f>IFERROR($D31/$C31,"")</f>
        <v/>
      </c>
      <c r="G31" s="15">
        <f>IF(N($C31)=0,IF(N($D31)=0,"—","🟠 Sin presupuesto"),IF($D31&lt;=$C31,"✅ Dentro",IF($D31&lt;=$C31*1.1,"🟡 Ajustado","🔴 Pasado")))</f>
        <v/>
      </c>
      <c r="H31" s="16">
        <f>COUNTIFS(Caja!$K$6:$K$505,$C$4,Caja!$C$6:$C$505,"Pago",Caja!$E$6:$E$505,$B31)</f>
        <v/>
      </c>
      <c r="I31" s="13">
        <f>SUMPRODUCT((LEFT(Caja!$K$6:$K$505,4)=TEXT(YEAR(TODAY()),"0"))*(Caja!$C$6:$C$505="Pago")*(Caja!$E$6:$E$505=$B31)*Caja!$H$6:$H$505)</f>
        <v/>
      </c>
      <c r="J31" s="17" t="n"/>
      <c r="K31" s="1" t="n"/>
      <c r="L31" s="1" t="n"/>
      <c r="M31" s="1" t="n"/>
      <c r="N31" s="1" t="n"/>
      <c r="O31" s="1" t="n"/>
      <c r="P31" s="1" t="n"/>
      <c r="Q31" s="1" t="n"/>
      <c r="R31" s="1" t="n"/>
      <c r="S31" s="1" t="n"/>
      <c r="T31" s="1" t="n"/>
      <c r="U31" s="1" t="n"/>
      <c r="V31" s="1" t="n"/>
      <c r="W31" s="1" t="n"/>
      <c r="X31" s="1" t="n"/>
      <c r="Y31" s="1" t="n"/>
      <c r="Z31" s="1" t="n"/>
    </row>
    <row r="32" ht="18" customHeight="1" s="311">
      <c r="A32" s="1" t="n"/>
      <c r="B32" s="4" t="inlineStr">
        <is>
          <t>Tarjeta de crédito</t>
        </is>
      </c>
      <c r="C32" s="12" t="n">
        <v>210</v>
      </c>
      <c r="D32" s="13">
        <f>SUMIFS(Caja!$H$6:$H$505,Caja!$K$6:$K$505,$C$4,Caja!$C$6:$C$505,"Pago",Caja!$E$6:$E$505,$B32)</f>
        <v/>
      </c>
      <c r="E32" s="13">
        <f>N($D32)-N($C32)</f>
        <v/>
      </c>
      <c r="F32" s="14">
        <f>IFERROR($D32/$C32,"")</f>
        <v/>
      </c>
      <c r="G32" s="15">
        <f>IF(N($C32)=0,IF(N($D32)=0,"—","🟠 Sin presupuesto"),IF($D32&lt;=$C32,"✅ Dentro",IF($D32&lt;=$C32*1.1,"🟡 Ajustado","🔴 Pasado")))</f>
        <v/>
      </c>
      <c r="H32" s="16">
        <f>COUNTIFS(Caja!$K$6:$K$505,$C$4,Caja!$C$6:$C$505,"Pago",Caja!$E$6:$E$505,$B32)</f>
        <v/>
      </c>
      <c r="I32" s="13">
        <f>SUMPRODUCT((LEFT(Caja!$K$6:$K$505,4)=TEXT(YEAR(TODAY()),"0"))*(Caja!$C$6:$C$505="Pago")*(Caja!$E$6:$E$505=$B32)*Caja!$H$6:$H$505)</f>
        <v/>
      </c>
      <c r="J32" s="17" t="n"/>
      <c r="K32" s="1" t="n"/>
      <c r="L32" s="1" t="n"/>
      <c r="M32" s="1" t="n"/>
      <c r="N32" s="1" t="n"/>
      <c r="O32" s="1" t="n"/>
      <c r="P32" s="1" t="n"/>
      <c r="Q32" s="1" t="n"/>
      <c r="R32" s="1" t="n"/>
      <c r="S32" s="1" t="n"/>
      <c r="T32" s="1" t="n"/>
      <c r="U32" s="1" t="n"/>
      <c r="V32" s="1" t="n"/>
      <c r="W32" s="1" t="n"/>
      <c r="X32" s="1" t="n"/>
      <c r="Y32" s="1" t="n"/>
      <c r="Z32" s="1" t="n"/>
    </row>
    <row r="33" ht="18" customHeight="1" s="311">
      <c r="A33" s="1" t="n"/>
      <c r="B33" s="4" t="inlineStr">
        <is>
          <t>Empeño</t>
        </is>
      </c>
      <c r="C33" s="12" t="n">
        <v>187</v>
      </c>
      <c r="D33" s="13">
        <f>SUMIFS(Caja!$H$6:$H$505,Caja!$K$6:$K$505,$C$4,Caja!$C$6:$C$505,"Pago",Caja!$E$6:$E$505,$B33)</f>
        <v/>
      </c>
      <c r="E33" s="13">
        <f>N($D33)-N($C33)</f>
        <v/>
      </c>
      <c r="F33" s="14">
        <f>IFERROR($D33/$C33,"")</f>
        <v/>
      </c>
      <c r="G33" s="15">
        <f>IF(N($C33)=0,IF(N($D33)=0,"—","🟠 Sin presupuesto"),IF($D33&lt;=$C33,"✅ Dentro",IF($D33&lt;=$C33*1.1,"🟡 Ajustado","🔴 Pasado")))</f>
        <v/>
      </c>
      <c r="H33" s="16">
        <f>COUNTIFS(Caja!$K$6:$K$505,$C$4,Caja!$C$6:$C$505,"Pago",Caja!$E$6:$E$505,$B33)</f>
        <v/>
      </c>
      <c r="I33" s="13">
        <f>SUMPRODUCT((LEFT(Caja!$K$6:$K$505,4)=TEXT(YEAR(TODAY()),"0"))*(Caja!$C$6:$C$505="Pago")*(Caja!$E$6:$E$505=$B33)*Caja!$H$6:$H$505)</f>
        <v/>
      </c>
      <c r="J33" s="17" t="n"/>
      <c r="K33" s="1" t="n"/>
      <c r="L33" s="1" t="n"/>
      <c r="M33" s="1" t="n"/>
      <c r="N33" s="1" t="n"/>
      <c r="O33" s="1" t="n"/>
      <c r="P33" s="1" t="n"/>
      <c r="Q33" s="1" t="n"/>
      <c r="R33" s="1" t="n"/>
      <c r="S33" s="1" t="n"/>
      <c r="T33" s="1" t="n"/>
      <c r="U33" s="1" t="n"/>
      <c r="V33" s="1" t="n"/>
      <c r="W33" s="1" t="n"/>
      <c r="X33" s="1" t="n"/>
      <c r="Y33" s="1" t="n"/>
      <c r="Z33" s="1" t="n"/>
    </row>
    <row r="34" ht="18" customHeight="1" s="311">
      <c r="A34" s="1" t="n"/>
      <c r="B34" s="4" t="inlineStr">
        <is>
          <t>Préstamo particular</t>
        </is>
      </c>
      <c r="C34" s="12" t="n">
        <v>100</v>
      </c>
      <c r="D34" s="13">
        <f>SUMIFS(Caja!$H$6:$H$505,Caja!$K$6:$K$505,$C$4,Caja!$C$6:$C$505,"Pago",Caja!$E$6:$E$505,$B34)</f>
        <v/>
      </c>
      <c r="E34" s="13">
        <f>N($D34)-N($C34)</f>
        <v/>
      </c>
      <c r="F34" s="14">
        <f>IFERROR($D34/$C34,"")</f>
        <v/>
      </c>
      <c r="G34" s="15">
        <f>IF(N($C34)=0,IF(N($D34)=0,"—","🟠 Sin presupuesto"),IF($D34&lt;=$C34,"✅ Dentro",IF($D34&lt;=$C34*1.1,"🟡 Ajustado","🔴 Pasado")))</f>
        <v/>
      </c>
      <c r="H34" s="16">
        <f>COUNTIFS(Caja!$K$6:$K$505,$C$4,Caja!$C$6:$C$505,"Pago",Caja!$E$6:$E$505,$B34)</f>
        <v/>
      </c>
      <c r="I34" s="13">
        <f>SUMPRODUCT((LEFT(Caja!$K$6:$K$505,4)=TEXT(YEAR(TODAY()),"0"))*(Caja!$C$6:$C$505="Pago")*(Caja!$E$6:$E$505=$B34)*Caja!$H$6:$H$505)</f>
        <v/>
      </c>
      <c r="J34" s="17" t="n"/>
      <c r="K34" s="1" t="n"/>
      <c r="L34" s="1" t="n"/>
      <c r="M34" s="1" t="n"/>
      <c r="N34" s="1" t="n"/>
      <c r="O34" s="1" t="n"/>
      <c r="P34" s="1" t="n"/>
      <c r="Q34" s="1" t="n"/>
      <c r="R34" s="1" t="n"/>
      <c r="S34" s="1" t="n"/>
      <c r="T34" s="1" t="n"/>
      <c r="U34" s="1" t="n"/>
      <c r="V34" s="1" t="n"/>
      <c r="W34" s="1" t="n"/>
      <c r="X34" s="1" t="n"/>
      <c r="Y34" s="1" t="n"/>
      <c r="Z34" s="1" t="n"/>
    </row>
    <row r="35" ht="18" customHeight="1" s="311">
      <c r="A35" s="1" t="n"/>
      <c r="B35" s="4" t="inlineStr">
        <is>
          <t>Crédito comercial</t>
        </is>
      </c>
      <c r="C35" s="12" t="n">
        <v>50</v>
      </c>
      <c r="D35" s="13">
        <f>SUMIFS(Caja!$H$6:$H$505,Caja!$K$6:$K$505,$C$4,Caja!$C$6:$C$505,"Pago",Caja!$E$6:$E$505,$B35)</f>
        <v/>
      </c>
      <c r="E35" s="13">
        <f>N($D35)-N($C35)</f>
        <v/>
      </c>
      <c r="F35" s="14">
        <f>IFERROR($D35/$C35,"")</f>
        <v/>
      </c>
      <c r="G35" s="15">
        <f>IF(N($C35)=0,IF(N($D35)=0,"—","🟠 Sin presupuesto"),IF($D35&lt;=$C35,"✅ Dentro",IF($D35&lt;=$C35*1.1,"🟡 Ajustado","🔴 Pasado")))</f>
        <v/>
      </c>
      <c r="H35" s="16">
        <f>COUNTIFS(Caja!$K$6:$K$505,$C$4,Caja!$C$6:$C$505,"Pago",Caja!$E$6:$E$505,$B35)</f>
        <v/>
      </c>
      <c r="I35" s="13">
        <f>SUMPRODUCT((LEFT(Caja!$K$6:$K$505,4)=TEXT(YEAR(TODAY()),"0"))*(Caja!$C$6:$C$505="Pago")*(Caja!$E$6:$E$505=$B35)*Caja!$H$6:$H$505)</f>
        <v/>
      </c>
      <c r="J35" s="17" t="n"/>
      <c r="K35" s="1" t="n"/>
      <c r="L35" s="1" t="n"/>
      <c r="M35" s="1" t="n"/>
      <c r="N35" s="1" t="n"/>
      <c r="O35" s="1" t="n"/>
      <c r="P35" s="1" t="n"/>
      <c r="Q35" s="1" t="n"/>
      <c r="R35" s="1" t="n"/>
      <c r="S35" s="1" t="n"/>
      <c r="T35" s="1" t="n"/>
      <c r="U35" s="1" t="n"/>
      <c r="V35" s="1" t="n"/>
      <c r="W35" s="1" t="n"/>
      <c r="X35" s="1" t="n"/>
      <c r="Y35" s="1" t="n"/>
      <c r="Z35" s="1" t="n"/>
    </row>
    <row r="36" ht="18" customHeight="1" s="311">
      <c r="A36" s="1" t="n"/>
      <c r="B36" s="4" t="inlineStr">
        <is>
          <t>Intereses de empeño</t>
        </is>
      </c>
      <c r="C36" s="12" t="n">
        <v>45</v>
      </c>
      <c r="D36" s="13">
        <f>SUMIFS(Caja!$H$6:$H$505,Caja!$K$6:$K$505,$C$4,Caja!$C$6:$C$505,"Pago",Caja!$E$6:$E$505,$B36)</f>
        <v/>
      </c>
      <c r="E36" s="13">
        <f>N($D36)-N($C36)</f>
        <v/>
      </c>
      <c r="F36" s="14">
        <f>IFERROR($D36/$C36,"")</f>
        <v/>
      </c>
      <c r="G36" s="15">
        <f>IF(N($C36)=0,IF(N($D36)=0,"—","🟠 Sin presupuesto"),IF($D36&lt;=$C36,"✅ Dentro",IF($D36&lt;=$C36*1.1,"🟡 Ajustado","🔴 Pasado")))</f>
        <v/>
      </c>
      <c r="H36" s="16">
        <f>COUNTIFS(Caja!$K$6:$K$505,$C$4,Caja!$C$6:$C$505,"Pago",Caja!$E$6:$E$505,$B36)</f>
        <v/>
      </c>
      <c r="I36" s="13">
        <f>SUMPRODUCT((LEFT(Caja!$K$6:$K$505,4)=TEXT(YEAR(TODAY()),"0"))*(Caja!$C$6:$C$505="Pago")*(Caja!$E$6:$E$505=$B36)*Caja!$H$6:$H$505)</f>
        <v/>
      </c>
      <c r="J36" s="17" t="n"/>
      <c r="K36" s="1" t="n"/>
      <c r="L36" s="1" t="n"/>
      <c r="M36" s="1" t="n"/>
      <c r="N36" s="1" t="n"/>
      <c r="O36" s="1" t="n"/>
      <c r="P36" s="1" t="n"/>
      <c r="Q36" s="1" t="n"/>
      <c r="R36" s="1" t="n"/>
      <c r="S36" s="1" t="n"/>
      <c r="T36" s="1" t="n"/>
      <c r="U36" s="1" t="n"/>
      <c r="V36" s="1" t="n"/>
      <c r="W36" s="1" t="n"/>
      <c r="X36" s="1" t="n"/>
      <c r="Y36" s="1" t="n"/>
      <c r="Z36" s="1" t="n"/>
    </row>
    <row r="37" ht="18" customHeight="1" s="311">
      <c r="A37" s="1" t="n"/>
      <c r="B37" s="4" t="inlineStr">
        <is>
          <t>Apoyo familiar</t>
        </is>
      </c>
      <c r="C37" s="12" t="n">
        <v>0</v>
      </c>
      <c r="D37" s="13">
        <f>SUMIFS(Caja!$H$6:$H$505,Caja!$K$6:$K$505,$C$4,Caja!$C$6:$C$505,"Pago",Caja!$E$6:$E$505,$B37)</f>
        <v/>
      </c>
      <c r="E37" s="13">
        <f>N($D37)-N($C37)</f>
        <v/>
      </c>
      <c r="F37" s="14">
        <f>IFERROR($D37/$C37,"")</f>
        <v/>
      </c>
      <c r="G37" s="15">
        <f>IF(N($C37)=0,IF(N($D37)=0,"—","🟠 Sin presupuesto"),IF($D37&lt;=$C37,"✅ Dentro",IF($D37&lt;=$C37*1.1,"🟡 Ajustado","🔴 Pasado")))</f>
        <v/>
      </c>
      <c r="H37" s="16">
        <f>COUNTIFS(Caja!$K$6:$K$505,$C$4,Caja!$C$6:$C$505,"Pago",Caja!$E$6:$E$505,$B37)</f>
        <v/>
      </c>
      <c r="I37" s="13">
        <f>SUMPRODUCT((LEFT(Caja!$K$6:$K$505,4)=TEXT(YEAR(TODAY()),"0"))*(Caja!$C$6:$C$505="Pago")*(Caja!$E$6:$E$505=$B37)*Caja!$H$6:$H$505)</f>
        <v/>
      </c>
      <c r="J37" s="17" t="n"/>
      <c r="K37" s="1" t="n"/>
      <c r="L37" s="1" t="n"/>
      <c r="M37" s="1" t="n"/>
      <c r="N37" s="1" t="n"/>
      <c r="O37" s="1" t="n"/>
      <c r="P37" s="1" t="n"/>
      <c r="Q37" s="1" t="n"/>
      <c r="R37" s="1" t="n"/>
      <c r="S37" s="1" t="n"/>
      <c r="T37" s="1" t="n"/>
      <c r="U37" s="1" t="n"/>
      <c r="V37" s="1" t="n"/>
      <c r="W37" s="1" t="n"/>
      <c r="X37" s="1" t="n"/>
      <c r="Y37" s="1" t="n"/>
      <c r="Z37" s="1" t="n"/>
    </row>
    <row r="38" ht="18" customHeight="1" s="311">
      <c r="A38" s="1" t="n"/>
      <c r="B38" s="4" t="inlineStr">
        <is>
          <t>Otros gastos</t>
        </is>
      </c>
      <c r="C38" s="12" t="n">
        <v>0</v>
      </c>
      <c r="D38" s="13">
        <f>SUMIFS(Caja!$H$6:$H$505,Caja!$K$6:$K$505,$C$4,Caja!$C$6:$C$505,"Pago",Caja!$E$6:$E$505,$B38)</f>
        <v/>
      </c>
      <c r="E38" s="13">
        <f>N($D38)-N($C38)</f>
        <v/>
      </c>
      <c r="F38" s="14">
        <f>IFERROR($D38/$C38,"")</f>
        <v/>
      </c>
      <c r="G38" s="15">
        <f>IF(N($C38)=0,IF(N($D38)=0,"—","🟠 Sin presupuesto"),IF($D38&lt;=$C38,"✅ Dentro",IF($D38&lt;=$C38*1.1,"🟡 Ajustado","🔴 Pasado")))</f>
        <v/>
      </c>
      <c r="H38" s="16">
        <f>COUNTIFS(Caja!$K$6:$K$505,$C$4,Caja!$C$6:$C$505,"Pago",Caja!$E$6:$E$505,$B38)</f>
        <v/>
      </c>
      <c r="I38" s="13">
        <f>SUMPRODUCT((LEFT(Caja!$K$6:$K$505,4)=TEXT(YEAR(TODAY()),"0"))*(Caja!$C$6:$C$505="Pago")*(Caja!$E$6:$E$505=$B38)*Caja!$H$6:$H$505)</f>
        <v/>
      </c>
      <c r="J38" s="17" t="n"/>
      <c r="K38" s="1" t="n"/>
      <c r="L38" s="1" t="n"/>
      <c r="M38" s="1" t="n"/>
      <c r="N38" s="1" t="n"/>
      <c r="O38" s="1" t="n"/>
      <c r="P38" s="1" t="n"/>
      <c r="Q38" s="1" t="n"/>
      <c r="R38" s="1" t="n"/>
      <c r="S38" s="1" t="n"/>
      <c r="T38" s="1" t="n"/>
      <c r="U38" s="1" t="n"/>
      <c r="V38" s="1" t="n"/>
      <c r="W38" s="1" t="n"/>
      <c r="X38" s="1" t="n"/>
      <c r="Y38" s="1" t="n"/>
      <c r="Z38" s="1" t="n"/>
    </row>
    <row r="39" ht="18" customHeight="1" s="311">
      <c r="A39" s="1" t="n"/>
      <c r="B39" s="4" t="inlineStr">
        <is>
          <t>Aporte a inversión</t>
        </is>
      </c>
      <c r="C39" s="12" t="n">
        <v>0</v>
      </c>
      <c r="D39" s="13">
        <f>SUMIFS(Caja!$H$6:$H$505,Caja!$K$6:$K$505,$C$4,Caja!$C$6:$C$505,"Pago",Caja!$E$6:$E$505,$B39)</f>
        <v/>
      </c>
      <c r="E39" s="13">
        <f>N($D39)-N($C39)</f>
        <v/>
      </c>
      <c r="F39" s="14">
        <f>IFERROR($D39/$C39,"")</f>
        <v/>
      </c>
      <c r="G39" s="15">
        <f>IF(N($C39)=0,IF(N($D39)=0,"—","🟠 Sin presupuesto"),IF($D39&lt;=$C39,"✅ Dentro",IF($D39&lt;=$C39*1.1,"🟡 Ajustado","🔴 Pasado")))</f>
        <v/>
      </c>
      <c r="H39" s="16">
        <f>COUNTIFS(Caja!$K$6:$K$505,$C$4,Caja!$C$6:$C$505,"Pago",Caja!$E$6:$E$505,$B39)</f>
        <v/>
      </c>
      <c r="I39" s="13">
        <f>SUMPRODUCT((LEFT(Caja!$K$6:$K$505,4)=TEXT(YEAR(TODAY()),"0"))*(Caja!$C$6:$C$505="Pago")*(Caja!$E$6:$E$505=$B39)*Caja!$H$6:$H$505)</f>
        <v/>
      </c>
      <c r="J39" s="17" t="n"/>
      <c r="K39" s="1" t="n"/>
      <c r="L39" s="1" t="n"/>
      <c r="M39" s="1" t="n"/>
      <c r="N39" s="1" t="n"/>
      <c r="O39" s="1" t="n"/>
      <c r="P39" s="1" t="n"/>
      <c r="Q39" s="1" t="n"/>
      <c r="R39" s="1" t="n"/>
      <c r="S39" s="1" t="n"/>
      <c r="T39" s="1" t="n"/>
      <c r="U39" s="1" t="n"/>
      <c r="V39" s="1" t="n"/>
      <c r="W39" s="1" t="n"/>
      <c r="X39" s="1" t="n"/>
      <c r="Y39" s="1" t="n"/>
      <c r="Z39" s="1" t="n"/>
    </row>
    <row r="40" ht="18" customHeight="1" s="311">
      <c r="A40" s="1" t="n"/>
      <c r="B40" s="4" t="inlineStr">
        <is>
          <t>Aporte a ahorro</t>
        </is>
      </c>
      <c r="C40" s="12" t="n">
        <v>0</v>
      </c>
      <c r="D40" s="13">
        <f>SUMIFS(Caja!$H$6:$H$505,Caja!$K$6:$K$505,$C$4,Caja!$C$6:$C$505,"Pago",Caja!$E$6:$E$505,$B40)</f>
        <v/>
      </c>
      <c r="E40" s="13">
        <f>N($D40)-N($C40)</f>
        <v/>
      </c>
      <c r="F40" s="14">
        <f>IFERROR($D40/$C40,"")</f>
        <v/>
      </c>
      <c r="G40" s="15">
        <f>IF(N($C40)=0,IF(N($D40)=0,"—","🟠 Sin presupuesto"),IF($D40&lt;=$C40,"✅ Dentro",IF($D40&lt;=$C40*1.1,"🟡 Ajustado","🔴 Pasado")))</f>
        <v/>
      </c>
      <c r="H40" s="16">
        <f>COUNTIFS(Caja!$K$6:$K$505,$C$4,Caja!$C$6:$C$505,"Pago",Caja!$E$6:$E$505,$B40)</f>
        <v/>
      </c>
      <c r="I40" s="13">
        <f>SUMPRODUCT((LEFT(Caja!$K$6:$K$505,4)=TEXT(YEAR(TODAY()),"0"))*(Caja!$C$6:$C$505="Pago")*(Caja!$E$6:$E$505=$B40)*Caja!$H$6:$H$505)</f>
        <v/>
      </c>
      <c r="J40" s="17" t="n"/>
      <c r="K40" s="1" t="n"/>
      <c r="L40" s="1" t="n"/>
      <c r="M40" s="1" t="n"/>
      <c r="N40" s="1" t="n"/>
      <c r="O40" s="1" t="n"/>
      <c r="P40" s="1" t="n"/>
      <c r="Q40" s="1" t="n"/>
      <c r="R40" s="1" t="n"/>
      <c r="S40" s="1" t="n"/>
      <c r="T40" s="1" t="n"/>
      <c r="U40" s="1" t="n"/>
      <c r="V40" s="1" t="n"/>
      <c r="W40" s="1" t="n"/>
      <c r="X40" s="1" t="n"/>
      <c r="Y40" s="1" t="n"/>
      <c r="Z40" s="1" t="n"/>
    </row>
    <row r="41" ht="18" customHeight="1" s="311">
      <c r="A41" s="1" t="n"/>
      <c r="B41" s="4" t="inlineStr">
        <is>
          <t>Amortización de deuda</t>
        </is>
      </c>
      <c r="C41" s="12" t="n">
        <v>0</v>
      </c>
      <c r="D41" s="13">
        <f>SUMIFS(Caja!$H$6:$H$505,Caja!$K$6:$K$505,$C$4,Caja!$C$6:$C$505,"Pago",Caja!$E$6:$E$505,$B41)</f>
        <v/>
      </c>
      <c r="E41" s="13">
        <f>N($D41)-N($C41)</f>
        <v/>
      </c>
      <c r="F41" s="14">
        <f>IFERROR($D41/$C41,"")</f>
        <v/>
      </c>
      <c r="G41" s="15">
        <f>IF(N($C41)=0,IF(N($D41)=0,"—","🟠 Sin presupuesto"),IF($D41&lt;=$C41,"✅ Dentro",IF($D41&lt;=$C41*1.1,"🟡 Ajustado","🔴 Pasado")))</f>
        <v/>
      </c>
      <c r="H41" s="16">
        <f>COUNTIFS(Caja!$K$6:$K$505,$C$4,Caja!$C$6:$C$505,"Pago",Caja!$E$6:$E$505,$B41)</f>
        <v/>
      </c>
      <c r="I41" s="13">
        <f>SUMPRODUCT((LEFT(Caja!$K$6:$K$505,4)=TEXT(YEAR(TODAY()),"0"))*(Caja!$C$6:$C$505="Pago")*(Caja!$E$6:$E$505=$B41)*Caja!$H$6:$H$505)</f>
        <v/>
      </c>
      <c r="J41" s="17" t="n"/>
      <c r="K41" s="1" t="n"/>
      <c r="L41" s="1" t="n"/>
      <c r="M41" s="1" t="n"/>
      <c r="N41" s="1" t="n"/>
      <c r="O41" s="1" t="n"/>
      <c r="P41" s="1" t="n"/>
      <c r="Q41" s="1" t="n"/>
      <c r="R41" s="1" t="n"/>
      <c r="S41" s="1" t="n"/>
      <c r="T41" s="1" t="n"/>
      <c r="U41" s="1" t="n"/>
      <c r="V41" s="1" t="n"/>
      <c r="W41" s="1" t="n"/>
      <c r="X41" s="1" t="n"/>
      <c r="Y41" s="1" t="n"/>
      <c r="Z41" s="1" t="n"/>
    </row>
    <row r="42" ht="15.75" customHeight="1" s="311">
      <c r="A42" s="1" t="n"/>
      <c r="B42" s="45" t="inlineStr">
        <is>
          <t>TOTAL</t>
        </is>
      </c>
      <c r="C42" s="47">
        <f>SUM(C$17:C$41)</f>
        <v/>
      </c>
      <c r="D42" s="47">
        <f>SUM(D$17:D$41)</f>
        <v/>
      </c>
      <c r="E42" s="47">
        <f>SUM(E$17:E$41)</f>
        <v/>
      </c>
      <c r="F42" s="51">
        <f>IFERROR($D42/$C42,"")</f>
        <v/>
      </c>
      <c r="G42" s="53" t="n"/>
      <c r="H42" s="55">
        <f>SUM($H$17:$H$41)</f>
        <v/>
      </c>
      <c r="I42" s="47">
        <f>SUM(I$17:I$41)</f>
        <v/>
      </c>
      <c r="J42" s="53" t="n"/>
      <c r="K42" s="1" t="n"/>
      <c r="L42" s="1" t="n"/>
      <c r="M42" s="1" t="n"/>
      <c r="N42" s="1" t="n"/>
      <c r="O42" s="1" t="n"/>
      <c r="P42" s="1" t="n"/>
      <c r="Q42" s="1" t="n"/>
      <c r="R42" s="1" t="n"/>
      <c r="S42" s="1" t="n"/>
      <c r="T42" s="1" t="n"/>
      <c r="U42" s="1" t="n"/>
      <c r="V42" s="1" t="n"/>
      <c r="W42" s="1" t="n"/>
      <c r="X42" s="1" t="n"/>
      <c r="Y42" s="1" t="n"/>
      <c r="Z42" s="1" t="n"/>
    </row>
    <row r="43" ht="15.75" customHeight="1" s="31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24" customHeight="1" s="311">
      <c r="A44" s="1" t="n"/>
      <c r="B44" s="97" t="inlineStr">
        <is>
          <t>C.  LECTURA DEL MES</t>
        </is>
      </c>
      <c r="K44" s="1" t="n"/>
      <c r="L44" s="1" t="n"/>
      <c r="M44" s="1" t="n"/>
      <c r="N44" s="1" t="n"/>
      <c r="O44" s="1" t="n"/>
      <c r="P44" s="1" t="n"/>
      <c r="Q44" s="1" t="n"/>
      <c r="R44" s="1" t="n"/>
      <c r="S44" s="1" t="n"/>
      <c r="T44" s="1" t="n"/>
      <c r="U44" s="1" t="n"/>
      <c r="V44" s="1" t="n"/>
      <c r="W44" s="1" t="n"/>
      <c r="X44" s="1" t="n"/>
      <c r="Y44" s="1" t="n"/>
      <c r="Z44" s="1" t="n"/>
    </row>
    <row r="45" ht="33.75" customHeight="1" s="311">
      <c r="A45" s="1" t="n"/>
      <c r="B45" s="99">
        <f>IF($F$4=0,"🕐 Aún no hay apuntes de este mes en la hoja Caja. Registra los cobros y pagos y esta hoja se llenará sola.","Presupuestaste "&amp;TEXT($C$42,"#,##0.00")&amp;" € de gasto y llevas "&amp;TEXT($D$42,"#,##0.00")&amp;" € registrados ("&amp;TEXT($D$42/$C$42,"0%")&amp;"). "&amp;IF($E$42&gt;0,"Vas "&amp;TEXT($E$42,"#,##0.00")&amp;" € POR ENCIMA del presupuesto.","Vas "&amp;TEXT(ABS($E$42),"#,##0.00")&amp;" € por debajo, aunque puede que el mes no esté completo todavía."))</f>
        <v/>
      </c>
      <c r="K45" s="1" t="n"/>
      <c r="L45" s="1" t="n"/>
      <c r="M45" s="1" t="n"/>
      <c r="N45" s="1" t="n"/>
      <c r="O45" s="1" t="n"/>
      <c r="P45" s="1" t="n"/>
      <c r="Q45" s="1" t="n"/>
      <c r="R45" s="1" t="n"/>
      <c r="S45" s="1" t="n"/>
      <c r="T45" s="1" t="n"/>
      <c r="U45" s="1" t="n"/>
      <c r="V45" s="1" t="n"/>
      <c r="W45" s="1" t="n"/>
      <c r="X45" s="1" t="n"/>
      <c r="Y45" s="1" t="n"/>
      <c r="Z45" s="1" t="n"/>
    </row>
    <row r="46" ht="15.75" customHeight="1" s="31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30" customHeight="1" s="311">
      <c r="A47" s="1" t="n"/>
      <c r="B47" s="99">
        <f t="array" ref="B47">IF(COUNTIF($G$15:$G$41,"🔴 Pasado")=0,"✅ Ninguna categoría se ha pasado del presupuesto.","🔴 "&amp;COUNTIF($G$15:$G$41,"🔴 Pasado")&amp;" categorías se han pasado. La que más se desvía es "&amp;INDEX($B$15:$B$41,MATCH(MAX($E$15:$E$41),$E$15:$E$41,0))&amp;" con "&amp;TEXT(MAX($E$15:$E$41),"#,##0.00")&amp;" € de más.")</f>
        <v/>
      </c>
      <c r="K47" s="1" t="n"/>
      <c r="L47" s="1" t="n"/>
      <c r="M47" s="1" t="n"/>
      <c r="N47" s="1" t="n"/>
      <c r="O47" s="1" t="n"/>
      <c r="P47" s="1" t="n"/>
      <c r="Q47" s="1" t="n"/>
      <c r="R47" s="1" t="n"/>
      <c r="S47" s="1" t="n"/>
      <c r="T47" s="1" t="n"/>
      <c r="U47" s="1" t="n"/>
      <c r="V47" s="1" t="n"/>
      <c r="W47" s="1" t="n"/>
      <c r="X47" s="1" t="n"/>
      <c r="Y47" s="1" t="n"/>
      <c r="Z47" s="1" t="n"/>
    </row>
    <row r="48" ht="15.75" customHeight="1" s="31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39.75" customHeight="1" s="311">
      <c r="A49" s="1" t="n"/>
      <c r="B49" s="105" t="inlineStr">
        <is>
          <t>UN AVISO HONESTO: esta hoja solo vale lo que valga tu registro en Caja. Si apuntas la mitad de los gastos, te dirá que vas de maravilla. Coge la costumbre de anotar en cuanto pagas, aunque sea con el importe redondeado: un registro imperfecto pero constante vale mucho más que uno exacto que abandonas en tres semanas.</t>
        </is>
      </c>
      <c r="K49" s="1" t="n"/>
      <c r="L49" s="1" t="n"/>
      <c r="M49" s="1" t="n"/>
      <c r="N49" s="1" t="n"/>
      <c r="O49" s="1" t="n"/>
      <c r="P49" s="1" t="n"/>
      <c r="Q49" s="1" t="n"/>
      <c r="R49" s="1" t="n"/>
      <c r="S49" s="1" t="n"/>
      <c r="T49" s="1" t="n"/>
      <c r="U49" s="1" t="n"/>
      <c r="V49" s="1" t="n"/>
      <c r="W49" s="1" t="n"/>
      <c r="X49" s="1" t="n"/>
      <c r="Y49" s="1" t="n"/>
      <c r="Z49" s="1" t="n"/>
    </row>
    <row r="50" ht="15.75" customHeight="1" s="31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0">
    <mergeCell ref="B15:J15"/>
    <mergeCell ref="B45:J45"/>
    <mergeCell ref="G4:J4"/>
    <mergeCell ref="B47:J47"/>
    <mergeCell ref="B1:J1"/>
    <mergeCell ref="D4:E4"/>
    <mergeCell ref="B49:J49"/>
    <mergeCell ref="B6:J6"/>
    <mergeCell ref="B44:J44"/>
    <mergeCell ref="B2:J2"/>
  </mergeCells>
  <conditionalFormatting sqref="G8:G12">
    <cfRule type="expression" priority="1" dxfId="0">
      <formula>ISNUMBER(SEARCH("🔴",$G8))</formula>
    </cfRule>
    <cfRule type="expression" priority="2" dxfId="1">
      <formula>ISNUMBER(SEARCH("✅",$G8))</formula>
    </cfRule>
    <cfRule type="expression" priority="3" dxfId="2">
      <formula>OR(ISNUMBER(SEARCH("🟡",$G8)),ISNUMBER(SEARCH("🟠",$G8)))</formula>
    </cfRule>
  </conditionalFormatting>
  <conditionalFormatting sqref="G17:G41">
    <cfRule type="expression" priority="4" dxfId="0">
      <formula>ISNUMBER(SEARCH("🔴",$G17))</formula>
    </cfRule>
    <cfRule type="expression" priority="5" dxfId="1">
      <formula>ISNUMBER(SEARCH("✅",$G17))</formula>
    </cfRule>
    <cfRule type="expression" priority="6" dxfId="2">
      <formula>OR(ISNUMBER(SEARCH("🟡",$G17)),ISNUMBER(SEARCH("🟠",$G17)))</formula>
    </cfRule>
  </conditionalFormatting>
  <pageMargins left="0.75" right="0.75" top="1" bottom="1" header="0" footer="0"/>
  <pageSetup orientation="landscape"/>
</worksheet>
</file>

<file path=xl/worksheets/sheet5.xml><?xml version="1.0" encoding="utf-8"?>
<worksheet xmlns="http://schemas.openxmlformats.org/spreadsheetml/2006/main">
  <sheetPr>
    <tabColor rgb="FFF5A623"/>
    <outlinePr summaryBelow="1" summaryRight="1"/>
    <pageSetUpPr/>
  </sheetPr>
  <dimension ref="A1:AK1000"/>
  <sheetViews>
    <sheetView showGridLines="0" workbookViewId="0">
      <pane ySplit="5" topLeftCell="A6" activePane="bottomLeft" state="frozen"/>
      <selection pane="bottomLeft" activeCell="B7" sqref="B7"/>
    </sheetView>
  </sheetViews>
  <sheetFormatPr baseColWidth="8" defaultColWidth="14.43" defaultRowHeight="15" customHeight="1"/>
  <cols>
    <col width="5" customWidth="1" style="311" min="1" max="1"/>
    <col width="14" customWidth="1" style="311" min="2" max="2"/>
    <col width="25" customWidth="1" style="311" min="3" max="3"/>
    <col width="22" customWidth="1" style="311" min="4" max="4"/>
    <col width="41" customWidth="1" style="311" min="5" max="5"/>
    <col width="18" customWidth="1" style="311" min="6" max="6"/>
    <col width="12" customWidth="1" style="311" min="7" max="7"/>
    <col width="13" customWidth="1" style="311" min="8" max="8"/>
    <col width="14" customWidth="1" style="311" min="9" max="9"/>
    <col width="15" customWidth="1" style="311" min="10" max="10"/>
    <col width="16" customWidth="1" style="311" min="11" max="11"/>
    <col width="28.86" customWidth="1" style="311" min="12" max="12"/>
    <col width="8" customWidth="1" style="311" min="13" max="13"/>
    <col width="17.86" customWidth="1" style="311" min="14" max="14"/>
    <col width="10" customWidth="1" style="311" min="15" max="15"/>
    <col width="17" customWidth="1" style="311" min="16" max="16"/>
    <col width="52" customWidth="1" style="311" min="17" max="17"/>
    <col width="16" customWidth="1" style="311" min="18" max="18"/>
    <col width="44" customWidth="1" style="311" min="19" max="19"/>
    <col width="14" customWidth="1" style="311" min="20" max="20"/>
    <col width="9" customWidth="1" style="311" min="21" max="21"/>
    <col width="24" customWidth="1" style="311" min="22" max="22"/>
    <col width="8.710000000000001" customWidth="1" style="311" min="23" max="25"/>
    <col width="0.43" customWidth="1" style="311" min="26" max="26"/>
    <col width="17" customWidth="1" style="311" min="27" max="27"/>
    <col width="13" customWidth="1" style="311" min="28" max="29"/>
    <col width="15" customWidth="1" style="311" min="30" max="30"/>
    <col width="18" customWidth="1" style="311" min="31" max="31"/>
    <col width="33" customWidth="1" style="311" min="32" max="32"/>
    <col width="15" customWidth="1" style="311" min="33" max="33"/>
    <col width="7" customWidth="1" style="311" min="34" max="34"/>
    <col width="9" customWidth="1" style="311" min="35" max="35"/>
    <col width="24" customWidth="1" style="311" min="36" max="36"/>
    <col width="8.710000000000001" customWidth="1" style="311" min="37" max="37"/>
  </cols>
  <sheetData>
    <row r="1" ht="21.75" customHeight="1" s="311">
      <c r="A1" s="145" t="n"/>
      <c r="B1" s="19" t="inlineStr">
        <is>
          <t>FACTURAS  —  pendientes, abonos y saldos</t>
        </is>
      </c>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 t="n"/>
      <c r="X1" s="1" t="n"/>
      <c r="Y1" s="1" t="n"/>
      <c r="Z1" s="1" t="n"/>
      <c r="AA1" s="1" t="n"/>
      <c r="AB1" s="145" t="n"/>
      <c r="AC1" s="145" t="n"/>
      <c r="AD1" s="145" t="n"/>
      <c r="AE1" s="145" t="n"/>
      <c r="AF1" s="145" t="n"/>
      <c r="AG1" s="145" t="n"/>
      <c r="AH1" s="145" t="n"/>
      <c r="AI1" s="145" t="n"/>
      <c r="AJ1" s="145" t="n"/>
      <c r="AK1" s="1" t="n"/>
    </row>
    <row r="2" ht="28.5" customHeight="1" s="311">
      <c r="A2" s="145" t="n"/>
      <c r="B2" s="20" t="inlineStr">
        <is>
          <t>Cada factura lleva su importe, lo que ya has abonado (pagos a cuenta, notas de abono o descuentos) y el SALDO que queda vivo. Todo el libro trabaja con el saldo, no con el importe original: así un pago parcial se refleja al instante en la tesorería y en el disponible.</t>
        </is>
      </c>
      <c r="K2" s="145" t="n"/>
      <c r="L2" s="145" t="n"/>
      <c r="M2" s="145" t="n"/>
      <c r="N2" s="145" t="n"/>
      <c r="O2" s="145" t="n"/>
      <c r="P2" s="145" t="n"/>
      <c r="Q2" s="145" t="n"/>
      <c r="R2" s="145" t="n"/>
      <c r="S2" s="145" t="n"/>
      <c r="T2" s="145" t="n"/>
      <c r="U2" s="145" t="n"/>
      <c r="V2" s="145" t="n"/>
      <c r="W2" s="1" t="n"/>
      <c r="X2" s="1" t="n"/>
      <c r="Y2" s="1" t="n"/>
      <c r="Z2" s="1" t="n"/>
      <c r="AA2" s="1" t="n"/>
      <c r="AB2" s="145" t="n"/>
      <c r="AC2" s="145" t="n"/>
      <c r="AD2" s="145" t="n"/>
      <c r="AE2" s="145" t="n"/>
      <c r="AF2" s="145" t="n"/>
      <c r="AG2" s="145" t="n"/>
      <c r="AH2" s="145" t="n"/>
      <c r="AI2" s="145" t="n"/>
      <c r="AJ2" s="145" t="n"/>
      <c r="AK2" s="1" t="n"/>
    </row>
    <row r="3">
      <c r="A3" s="145" t="n"/>
      <c r="B3" s="145" t="n"/>
      <c r="C3" s="145" t="n"/>
      <c r="D3" s="145" t="n"/>
      <c r="E3" s="145" t="n"/>
      <c r="F3" s="145" t="n"/>
      <c r="G3" s="145" t="n"/>
      <c r="H3" s="145" t="n"/>
      <c r="I3" s="145" t="n"/>
      <c r="J3" s="145" t="n"/>
      <c r="K3" s="145" t="n"/>
      <c r="L3" s="145" t="n"/>
      <c r="M3" s="145" t="n"/>
      <c r="N3" s="145" t="n"/>
      <c r="O3" s="145" t="n"/>
      <c r="P3" s="20" t="inlineStr">
        <is>
          <t>Marca aquí las facturas que quieres pagar primero. Aparecerán solas en la hoja Prioridad, ordenadas, y desaparecerán en cuanto su saldo llegue a cero.</t>
        </is>
      </c>
      <c r="R3" s="145" t="n"/>
      <c r="S3" s="145" t="n"/>
      <c r="T3" s="145" t="n"/>
      <c r="U3" s="145" t="n"/>
      <c r="V3" s="145" t="n"/>
      <c r="W3" s="1" t="n"/>
      <c r="X3" s="1" t="n"/>
      <c r="Y3" s="1" t="n"/>
      <c r="Z3" s="1" t="n"/>
      <c r="AA3" s="1" t="n"/>
      <c r="AB3" s="145" t="n"/>
      <c r="AC3" s="145" t="n"/>
      <c r="AD3" s="145" t="n"/>
      <c r="AE3" s="145" t="n"/>
      <c r="AF3" s="145" t="n"/>
      <c r="AG3" s="145" t="n"/>
      <c r="AH3" s="145" t="n"/>
      <c r="AI3" s="145" t="n"/>
      <c r="AJ3" s="145" t="n"/>
      <c r="AK3" s="1" t="n"/>
    </row>
    <row r="4" ht="21.75" customHeight="1" s="311">
      <c r="A4" s="21" t="inlineStr">
        <is>
          <t>1.  REGISTRO  —  clasificado por categoría y fecha</t>
        </is>
      </c>
      <c r="B4" s="22" t="n"/>
      <c r="C4" s="22" t="n"/>
      <c r="D4" s="22" t="n"/>
      <c r="E4" s="22" t="n"/>
      <c r="F4" s="22" t="n"/>
      <c r="G4" s="22" t="n"/>
      <c r="H4" s="22" t="n"/>
      <c r="I4" s="22" t="n"/>
      <c r="J4" s="24" t="inlineStr">
        <is>
          <t>← también puedes anotar el abono aquí a mano</t>
        </is>
      </c>
      <c r="K4" s="22" t="n"/>
      <c r="L4" s="22" t="n"/>
      <c r="M4" s="22" t="n"/>
      <c r="N4" s="22" t="n"/>
      <c r="O4" s="22" t="n"/>
      <c r="P4" s="22" t="n"/>
      <c r="Q4" s="145" t="n"/>
      <c r="R4" s="24" t="inlineStr">
        <is>
          <t>APLAZAMIENTOS  —  escribe la nueva fecha pactada en la columna R y, si el acreedor cobra recargo, anótalo en T. Todo el libro pasará a usar esa fecha.</t>
        </is>
      </c>
      <c r="S4" s="313" t="n"/>
      <c r="T4" s="314" t="n"/>
      <c r="U4" s="30" t="n"/>
      <c r="V4" s="30" t="n"/>
      <c r="W4" s="1" t="n"/>
      <c r="X4" s="1" t="n"/>
      <c r="Y4" s="1" t="n"/>
      <c r="Z4" s="1" t="n"/>
      <c r="AA4" s="1" t="n"/>
      <c r="AB4" s="31" t="inlineStr">
        <is>
          <t>Auxiliar</t>
        </is>
      </c>
      <c r="AC4" s="145" t="n"/>
      <c r="AD4" s="145" t="n"/>
      <c r="AE4" s="145" t="n"/>
      <c r="AF4" s="32" t="inlineStr">
        <is>
          <t>2.  SALDO PENDIENTE POR CATEGORÍA</t>
        </is>
      </c>
      <c r="AG4" s="30" t="n"/>
      <c r="AH4" s="30" t="n"/>
      <c r="AI4" s="30" t="n"/>
      <c r="AJ4" s="30" t="n"/>
      <c r="AK4" s="1" t="n"/>
    </row>
    <row r="5" ht="25.5" customHeight="1" s="311">
      <c r="A5" s="33" t="inlineStr">
        <is>
          <t>#</t>
        </is>
      </c>
      <c r="B5" s="33" t="inlineStr">
        <is>
          <t>Estado</t>
        </is>
      </c>
      <c r="C5" s="33" t="inlineStr">
        <is>
          <t>Proveedor / Emisor</t>
        </is>
      </c>
      <c r="D5" s="33" t="inlineStr">
        <is>
          <t>Categoría</t>
        </is>
      </c>
      <c r="E5" s="33" t="inlineStr">
        <is>
          <t>Concepto</t>
        </is>
      </c>
      <c r="F5" s="33" t="inlineStr">
        <is>
          <t>Nº de factura</t>
        </is>
      </c>
      <c r="G5" s="33" t="inlineStr">
        <is>
          <t>Fecha de
emisión</t>
        </is>
      </c>
      <c r="H5" s="33" t="inlineStr">
        <is>
          <t>Fecha de
vencimiento</t>
        </is>
      </c>
      <c r="I5" s="33" t="inlineStr">
        <is>
          <t>Importe de la
factura (€)</t>
        </is>
      </c>
      <c r="J5" s="33" t="inlineStr">
        <is>
          <t>Abonado /
pagado a cuenta (€)</t>
        </is>
      </c>
      <c r="K5" s="33" t="inlineStr">
        <is>
          <t>SALDO
PENDIENTE (€)</t>
        </is>
      </c>
      <c r="L5" s="33" t="inlineStr">
        <is>
          <t>Cuenta de pago</t>
        </is>
      </c>
      <c r="M5" s="33" t="inlineStr">
        <is>
          <t>Días</t>
        </is>
      </c>
      <c r="N5" s="33" t="inlineStr">
        <is>
          <t>Urgencia</t>
        </is>
      </c>
      <c r="O5" s="33" t="inlineStr">
        <is>
          <t>Mes</t>
        </is>
      </c>
      <c r="P5" s="35" t="inlineStr">
        <is>
          <t>PRIORIDAD
DE PAGO</t>
        </is>
      </c>
      <c r="Q5" s="33" t="inlineStr">
        <is>
          <t>Notas</t>
        </is>
      </c>
      <c r="R5" s="33" t="inlineStr">
        <is>
          <t>APLAZADA HASTA
(nueva fecha)</t>
        </is>
      </c>
      <c r="S5" s="33" t="inlineStr">
        <is>
          <t>Motivo / acuerdo del aplazamiento</t>
        </is>
      </c>
      <c r="T5" s="33" t="inlineStr">
        <is>
          <t>Recargo por
aplazar (€)</t>
        </is>
      </c>
      <c r="U5" s="33" t="n"/>
      <c r="V5" s="33" t="n"/>
      <c r="W5" s="1" t="n"/>
      <c r="X5" s="1" t="n"/>
      <c r="Y5" s="1" t="n"/>
      <c r="Z5" s="1" t="n"/>
      <c r="AA5" s="36" t="inlineStr">
        <is>
          <t>Clave de prioridad</t>
        </is>
      </c>
      <c r="AB5" s="36" t="inlineStr">
        <is>
          <t>Clave de orden</t>
        </is>
      </c>
      <c r="AC5" s="36" t="inlineStr">
        <is>
          <t>Ámbito</t>
        </is>
      </c>
      <c r="AD5" s="36" t="inlineStr">
        <is>
          <t>Pagado en Caja</t>
        </is>
      </c>
      <c r="AE5" s="36" t="inlineStr">
        <is>
          <t>Vencimiento efectivo</t>
        </is>
      </c>
      <c r="AF5" s="33" t="inlineStr">
        <is>
          <t>Categoría</t>
        </is>
      </c>
      <c r="AG5" s="33" t="inlineStr">
        <is>
          <t>Saldo pendiente (€)</t>
        </is>
      </c>
      <c r="AH5" s="33" t="inlineStr">
        <is>
          <t>Nº</t>
        </is>
      </c>
      <c r="AI5" s="33" t="inlineStr">
        <is>
          <t>%</t>
        </is>
      </c>
      <c r="AJ5" s="33" t="inlineStr">
        <is>
          <t>Visual</t>
        </is>
      </c>
      <c r="AK5" s="1" t="n"/>
    </row>
    <row r="6" ht="32.25" customHeight="1" s="311">
      <c r="A6" s="41">
        <f>IF($C6="","",ROW()-5)</f>
        <v/>
      </c>
      <c r="B6" s="83" t="inlineStr">
        <is>
          <t>Pagada</t>
        </is>
      </c>
      <c r="C6" s="146" t="inlineStr">
        <is>
          <t>Veolia</t>
        </is>
      </c>
      <c r="D6" s="146" t="inlineStr">
        <is>
          <t>Agua</t>
        </is>
      </c>
      <c r="E6" s="146" t="inlineStr">
        <is>
          <t>Factura del agua</t>
        </is>
      </c>
      <c r="F6" s="48" t="inlineStr">
        <is>
          <t>981 215 990</t>
        </is>
      </c>
      <c r="G6" s="144" t="n">
        <v>46205</v>
      </c>
      <c r="H6" s="144" t="n">
        <v>46219</v>
      </c>
      <c r="I6" s="76" t="n">
        <v>98.2</v>
      </c>
      <c r="J6" s="76" t="n">
        <v>98.2</v>
      </c>
      <c r="K6" s="57">
        <f>IF($C6="","",IF($B6="Pagada",0,ROUND(MAX(0,N($I6)+N($T6)-N($J6)-N($AD6)),2)))</f>
        <v/>
      </c>
      <c r="L6" s="146" t="inlineStr">
        <is>
          <t>Revolut (corriente)</t>
        </is>
      </c>
      <c r="M6" s="59">
        <f>IF(OR($C6="",$AE6="",$K6=0),"",$AE6-TODAY())</f>
        <v/>
      </c>
      <c r="N6" s="62">
        <f>IF($C6="","",IF($K6=0,"✅ Saldada",IF($M6="","",IF($M6&lt;0,IF(N($R6)&gt;0,"🔴 APLAZADA VENCIDA","🔴 VENCIDA"),IF(N($R6)&gt;0,"🕓 Aplazada",IF($M6&lt;=3,"🟠 ≤3 días",IF($M6&lt;=7,"🟡 ≤7 días",IF($M6&lt;=30,"🔵 ≤30 días","⚪ &gt;30 días"))))))))</f>
        <v/>
      </c>
      <c r="O6" s="64">
        <f>IF($AE6="","",TEXT($AE6,"YYYY-MM"))</f>
        <v/>
      </c>
      <c r="P6" s="83" t="inlineStr">
        <is>
          <t>1 · Urgente</t>
        </is>
      </c>
      <c r="Q6" s="20" t="inlineStr">
        <is>
          <t>Ya la tenías: la he actualizado con los datos reales de la captura (nº 981 215 990, factura 02072026AN00029464, vencimiento 16/07/2026). NO la he duplicado.</t>
        </is>
      </c>
      <c r="R6" s="144" t="n"/>
      <c r="S6" s="20" t="n"/>
      <c r="T6" s="76" t="n"/>
      <c r="U6" s="65" t="n"/>
      <c r="V6" s="66" t="n"/>
      <c r="W6" s="1" t="n"/>
      <c r="X6" s="1" t="n"/>
      <c r="Y6" s="1" t="n"/>
      <c r="Z6" s="1" t="n"/>
      <c r="AA6" s="67">
        <f>IF(OR($C6="",$K6=0,$P6=""),"",VALUE(LEFT($P6,1))*100000+N($M6)+ROW()/100000)</f>
        <v/>
      </c>
      <c r="AB6" s="67">
        <f>IF(OR($C6="",$K6=0,$AE6=""),"",$M6+ROW()/100000)</f>
        <v/>
      </c>
      <c r="AC6" s="41">
        <f t="array" ref="AC6">IF($C6="","",IFERROR(INDEX(Disponibilidad!$O$6:$O$18,MATCH($L6,Disponibilidad!$B$6:$B$18,0)),"Hogar"))</f>
        <v/>
      </c>
      <c r="AD6" s="74">
        <f>IF($C6="","",SUMIFS(Caja!$H$6:$H$505,Caja!$J$6:$J$505,$A6,Caja!$C$6:$C$505,"Pago"))</f>
        <v/>
      </c>
      <c r="AE6" s="144">
        <f>IF($C6="","",IF(N($R6)&gt;0,$R6,$H6))</f>
        <v/>
      </c>
      <c r="AF6" s="46" t="inlineStr">
        <is>
          <t>Hipoteca</t>
        </is>
      </c>
      <c r="AG6" s="42">
        <f>SUMIFS($K$6:$K$205,$D$6:$D$205,$AF6)</f>
        <v/>
      </c>
      <c r="AH6" s="59">
        <f>COUNTIFS($D$6:$D$205,$AF6,$K$6:$K$205,"&gt;0")</f>
        <v/>
      </c>
      <c r="AI6" s="65">
        <f>IFERROR($AG6/$AG$20,"")</f>
        <v/>
      </c>
      <c r="AJ6" s="66">
        <f>IF($AG6=0,"",REPT("█",MAX(1,ROUND($AG6/MAX($AG$6:$AG$19)*18,0))))</f>
        <v/>
      </c>
      <c r="AK6" s="1" t="n"/>
    </row>
    <row r="7" ht="15" customHeight="1" s="311">
      <c r="A7" s="41">
        <f>IF($C7="","",ROW()-5)</f>
        <v/>
      </c>
      <c r="B7" s="83" t="inlineStr">
        <is>
          <t>Pendiente</t>
        </is>
      </c>
      <c r="C7" s="146" t="inlineStr">
        <is>
          <t>CaixaBank</t>
        </is>
      </c>
      <c r="D7" s="146" t="inlineStr">
        <is>
          <t>Tarjeta de crédito</t>
        </is>
      </c>
      <c r="E7" s="146" t="inlineStr">
        <is>
          <t>Cuota de la tarjeta</t>
        </is>
      </c>
      <c r="F7" s="48" t="n"/>
      <c r="G7" s="144" t="n">
        <v>46223</v>
      </c>
      <c r="H7" s="144" t="n">
        <v>46234</v>
      </c>
      <c r="I7" s="76" t="n">
        <v>50</v>
      </c>
      <c r="J7" s="76" t="n">
        <v>50</v>
      </c>
      <c r="K7" s="57">
        <f>IF($C7="","",IF($B7="Pagada",0,ROUND(MAX(0,N($I7)+N($T7)-N($J7)-N($AD7)),2)))</f>
        <v/>
      </c>
      <c r="L7" s="146" t="inlineStr">
        <is>
          <t>CaixaBank (corriente 9914)</t>
        </is>
      </c>
      <c r="M7" s="59">
        <f>IF(OR($C7="",$AE7="",$K7=0),"",$AE7-TODAY())</f>
        <v/>
      </c>
      <c r="N7" s="62">
        <f>IF($C7="","",IF($K7=0,"✅ Saldada",IF($M7="","",IF($M7&lt;0,IF(N($R7)&gt;0,"🔴 APLAZADA VENCIDA","🔴 VENCIDA"),IF(N($R7)&gt;0,"🕓 Aplazada",IF($M7&lt;=3,"🟠 ≤3 días",IF($M7&lt;=7,"🟡 ≤7 días",IF($M7&lt;=30,"🔵 ≤30 días","⚪ &gt;30 días"))))))))</f>
        <v/>
      </c>
      <c r="O7" s="64">
        <f>IF($AE7="","",TEXT($AE7,"YYYY-MM"))</f>
        <v/>
      </c>
      <c r="P7" s="83" t="inlineStr">
        <is>
          <t>1 · Urgente</t>
        </is>
      </c>
      <c r="Q7" s="20" t="inlineStr">
        <is>
          <t>MIGRADA de tu hoja "tesoreria".</t>
        </is>
      </c>
      <c r="R7" s="144" t="n"/>
      <c r="S7" s="20" t="n"/>
      <c r="T7" s="76" t="n"/>
      <c r="U7" s="65" t="n"/>
      <c r="V7" s="66" t="n"/>
      <c r="W7" s="1" t="n"/>
      <c r="X7" s="1" t="n"/>
      <c r="Y7" s="1" t="n"/>
      <c r="Z7" s="1" t="n"/>
      <c r="AA7" s="67">
        <f>IF(OR($C7="",$K7=0,$P7=""),"",VALUE(LEFT($P7,1))*100000+N($M7)+ROW()/100000)</f>
        <v/>
      </c>
      <c r="AB7" s="67">
        <f>IF(OR($C7="",$K7=0,$AE7=""),"",$M7+ROW()/100000)</f>
        <v/>
      </c>
      <c r="AC7" s="41">
        <f t="array" ref="AC7">IF($C7="","",IFERROR(INDEX(Disponibilidad!$O$6:$O$18,MATCH($L7,Disponibilidad!$B$6:$B$18,0)),"Hogar"))</f>
        <v/>
      </c>
      <c r="AD7" s="74">
        <f>IF($C7="","",SUMIFS(Caja!$H$6:$H$505,Caja!$J$6:$J$505,$A7,Caja!$C$6:$C$505,"Pago"))</f>
        <v/>
      </c>
      <c r="AE7" s="144">
        <f>IF($C7="","",IF(N($R7)&gt;0,$R7,$H7))</f>
        <v/>
      </c>
      <c r="AF7" s="46" t="inlineStr">
        <is>
          <t>Agua</t>
        </is>
      </c>
      <c r="AG7" s="42">
        <f>SUMIFS($K$6:$K$205,$D$6:$D$205,$AF7)</f>
        <v/>
      </c>
      <c r="AH7" s="59">
        <f>COUNTIFS($D$6:$D$205,$AF7,$K$6:$K$205,"&gt;0")</f>
        <v/>
      </c>
      <c r="AI7" s="65">
        <f>IFERROR($AG7/$AG$20,"")</f>
        <v/>
      </c>
      <c r="AJ7" s="66">
        <f>IF($AG7=0,"",REPT("█",MAX(1,ROUND($AG7/MAX($AG$6:$AG$19)*18,0))))</f>
        <v/>
      </c>
      <c r="AK7" s="1" t="n"/>
    </row>
    <row r="8" ht="32.25" customHeight="1" s="311">
      <c r="A8" s="41">
        <f>IF($C8="","",ROW()-5)</f>
        <v/>
      </c>
      <c r="B8" s="83" t="inlineStr">
        <is>
          <t>Pagada</t>
        </is>
      </c>
      <c r="C8" s="146" t="inlineStr">
        <is>
          <t>Agencia Tributaria</t>
        </is>
      </c>
      <c r="D8" s="146" t="inlineStr">
        <is>
          <t>Impuestos y hacienda</t>
        </is>
      </c>
      <c r="E8" s="146" t="inlineStr">
        <is>
          <t>Deuda de Hacienda</t>
        </is>
      </c>
      <c r="F8" s="48" t="inlineStr">
        <is>
          <t>A1585426100091075</t>
        </is>
      </c>
      <c r="G8" s="144" t="n">
        <v>46213</v>
      </c>
      <c r="H8" s="144" t="n">
        <v>46239</v>
      </c>
      <c r="I8" s="76" t="n">
        <v>72.90000000000001</v>
      </c>
      <c r="J8" s="76" t="n">
        <v>72.90000000000001</v>
      </c>
      <c r="K8" s="57">
        <f>IF($C8="","",IF($B8="Pagada",0,ROUND(MAX(0,N($I8)+N($T8)-N($J8)-N($AD8)),2)))</f>
        <v/>
      </c>
      <c r="L8" s="146" t="inlineStr">
        <is>
          <t>Revolut (corriente)</t>
        </is>
      </c>
      <c r="M8" s="59">
        <f>IF(OR($C8="",$AE8="",$K8=0),"",$AE8-TODAY())</f>
        <v/>
      </c>
      <c r="N8" s="62">
        <f>IF($C8="","",IF($K8=0,"✅ Saldada",IF($M8="","",IF($M8&lt;0,IF(N($R8)&gt;0,"🔴 APLAZADA VENCIDA","🔴 VENCIDA"),IF(N($R8)&gt;0,"🕓 Aplazada",IF($M8&lt;=3,"🟠 ≤3 días",IF($M8&lt;=7,"🟡 ≤7 días",IF($M8&lt;=30,"🔵 ≤30 días","⚪ &gt;30 días"))))))))</f>
        <v/>
      </c>
      <c r="O8" s="64">
        <f>IF($AE8="","",TEXT($AE8,"YYYY-MM"))</f>
        <v/>
      </c>
      <c r="P8" s="83" t="inlineStr">
        <is>
          <t>1 · Urgente</t>
        </is>
      </c>
      <c r="Q8" s="20" t="inlineStr">
        <is>
          <t>Ya la tenías: es la cuota de 08/2026 del fraccionamiento, expediente 152640329330L. NO la he duplicado; las siete cuotas siguientes están más abajo.</t>
        </is>
      </c>
      <c r="R8" s="144" t="n"/>
      <c r="S8" s="20" t="n"/>
      <c r="T8" s="76" t="n"/>
      <c r="U8" s="65" t="n"/>
      <c r="V8" s="66" t="n"/>
      <c r="W8" s="1" t="n"/>
      <c r="X8" s="1" t="n"/>
      <c r="Y8" s="1" t="n"/>
      <c r="Z8" s="1" t="n"/>
      <c r="AA8" s="67">
        <f>IF(OR($C8="",$K8=0,$P8=""),"",VALUE(LEFT($P8,1))*100000+N($M8)+ROW()/100000)</f>
        <v/>
      </c>
      <c r="AB8" s="67">
        <f>IF(OR($C8="",$K8=0,$AE8=""),"",$M8+ROW()/100000)</f>
        <v/>
      </c>
      <c r="AC8" s="41">
        <f t="array" ref="AC8">IF($C8="","",IFERROR(INDEX(Disponibilidad!$O$6:$O$18,MATCH($L8,Disponibilidad!$B$6:$B$18,0)),"Hogar"))</f>
        <v/>
      </c>
      <c r="AD8" s="74">
        <f>IF($C8="","",SUMIFS(Caja!$H$6:$H$505,Caja!$J$6:$J$505,$A8,Caja!$C$6:$C$505,"Pago"))</f>
        <v/>
      </c>
      <c r="AE8" s="144">
        <f>IF($C8="","",IF(N($R8)&gt;0,$R8,$H8))</f>
        <v/>
      </c>
      <c r="AF8" s="46" t="inlineStr">
        <is>
          <t>Luz</t>
        </is>
      </c>
      <c r="AG8" s="42">
        <f>SUMIFS($K$6:$K$205,$D$6:$D$205,$AF8)</f>
        <v/>
      </c>
      <c r="AH8" s="59">
        <f>COUNTIFS($D$6:$D$205,$AF8,$K$6:$K$205,"&gt;0")</f>
        <v/>
      </c>
      <c r="AI8" s="65">
        <f>IFERROR($AG8/$AG$20,"")</f>
        <v/>
      </c>
      <c r="AJ8" s="66">
        <f>IF($AG8=0,"",REPT("█",MAX(1,ROUND($AG8/MAX($AG$6:$AG$19)*18,0))))</f>
        <v/>
      </c>
      <c r="AK8" s="1" t="n"/>
    </row>
    <row r="9" ht="21.75" customHeight="1" s="311">
      <c r="A9" s="41">
        <f>IF($C9="","",ROW()-5)</f>
        <v/>
      </c>
      <c r="B9" s="83" t="inlineStr">
        <is>
          <t>Domiciliada</t>
        </is>
      </c>
      <c r="C9" s="146" t="inlineStr">
        <is>
          <t>Banco (hipoteca)</t>
        </is>
      </c>
      <c r="D9" s="146" t="inlineStr">
        <is>
          <t>Hipoteca</t>
        </is>
      </c>
      <c r="E9" s="146" t="inlineStr">
        <is>
          <t>Cuota mensual de la hipoteca</t>
        </is>
      </c>
      <c r="F9" s="48" t="n"/>
      <c r="G9" s="144" t="n">
        <v>46235</v>
      </c>
      <c r="H9" s="144" t="n">
        <v>46235</v>
      </c>
      <c r="I9" s="76" t="n">
        <v>431</v>
      </c>
      <c r="J9" s="76" t="n">
        <v>0</v>
      </c>
      <c r="K9" s="57">
        <f>IF($C9="","",IF($B9="Pagada",0,ROUND(MAX(0,N($I9)+N($T9)-N($J9)-N($AD9)),2)))</f>
        <v/>
      </c>
      <c r="L9" s="146" t="inlineStr">
        <is>
          <t>CaixaBank (corriente 9914)</t>
        </is>
      </c>
      <c r="M9" s="59">
        <f>IF(OR($C9="",$AE9="",$K9=0),"",$AE9-TODAY())</f>
        <v/>
      </c>
      <c r="N9" s="62">
        <f>IF($C9="","",IF($K9=0,"✅ Saldada",IF($M9="","",IF($M9&lt;0,IF(N($R9)&gt;0,"🔴 APLAZADA VENCIDA","🔴 VENCIDA"),IF(N($R9)&gt;0,"🕓 Aplazada",IF($M9&lt;=3,"🟠 ≤3 días",IF($M9&lt;=7,"🟡 ≤7 días",IF($M9&lt;=30,"🔵 ≤30 días","⚪ &gt;30 días"))))))))</f>
        <v/>
      </c>
      <c r="O9" s="64">
        <f>IF($AE9="","",TEXT($AE9,"YYYY-MM"))</f>
        <v/>
      </c>
      <c r="P9" s="83" t="n"/>
      <c r="Q9" s="20" t="inlineStr">
        <is>
          <t>SUPUESTO a partir del gasto de 431 € de tu presupuesto del hogar. Ajusta la fecha real de cargo.</t>
        </is>
      </c>
      <c r="R9" s="144" t="n"/>
      <c r="S9" s="20" t="n"/>
      <c r="T9" s="76" t="n"/>
      <c r="U9" s="65" t="n"/>
      <c r="V9" s="66" t="n"/>
      <c r="W9" s="1" t="n"/>
      <c r="X9" s="1" t="n"/>
      <c r="Y9" s="1" t="n"/>
      <c r="Z9" s="1" t="n"/>
      <c r="AA9" s="67">
        <f>IF(OR($C9="",$K9=0,$P9=""),"",VALUE(LEFT($P9,1))*100000+N($M9)+ROW()/100000)</f>
        <v/>
      </c>
      <c r="AB9" s="67">
        <f>IF(OR($C9="",$K9=0,$AE9=""),"",$M9+ROW()/100000)</f>
        <v/>
      </c>
      <c r="AC9" s="41">
        <f t="array" ref="AC9">IF($C9="","",IFERROR(INDEX(Disponibilidad!$O$6:$O$18,MATCH($L9,Disponibilidad!$B$6:$B$18,0)),"Hogar"))</f>
        <v/>
      </c>
      <c r="AD9" s="74">
        <f>IF($C9="","",SUMIFS(Caja!$H$6:$H$505,Caja!$J$6:$J$505,$A9,Caja!$C$6:$C$505,"Pago"))</f>
        <v/>
      </c>
      <c r="AE9" s="144">
        <f>IF($C9="","",IF(N($R9)&gt;0,$R9,$H9))</f>
        <v/>
      </c>
      <c r="AF9" s="46" t="inlineStr">
        <is>
          <t>Gas</t>
        </is>
      </c>
      <c r="AG9" s="42">
        <f>SUMIFS($K$6:$K$205,$D$6:$D$205,$AF9)</f>
        <v/>
      </c>
      <c r="AH9" s="59">
        <f>COUNTIFS($D$6:$D$205,$AF9,$K$6:$K$205,"&gt;0")</f>
        <v/>
      </c>
      <c r="AI9" s="65">
        <f>IFERROR($AG9/$AG$20,"")</f>
        <v/>
      </c>
      <c r="AJ9" s="66">
        <f>IF($AG9=0,"",REPT("█",MAX(1,ROUND($AG9/MAX($AG$6:$AG$19)*18,0))))</f>
        <v/>
      </c>
      <c r="AK9" s="1" t="n"/>
    </row>
    <row r="10" ht="15" customHeight="1" s="311">
      <c r="A10" s="41">
        <f>IF($C10="","",ROW()-5)</f>
        <v/>
      </c>
      <c r="B10" s="83" t="inlineStr">
        <is>
          <t>Pagada</t>
        </is>
      </c>
      <c r="C10" s="146" t="inlineStr">
        <is>
          <t>Supermercado</t>
        </is>
      </c>
      <c r="D10" s="146" t="inlineStr">
        <is>
          <t>Alimentación</t>
        </is>
      </c>
      <c r="E10" s="146" t="inlineStr">
        <is>
          <t>Compra del mes</t>
        </is>
      </c>
      <c r="F10" s="48" t="n"/>
      <c r="G10" s="144" t="n">
        <v>46235</v>
      </c>
      <c r="H10" s="144" t="n">
        <v>46244</v>
      </c>
      <c r="I10" s="76" t="n">
        <v>345</v>
      </c>
      <c r="J10" s="76" t="n">
        <v>0</v>
      </c>
      <c r="K10" s="57">
        <f>IF($C10="","",IF($B10="Pagada",0,ROUND(MAX(0,N($I10)+N($T10)-N($J10)-N($AD10)),2)))</f>
        <v/>
      </c>
      <c r="L10" s="146" t="inlineStr">
        <is>
          <t>CaixaBank (corriente 9914)</t>
        </is>
      </c>
      <c r="M10" s="59">
        <f>IF(OR($C10="",$AE10="",$K10=0),"",$AE10-TODAY())</f>
        <v/>
      </c>
      <c r="N10" s="62">
        <f>IF($C10="","",IF($K10=0,"✅ Saldada",IF($M10="","",IF($M10&lt;0,IF(N($R10)&gt;0,"🔴 APLAZADA VENCIDA","🔴 VENCIDA"),IF(N($R10)&gt;0,"🕓 Aplazada",IF($M10&lt;=3,"🟠 ≤3 días",IF($M10&lt;=7,"🟡 ≤7 días",IF($M10&lt;=30,"🔵 ≤30 días","⚪ &gt;30 días"))))))))</f>
        <v/>
      </c>
      <c r="O10" s="64">
        <f>IF($AE10="","",TEXT($AE10,"YYYY-MM"))</f>
        <v/>
      </c>
      <c r="P10" s="83" t="n"/>
      <c r="Q10" s="20" t="inlineStr">
        <is>
          <t>SUPUESTO: los 345 € de alimentación de tu presupuesto.</t>
        </is>
      </c>
      <c r="R10" s="144" t="n"/>
      <c r="S10" s="20" t="n"/>
      <c r="T10" s="76" t="n"/>
      <c r="U10" s="65" t="n"/>
      <c r="V10" s="66" t="n"/>
      <c r="W10" s="1" t="n"/>
      <c r="X10" s="1" t="n"/>
      <c r="Y10" s="1" t="n"/>
      <c r="Z10" s="1" t="n"/>
      <c r="AA10" s="67">
        <f>IF(OR($C10="",$K10=0,$P10=""),"",VALUE(LEFT($P10,1))*100000+N($M10)+ROW()/100000)</f>
        <v/>
      </c>
      <c r="AB10" s="67">
        <f>IF(OR($C10="",$K10=0,$AE10=""),"",$M10+ROW()/100000)</f>
        <v/>
      </c>
      <c r="AC10" s="41">
        <f t="array" ref="AC10">IF($C10="","",IFERROR(INDEX(Disponibilidad!$O$6:$O$18,MATCH($L10,Disponibilidad!$B$6:$B$18,0)),"Hogar"))</f>
        <v/>
      </c>
      <c r="AD10" s="74">
        <f>IF($C10="","",SUMIFS(Caja!$H$6:$H$505,Caja!$J$6:$J$505,$A10,Caja!$C$6:$C$505,"Pago"))</f>
        <v/>
      </c>
      <c r="AE10" s="144">
        <f>IF($C10="","",IF(N($R10)&gt;0,$R10,$H10))</f>
        <v/>
      </c>
      <c r="AF10" s="46" t="inlineStr">
        <is>
          <t>Comunidad</t>
        </is>
      </c>
      <c r="AG10" s="42">
        <f>SUMIFS($K$6:$K$205,$D$6:$D$205,$AF10)</f>
        <v/>
      </c>
      <c r="AH10" s="59">
        <f>COUNTIFS($D$6:$D$205,$AF10,$K$6:$K$205,"&gt;0")</f>
        <v/>
      </c>
      <c r="AI10" s="65">
        <f>IFERROR($AG10/$AG$20,"")</f>
        <v/>
      </c>
      <c r="AJ10" s="66">
        <f>IF($AG10=0,"",REPT("█",MAX(1,ROUND($AG10/MAX($AG$6:$AG$19)*18,0))))</f>
        <v/>
      </c>
      <c r="AK10" s="1" t="n"/>
    </row>
    <row r="11" ht="15" customHeight="1" s="311">
      <c r="A11" s="41">
        <f>IF($C11="","",ROW()-5)</f>
        <v/>
      </c>
      <c r="B11" s="83" t="inlineStr">
        <is>
          <t>Domiciliada</t>
        </is>
      </c>
      <c r="C11" s="146" t="inlineStr">
        <is>
          <t>Operadora</t>
        </is>
      </c>
      <c r="D11" s="146" t="inlineStr">
        <is>
          <t>Telefonía y datos</t>
        </is>
      </c>
      <c r="E11" s="146" t="inlineStr">
        <is>
          <t>Datos móviles e iPhone</t>
        </is>
      </c>
      <c r="F11" s="48" t="n"/>
      <c r="G11" s="144" t="n">
        <v>46235</v>
      </c>
      <c r="H11" s="144" t="n">
        <v>46246</v>
      </c>
      <c r="I11" s="76" t="n">
        <v>90</v>
      </c>
      <c r="J11" s="76" t="n">
        <v>0</v>
      </c>
      <c r="K11" s="57">
        <f>IF($C11="","",IF($B11="Pagada",0,ROUND(MAX(0,N($I11)+N($T11)-N($J11)-N($AD11)),2)))</f>
        <v/>
      </c>
      <c r="L11" s="146" t="inlineStr">
        <is>
          <t>CaixaBank (corriente 9914)</t>
        </is>
      </c>
      <c r="M11" s="59">
        <f>IF(OR($C11="",$AE11="",$K11=0),"",$AE11-TODAY())</f>
        <v/>
      </c>
      <c r="N11" s="62">
        <f>IF($C11="","",IF($K11=0,"✅ Saldada",IF($M11="","",IF($M11&lt;0,IF(N($R11)&gt;0,"🔴 APLAZADA VENCIDA","🔴 VENCIDA"),IF(N($R11)&gt;0,"🕓 Aplazada",IF($M11&lt;=3,"🟠 ≤3 días",IF($M11&lt;=7,"🟡 ≤7 días",IF($M11&lt;=30,"🔵 ≤30 días","⚪ &gt;30 días"))))))))</f>
        <v/>
      </c>
      <c r="O11" s="64">
        <f>IF($AE11="","",TEXT($AE11,"YYYY-MM"))</f>
        <v/>
      </c>
      <c r="P11" s="83" t="n"/>
      <c r="Q11" s="20" t="inlineStr">
        <is>
          <t>SUPUESTO: los 90 € de tu presupuesto.</t>
        </is>
      </c>
      <c r="R11" s="144" t="n"/>
      <c r="S11" s="20" t="n"/>
      <c r="T11" s="76" t="n"/>
      <c r="U11" s="65" t="n"/>
      <c r="V11" s="66" t="n"/>
      <c r="W11" s="1" t="n"/>
      <c r="X11" s="1" t="n"/>
      <c r="Y11" s="1" t="n"/>
      <c r="Z11" s="1" t="n"/>
      <c r="AA11" s="67">
        <f>IF(OR($C11="",$K11=0,$P11=""),"",VALUE(LEFT($P11,1))*100000+N($M11)+ROW()/100000)</f>
        <v/>
      </c>
      <c r="AB11" s="67">
        <f>IF(OR($C11="",$K11=0,$AE11=""),"",$M11+ROW()/100000)</f>
        <v/>
      </c>
      <c r="AC11" s="41">
        <f t="array" ref="AC11">IF($C11="","",IFERROR(INDEX(Disponibilidad!$O$6:$O$18,MATCH($L11,Disponibilidad!$B$6:$B$18,0)),"Hogar"))</f>
        <v/>
      </c>
      <c r="AD11" s="74">
        <f>IF($C11="","",SUMIFS(Caja!$H$6:$H$505,Caja!$J$6:$J$505,$A11,Caja!$C$6:$C$505,"Pago"))</f>
        <v/>
      </c>
      <c r="AE11" s="144">
        <f>IF($C11="","",IF(N($R11)&gt;0,$R11,$H11))</f>
        <v/>
      </c>
      <c r="AF11" s="46" t="inlineStr">
        <is>
          <t>Telefonía y datos</t>
        </is>
      </c>
      <c r="AG11" s="42">
        <f>SUMIFS($K$6:$K$205,$D$6:$D$205,$AF11)</f>
        <v/>
      </c>
      <c r="AH11" s="59">
        <f>COUNTIFS($D$6:$D$205,$AF11,$K$6:$K$205,"&gt;0")</f>
        <v/>
      </c>
      <c r="AI11" s="65">
        <f>IFERROR($AG11/$AG$20,"")</f>
        <v/>
      </c>
      <c r="AJ11" s="66">
        <f>IF($AG11=0,"",REPT("█",MAX(1,ROUND($AG11/MAX($AG$6:$AG$19)*18,0))))</f>
        <v/>
      </c>
      <c r="AK11" s="1" t="n"/>
    </row>
    <row r="12" ht="32.25" customHeight="1" s="311">
      <c r="A12" s="41">
        <f>IF($C12="","",ROW()-5)</f>
        <v/>
      </c>
      <c r="B12" s="83" t="inlineStr">
        <is>
          <t>Pendiente</t>
        </is>
      </c>
      <c r="C12" s="146" t="inlineStr">
        <is>
          <t>Compañía eléctrica</t>
        </is>
      </c>
      <c r="D12" s="146" t="inlineStr">
        <is>
          <t>Luz</t>
        </is>
      </c>
      <c r="E12" s="146" t="inlineStr">
        <is>
          <t>Factura de la luz</t>
        </is>
      </c>
      <c r="F12" s="48" t="n"/>
      <c r="G12" s="144" t="n">
        <v>46239</v>
      </c>
      <c r="H12" s="144" t="n">
        <v>46252</v>
      </c>
      <c r="I12" s="76" t="n">
        <v>112.76</v>
      </c>
      <c r="J12" s="76" t="n">
        <v>0</v>
      </c>
      <c r="K12" s="57">
        <f>IF($C12="","",IF($B12="Pagada",0,ROUND(MAX(0,N($I12)+N($T12)-N($J12)-N($AD12)),2)))</f>
        <v/>
      </c>
      <c r="L12" s="146" t="inlineStr">
        <is>
          <t>CaixaBank (corriente 9914)</t>
        </is>
      </c>
      <c r="M12" s="59">
        <f>IF(OR($C12="",$AE12="",$K12=0),"",$AE12-TODAY())</f>
        <v/>
      </c>
      <c r="N12" s="62">
        <f>IF($C12="","",IF($K12=0,"✅ Saldada",IF($M12="","",IF($M12&lt;0,IF(N($R12)&gt;0,"🔴 APLAZADA VENCIDA","🔴 VENCIDA"),IF(N($R12)&gt;0,"🕓 Aplazada",IF($M12&lt;=3,"🟠 ≤3 días",IF($M12&lt;=7,"🟡 ≤7 días",IF($M12&lt;=30,"🔵 ≤30 días","⚪ &gt;30 días"))))))))</f>
        <v/>
      </c>
      <c r="O12" s="64">
        <f>IF($AE12="","",TEXT($AE12,"YYYY-MM"))</f>
        <v/>
      </c>
      <c r="P12" s="83" t="n"/>
      <c r="Q12" s="20" t="inlineStr">
        <is>
          <t>⚠️ Esta la inventé yo como supuesto. Ahora tienes las facturas REALES de Iberdrola (90,97 · 74,58 · 41,79 de gas). Bórrala para no contar la luz dos veces.</t>
        </is>
      </c>
      <c r="R12" s="144" t="n"/>
      <c r="S12" s="20" t="n"/>
      <c r="T12" s="76" t="n"/>
      <c r="U12" s="65" t="n"/>
      <c r="V12" s="66" t="n"/>
      <c r="W12" s="1" t="n"/>
      <c r="X12" s="1" t="n"/>
      <c r="Y12" s="1" t="n"/>
      <c r="Z12" s="1" t="n"/>
      <c r="AA12" s="67">
        <f>IF(OR($C12="",$K12=0,$P12=""),"",VALUE(LEFT($P12,1))*100000+N($M12)+ROW()/100000)</f>
        <v/>
      </c>
      <c r="AB12" s="67">
        <f>IF(OR($C12="",$K12=0,$AE12=""),"",$M12+ROW()/100000)</f>
        <v/>
      </c>
      <c r="AC12" s="41">
        <f t="array" ref="AC12">IF($C12="","",IFERROR(INDEX(Disponibilidad!$O$6:$O$18,MATCH($L12,Disponibilidad!$B$6:$B$18,0)),"Hogar"))</f>
        <v/>
      </c>
      <c r="AD12" s="74">
        <f>IF($C12="","",SUMIFS(Caja!$H$6:$H$505,Caja!$J$6:$J$505,$A12,Caja!$C$6:$C$505,"Pago"))</f>
        <v/>
      </c>
      <c r="AE12" s="144">
        <f>IF($C12="","",IF(N($R12)&gt;0,$R12,$H12))</f>
        <v/>
      </c>
      <c r="AF12" s="46" t="inlineStr">
        <is>
          <t>Alimentación</t>
        </is>
      </c>
      <c r="AG12" s="42">
        <f>SUMIFS($K$6:$K$205,$D$6:$D$205,$AF12)</f>
        <v/>
      </c>
      <c r="AH12" s="59">
        <f>COUNTIFS($D$6:$D$205,$AF12,$K$6:$K$205,"&gt;0")</f>
        <v/>
      </c>
      <c r="AI12" s="65">
        <f>IFERROR($AG12/$AG$20,"")</f>
        <v/>
      </c>
      <c r="AJ12" s="66">
        <f>IF($AG12=0,"",REPT("█",MAX(1,ROUND($AG12/MAX($AG$6:$AG$19)*18,0))))</f>
        <v/>
      </c>
      <c r="AK12" s="1" t="n"/>
    </row>
    <row r="13" ht="21.75" customHeight="1" s="311">
      <c r="A13" s="41">
        <f>IF($C13="","",ROW()-5)</f>
        <v/>
      </c>
      <c r="B13" s="83" t="inlineStr">
        <is>
          <t>Domiciliada</t>
        </is>
      </c>
      <c r="C13" s="146" t="inlineStr">
        <is>
          <t>Comunidad de propietarios</t>
        </is>
      </c>
      <c r="D13" s="146" t="inlineStr">
        <is>
          <t>Comunidad</t>
        </is>
      </c>
      <c r="E13" s="146" t="inlineStr">
        <is>
          <t>Cuota de comunidad</t>
        </is>
      </c>
      <c r="F13" s="48" t="n"/>
      <c r="G13" s="144" t="n">
        <v>46235</v>
      </c>
      <c r="H13" s="144" t="n">
        <v>46254</v>
      </c>
      <c r="I13" s="76" t="n">
        <v>30</v>
      </c>
      <c r="J13" s="76" t="n">
        <v>0</v>
      </c>
      <c r="K13" s="57">
        <f>IF($C13="","",IF($B13="Pagada",0,ROUND(MAX(0,N($I13)+N($T13)-N($J13)-N($AD13)),2)))</f>
        <v/>
      </c>
      <c r="L13" s="146" t="inlineStr">
        <is>
          <t>CaixaBank (corriente 9914)</t>
        </is>
      </c>
      <c r="M13" s="59">
        <f>IF(OR($C13="",$AE13="",$K13=0),"",$AE13-TODAY())</f>
        <v/>
      </c>
      <c r="N13" s="62">
        <f>IF($C13="","",IF($K13=0,"✅ Saldada",IF($M13="","",IF($M13&lt;0,IF(N($R13)&gt;0,"🔴 APLAZADA VENCIDA","🔴 VENCIDA"),IF(N($R13)&gt;0,"🕓 Aplazada",IF($M13&lt;=3,"🟠 ≤3 días",IF($M13&lt;=7,"🟡 ≤7 días",IF($M13&lt;=30,"🔵 ≤30 días","⚪ &gt;30 días"))))))))</f>
        <v/>
      </c>
      <c r="O13" s="64">
        <f>IF($AE13="","",TEXT($AE13,"YYYY-MM"))</f>
        <v/>
      </c>
      <c r="P13" s="83" t="n"/>
      <c r="Q13" s="20" t="inlineStr">
        <is>
          <t>⚠️ Supuesto mío. Ahora tienes las nueve facturas REALES de Comunidad Capitol de 30 € cada una. Bórrala.</t>
        </is>
      </c>
      <c r="R13" s="144" t="n"/>
      <c r="S13" s="20" t="n"/>
      <c r="T13" s="76" t="n"/>
      <c r="U13" s="65" t="n"/>
      <c r="V13" s="66" t="n"/>
      <c r="W13" s="1" t="n"/>
      <c r="X13" s="1" t="n"/>
      <c r="Y13" s="1" t="n"/>
      <c r="Z13" s="1" t="n"/>
      <c r="AA13" s="67">
        <f>IF(OR($C13="",$K13=0,$P13=""),"",VALUE(LEFT($P13,1))*100000+N($M13)+ROW()/100000)</f>
        <v/>
      </c>
      <c r="AB13" s="67">
        <f>IF(OR($C13="",$K13=0,$AE13=""),"",$M13+ROW()/100000)</f>
        <v/>
      </c>
      <c r="AC13" s="41">
        <f t="array" ref="AC13">IF($C13="","",IFERROR(INDEX(Disponibilidad!$O$6:$O$18,MATCH($L13,Disponibilidad!$B$6:$B$18,0)),"Hogar"))</f>
        <v/>
      </c>
      <c r="AD13" s="74">
        <f>IF($C13="","",SUMIFS(Caja!$H$6:$H$505,Caja!$J$6:$J$505,$A13,Caja!$C$6:$C$505,"Pago"))</f>
        <v/>
      </c>
      <c r="AE13" s="144">
        <f>IF($C13="","",IF(N($R13)&gt;0,$R13,$H13))</f>
        <v/>
      </c>
      <c r="AF13" s="46" t="inlineStr">
        <is>
          <t>Tarjeta de crédito</t>
        </is>
      </c>
      <c r="AG13" s="42">
        <f>SUMIFS($K$6:$K$205,$D$6:$D$205,$AF13)</f>
        <v/>
      </c>
      <c r="AH13" s="59">
        <f>COUNTIFS($D$6:$D$205,$AF13,$K$6:$K$205,"&gt;0")</f>
        <v/>
      </c>
      <c r="AI13" s="65">
        <f>IFERROR($AG13/$AG$20,"")</f>
        <v/>
      </c>
      <c r="AJ13" s="66">
        <f>IF($AG13=0,"",REPT("█",MAX(1,ROUND($AG13/MAX($AG$6:$AG$19)*18,0))))</f>
        <v/>
      </c>
      <c r="AK13" s="1" t="n"/>
    </row>
    <row r="14" ht="21.75" customHeight="1" s="311">
      <c r="A14" s="41">
        <f>IF($C14="","",ROW()-5)</f>
        <v/>
      </c>
      <c r="B14" s="83" t="inlineStr">
        <is>
          <t>Pagada</t>
        </is>
      </c>
      <c r="C14" s="146" t="inlineStr">
        <is>
          <t>Bank of Ireland</t>
        </is>
      </c>
      <c r="D14" s="146" t="inlineStr">
        <is>
          <t>Tarjeta de crédito</t>
        </is>
      </c>
      <c r="E14" s="146" t="inlineStr">
        <is>
          <t>Pago mínimo Mastercard</t>
        </is>
      </c>
      <c r="F14" s="48" t="n"/>
      <c r="G14" s="144" t="n">
        <v>46235</v>
      </c>
      <c r="H14" s="144" t="n">
        <v>46254</v>
      </c>
      <c r="I14" s="76" t="n">
        <v>150</v>
      </c>
      <c r="J14" s="76" t="n">
        <v>0</v>
      </c>
      <c r="K14" s="57">
        <f>IF($C14="","",IF($B14="Pagada",0,ROUND(MAX(0,N($I14)+N($T14)-N($J14)-N($AD14)),2)))</f>
        <v/>
      </c>
      <c r="L14" s="146" t="inlineStr">
        <is>
          <t>Bank of Ireland (nómina)</t>
        </is>
      </c>
      <c r="M14" s="59">
        <f>IF(OR($C14="",$AE14="",$K14=0),"",$AE14-TODAY())</f>
        <v/>
      </c>
      <c r="N14" s="62">
        <f>IF($C14="","",IF($K14=0,"✅ Saldada",IF($M14="","",IF($M14&lt;0,IF(N($R14)&gt;0,"🔴 APLAZADA VENCIDA","🔴 VENCIDA"),IF(N($R14)&gt;0,"🕓 Aplazada",IF($M14&lt;=3,"🟠 ≤3 días",IF($M14&lt;=7,"🟡 ≤7 días",IF($M14&lt;=30,"🔵 ≤30 días","⚪ &gt;30 días"))))))))</f>
        <v/>
      </c>
      <c r="O14" s="64">
        <f>IF($AE14="","",TEXT($AE14,"YYYY-MM"))</f>
        <v/>
      </c>
      <c r="P14" s="83" t="n"/>
      <c r="Q14" s="20" t="inlineStr">
        <is>
          <t>SUPUESTO. Saldo de 4.990,64 € al 22,8% según tu libro de finanzas personales.</t>
        </is>
      </c>
      <c r="R14" s="144" t="n"/>
      <c r="S14" s="20" t="n"/>
      <c r="T14" s="76" t="n"/>
      <c r="U14" s="65" t="n"/>
      <c r="V14" s="66" t="n"/>
      <c r="W14" s="1" t="n"/>
      <c r="X14" s="1" t="n"/>
      <c r="Y14" s="1" t="n"/>
      <c r="Z14" s="1" t="n"/>
      <c r="AA14" s="67">
        <f>IF(OR($C14="",$K14=0,$P14=""),"",VALUE(LEFT($P14,1))*100000+N($M14)+ROW()/100000)</f>
        <v/>
      </c>
      <c r="AB14" s="67">
        <f>IF(OR($C14="",$K14=0,$AE14=""),"",$M14+ROW()/100000)</f>
        <v/>
      </c>
      <c r="AC14" s="41">
        <f t="array" ref="AC14">IF($C14="","",IFERROR(INDEX(Disponibilidad!$O$6:$O$18,MATCH($L14,Disponibilidad!$B$6:$B$18,0)),"Hogar"))</f>
        <v/>
      </c>
      <c r="AD14" s="74">
        <f>IF($C14="","",SUMIFS(Caja!$H$6:$H$505,Caja!$J$6:$J$505,$A14,Caja!$C$6:$C$505,"Pago"))</f>
        <v/>
      </c>
      <c r="AE14" s="144">
        <f>IF($C14="","",IF(N($R14)&gt;0,$R14,$H14))</f>
        <v/>
      </c>
      <c r="AF14" s="46" t="inlineStr">
        <is>
          <t>Impuestos y hacienda</t>
        </is>
      </c>
      <c r="AG14" s="42">
        <f>SUMIFS($K$6:$K$205,$D$6:$D$205,$AF14)</f>
        <v/>
      </c>
      <c r="AH14" s="59">
        <f>COUNTIFS($D$6:$D$205,$AF14,$K$6:$K$205,"&gt;0")</f>
        <v/>
      </c>
      <c r="AI14" s="65">
        <f>IFERROR($AG14/$AG$20,"")</f>
        <v/>
      </c>
      <c r="AJ14" s="66">
        <f>IF($AG14=0,"",REPT("█",MAX(1,ROUND($AG14/MAX($AG$6:$AG$19)*18,0))))</f>
        <v/>
      </c>
      <c r="AK14" s="1" t="n"/>
    </row>
    <row r="15" ht="21.75" customHeight="1" s="311">
      <c r="A15" s="41">
        <f>IF($C15="","",ROW()-5)</f>
        <v/>
      </c>
      <c r="B15" s="83" t="inlineStr">
        <is>
          <t>Pendiente</t>
        </is>
      </c>
      <c r="C15" s="146" t="inlineStr">
        <is>
          <t>Quick Gold</t>
        </is>
      </c>
      <c r="D15" s="146" t="inlineStr">
        <is>
          <t>Intereses de empeño</t>
        </is>
      </c>
      <c r="E15" s="146" t="inlineStr">
        <is>
          <t>Intereses del empeño — lote 5658R</t>
        </is>
      </c>
      <c r="F15" s="48" t="inlineStr">
        <is>
          <t>5658R</t>
        </is>
      </c>
      <c r="G15" s="144" t="n"/>
      <c r="H15" s="144" t="n">
        <v>46230</v>
      </c>
      <c r="I15" s="76" t="n">
        <v>357.7</v>
      </c>
      <c r="J15" s="76" t="n">
        <v>0</v>
      </c>
      <c r="K15" s="57">
        <f>IF($C15="","",IF($B15="Pagada",0,ROUND(MAX(0,N($I15)+N($T15)-N($J15)-N($AD15)),2)))</f>
        <v/>
      </c>
      <c r="L15" s="146" t="inlineStr">
        <is>
          <t>CaixaBank (corriente 9914)</t>
        </is>
      </c>
      <c r="M15" s="59">
        <f>IF(OR($C15="",$AE15="",$K15=0),"",$AE15-TODAY())</f>
        <v/>
      </c>
      <c r="N15" s="62">
        <f>IF($C15="","",IF($K15=0,"✅ Saldada",IF($M15="","",IF($M15&lt;0,IF(N($R15)&gt;0,"🔴 APLAZADA VENCIDA","🔴 VENCIDA"),IF(N($R15)&gt;0,"🕓 Aplazada",IF($M15&lt;=3,"🟠 ≤3 días",IF($M15&lt;=7,"🟡 ≤7 días",IF($M15&lt;=30,"🔵 ≤30 días","⚪ &gt;30 días"))))))))</f>
        <v/>
      </c>
      <c r="O15" s="64">
        <f>IF($AE15="","",TEXT($AE15,"YYYY-MM"))</f>
        <v/>
      </c>
      <c r="P15" s="83" t="n"/>
      <c r="Q15" s="20" t="inlineStr">
        <is>
          <t>Intereses por el empeño, no devolución de capital: por eso van a gastos financieros del Estado de Resultados y NO se descuentan del pasivo por facturas del Balance. Transcrita de la captura de HomeBank del 30/07/2026. Notas del origen: "intereses…" (texto cortado en la captura).</t>
        </is>
      </c>
      <c r="R15" s="144" t="n"/>
      <c r="S15" s="20" t="n"/>
      <c r="T15" s="76" t="n"/>
      <c r="U15" s="65" t="n"/>
      <c r="V15" s="66" t="n"/>
      <c r="W15" s="1" t="n"/>
      <c r="X15" s="1" t="n"/>
      <c r="Y15" s="1" t="n"/>
      <c r="Z15" s="1" t="n"/>
      <c r="AA15" s="67">
        <f>IF(OR($C15="",$K15=0,$P15=""),"",VALUE(LEFT($P15,1))*100000+N($M15)+ROW()/100000)</f>
        <v/>
      </c>
      <c r="AB15" s="67">
        <f>IF(OR($C15="",$K15=0,$AE15=""),"",$M15+ROW()/100000)</f>
        <v/>
      </c>
      <c r="AC15" s="41">
        <f t="array" ref="AC15">IF($C15="","",IFERROR(INDEX(Disponibilidad!$O$6:$O$18,MATCH($L15,Disponibilidad!$B$6:$B$18,0)),"Hogar"))</f>
        <v/>
      </c>
      <c r="AD15" s="74">
        <f>IF($C15="","",SUMIFS(Caja!$H$6:$H$505,Caja!$J$6:$J$505,$A15,Caja!$C$6:$C$505,"Pago"))</f>
        <v/>
      </c>
      <c r="AE15" s="144">
        <f>IF($C15="","",IF(N($R15)&gt;0,$R15,$H15))</f>
        <v/>
      </c>
      <c r="AF15" s="46" t="inlineStr">
        <is>
          <t>Empeño</t>
        </is>
      </c>
      <c r="AG15" s="42">
        <f>SUMIFS($K$6:$K$205,$D$6:$D$205,$AF15)</f>
        <v/>
      </c>
      <c r="AH15" s="59">
        <f>COUNTIFS($D$6:$D$205,$AF15,$K$6:$K$205,"&gt;0")</f>
        <v/>
      </c>
      <c r="AI15" s="65">
        <f>IFERROR($AG15/$AG$20,"")</f>
        <v/>
      </c>
      <c r="AJ15" s="66">
        <f>IF($AG15=0,"",REPT("█",MAX(1,ROUND($AG15/MAX($AG$6:$AG$19)*18,0))))</f>
        <v/>
      </c>
      <c r="AK15" s="1" t="n"/>
    </row>
    <row r="16" ht="21.75" customHeight="1" s="311">
      <c r="A16" s="41">
        <f>IF($C16="","",ROW()-5)</f>
        <v/>
      </c>
      <c r="B16" s="83" t="inlineStr">
        <is>
          <t>Pendiente</t>
        </is>
      </c>
      <c r="C16" s="146" t="inlineStr">
        <is>
          <t>CloverIntergold</t>
        </is>
      </c>
      <c r="D16" s="146" t="inlineStr">
        <is>
          <t>Empeño</t>
        </is>
      </c>
      <c r="E16" s="146" t="inlineStr">
        <is>
          <t>Pago del préstamo — LOTE R855</t>
        </is>
      </c>
      <c r="F16" s="48" t="inlineStr">
        <is>
          <t>LOTE R855</t>
        </is>
      </c>
      <c r="G16" s="144" t="n"/>
      <c r="H16" s="144" t="n">
        <v>46245</v>
      </c>
      <c r="I16" s="76" t="n">
        <v>187</v>
      </c>
      <c r="J16" s="76" t="n">
        <v>0</v>
      </c>
      <c r="K16" s="57">
        <f>IF($C16="","",IF($B16="Pagada",0,ROUND(MAX(0,N($I16)+N($T16)-N($J16)-N($AD16)),2)))</f>
        <v/>
      </c>
      <c r="L16" s="146" t="inlineStr">
        <is>
          <t>CaixaBank (corriente 9914)</t>
        </is>
      </c>
      <c r="M16" s="59">
        <f>IF(OR($C16="",$AE16="",$K16=0),"",$AE16-TODAY())</f>
        <v/>
      </c>
      <c r="N16" s="62">
        <f>IF($C16="","",IF($K16=0,"✅ Saldada",IF($M16="","",IF($M16&lt;0,IF(N($R16)&gt;0,"🔴 APLAZADA VENCIDA","🔴 VENCIDA"),IF(N($R16)&gt;0,"🕓 Aplazada",IF($M16&lt;=3,"🟠 ≤3 días",IF($M16&lt;=7,"🟡 ≤7 días",IF($M16&lt;=30,"🔵 ≤30 días","⚪ &gt;30 días"))))))))</f>
        <v/>
      </c>
      <c r="O16" s="64">
        <f>IF($AE16="","",TEXT($AE16,"YYYY-MM"))</f>
        <v/>
      </c>
      <c r="P16" s="83" t="inlineStr">
        <is>
          <t>3 · Media</t>
        </is>
      </c>
      <c r="Q16" s="20" t="inlineStr">
        <is>
          <t>Transcrita de la captura de HomeBank del 30/07/2026. Notas del origen: "Monto tot…".</t>
        </is>
      </c>
      <c r="R16" s="144" t="n"/>
      <c r="S16" s="20" t="n"/>
      <c r="T16" s="76" t="n"/>
      <c r="U16" s="65" t="n"/>
      <c r="V16" s="66" t="n"/>
      <c r="W16" s="1" t="n"/>
      <c r="X16" s="1" t="n"/>
      <c r="Y16" s="1" t="n"/>
      <c r="Z16" s="1" t="n"/>
      <c r="AA16" s="67">
        <f>IF(OR($C16="",$K16=0,$P16=""),"",VALUE(LEFT($P16,1))*100000+N($M16)+ROW()/100000)</f>
        <v/>
      </c>
      <c r="AB16" s="67">
        <f>IF(OR($C16="",$K16=0,$AE16=""),"",$M16+ROW()/100000)</f>
        <v/>
      </c>
      <c r="AC16" s="41">
        <f t="array" ref="AC16">IF($C16="","",IFERROR(INDEX(Disponibilidad!$O$6:$O$18,MATCH($L16,Disponibilidad!$B$6:$B$18,0)),"Hogar"))</f>
        <v/>
      </c>
      <c r="AD16" s="74">
        <f>IF($C16="","",SUMIFS(Caja!$H$6:$H$505,Caja!$J$6:$J$505,$A16,Caja!$C$6:$C$505,"Pago"))</f>
        <v/>
      </c>
      <c r="AE16" s="144">
        <f>IF($C16="","",IF(N($R16)&gt;0,$R16,$H16))</f>
        <v/>
      </c>
      <c r="AF16" s="46" t="inlineStr">
        <is>
          <t>Préstamo particular</t>
        </is>
      </c>
      <c r="AG16" s="42">
        <f>SUMIFS($K$6:$K$205,$D$6:$D$205,$AF16)</f>
        <v/>
      </c>
      <c r="AH16" s="59">
        <f>COUNTIFS($D$6:$D$205,$AF16,$K$6:$K$205,"&gt;0")</f>
        <v/>
      </c>
      <c r="AI16" s="65">
        <f>IFERROR($AG16/$AG$20,"")</f>
        <v/>
      </c>
      <c r="AJ16" s="66">
        <f>IF($AG16=0,"",REPT("█",MAX(1,ROUND($AG16/MAX($AG$6:$AG$19)*18,0))))</f>
        <v/>
      </c>
      <c r="AK16" s="1" t="n"/>
    </row>
    <row r="17" ht="15" customHeight="1" s="311">
      <c r="A17" s="41">
        <f>IF($C17="","",ROW()-5)</f>
        <v/>
      </c>
      <c r="B17" s="83" t="inlineStr">
        <is>
          <t>Pendiente</t>
        </is>
      </c>
      <c r="C17" s="146" t="inlineStr">
        <is>
          <t>Quick Gold</t>
        </is>
      </c>
      <c r="D17" s="146" t="inlineStr">
        <is>
          <t>Intereses de empeño</t>
        </is>
      </c>
      <c r="E17" s="146" t="inlineStr">
        <is>
          <t>Intereses del empeño — lote 005659</t>
        </is>
      </c>
      <c r="F17" s="48" t="inlineStr">
        <is>
          <t>lote 005659</t>
        </is>
      </c>
      <c r="G17" s="144" t="n"/>
      <c r="H17" s="144" t="n">
        <v>46275</v>
      </c>
      <c r="I17" s="76" t="n">
        <v>114.45</v>
      </c>
      <c r="J17" s="76" t="n">
        <v>0</v>
      </c>
      <c r="K17" s="57">
        <f>IF($C17="","",IF($B17="Pagada",0,ROUND(MAX(0,N($I17)+N($T17)-N($J17)-N($AD17)),2)))</f>
        <v/>
      </c>
      <c r="L17" s="146" t="inlineStr">
        <is>
          <t>CaixaBank (corriente 9914)</t>
        </is>
      </c>
      <c r="M17" s="59">
        <f>IF(OR($C17="",$AE17="",$K17=0),"",$AE17-TODAY())</f>
        <v/>
      </c>
      <c r="N17" s="62">
        <f>IF($C17="","",IF($K17=0,"✅ Saldada",IF($M17="","",IF($M17&lt;0,IF(N($R17)&gt;0,"🔴 APLAZADA VENCIDA","🔴 VENCIDA"),IF(N($R17)&gt;0,"🕓 Aplazada",IF($M17&lt;=3,"🟠 ≤3 días",IF($M17&lt;=7,"🟡 ≤7 días",IF($M17&lt;=30,"🔵 ≤30 días","⚪ &gt;30 días"))))))))</f>
        <v/>
      </c>
      <c r="O17" s="64">
        <f>IF($AE17="","",TEXT($AE17,"YYYY-MM"))</f>
        <v/>
      </c>
      <c r="P17" s="83" t="n"/>
      <c r="Q17" s="20" t="inlineStr">
        <is>
          <t>Intereses por el empeño, no devolución de capital: por eso van a gastos financieros del Estado de Resultados y NO se descuentan del pasivo por facturas del Balance. Transcrita de la captura de HomeBank del 30/07/2026.</t>
        </is>
      </c>
      <c r="R17" s="144" t="n"/>
      <c r="S17" s="20" t="n"/>
      <c r="T17" s="76" t="n"/>
      <c r="U17" s="65" t="n"/>
      <c r="V17" s="66" t="n"/>
      <c r="W17" s="1" t="n"/>
      <c r="X17" s="1" t="n"/>
      <c r="Y17" s="1" t="n"/>
      <c r="Z17" s="1" t="n"/>
      <c r="AA17" s="67">
        <f>IF(OR($C17="",$K17=0,$P17=""),"",VALUE(LEFT($P17,1))*100000+N($M17)+ROW()/100000)</f>
        <v/>
      </c>
      <c r="AB17" s="67">
        <f>IF(OR($C17="",$K17=0,$AE17=""),"",$M17+ROW()/100000)</f>
        <v/>
      </c>
      <c r="AC17" s="41">
        <f t="array" ref="AC17">IF($C17="","",IFERROR(INDEX(Disponibilidad!$O$6:$O$18,MATCH($L17,Disponibilidad!$B$6:$B$18,0)),"Hogar"))</f>
        <v/>
      </c>
      <c r="AD17" s="74">
        <f>IF($C17="","",SUMIFS(Caja!$H$6:$H$505,Caja!$J$6:$J$505,$A17,Caja!$C$6:$C$505,"Pago"))</f>
        <v/>
      </c>
      <c r="AE17" s="144">
        <f>IF($C17="","",IF(N($R17)&gt;0,$R17,$H17))</f>
        <v/>
      </c>
      <c r="AF17" s="46" t="inlineStr">
        <is>
          <t>Crédito comercial</t>
        </is>
      </c>
      <c r="AG17" s="42">
        <f>SUMIFS($K$6:$K$205,$D$6:$D$205,$AF17)</f>
        <v/>
      </c>
      <c r="AH17" s="59">
        <f>COUNTIFS($D$6:$D$205,$AF17,$K$6:$K$205,"&gt;0")</f>
        <v/>
      </c>
      <c r="AI17" s="65">
        <f>IFERROR($AG17/$AG$20,"")</f>
        <v/>
      </c>
      <c r="AJ17" s="66">
        <f>IF($AG17=0,"",REPT("█",MAX(1,ROUND($AG17/MAX($AG$6:$AG$19)*18,0))))</f>
        <v/>
      </c>
      <c r="AK17" s="1" t="n"/>
    </row>
    <row r="18" ht="21.75" customHeight="1" s="311">
      <c r="A18" s="41">
        <f>IF($C18="","",ROW()-5)</f>
        <v/>
      </c>
      <c r="B18" s="83" t="inlineStr">
        <is>
          <t>Pendiente</t>
        </is>
      </c>
      <c r="C18" s="146" t="inlineStr">
        <is>
          <t>Iberdrola</t>
        </is>
      </c>
      <c r="D18" s="146" t="inlineStr">
        <is>
          <t>Luz</t>
        </is>
      </c>
      <c r="E18" s="146" t="inlineStr">
        <is>
          <t>Factura de electricidad</t>
        </is>
      </c>
      <c r="F18" s="48" t="inlineStr">
        <is>
          <t>212042201000008197</t>
        </is>
      </c>
      <c r="G18" s="144" t="n"/>
      <c r="H18" s="144" t="n">
        <v>46197</v>
      </c>
      <c r="I18" s="76" t="n">
        <v>90.97</v>
      </c>
      <c r="J18" s="76" t="n">
        <v>0</v>
      </c>
      <c r="K18" s="57">
        <f>IF($C18="","",IF($B18="Pagada",0,ROUND(MAX(0,N($I18)+N($T18)-N($J18)-N($AD18)),2)))</f>
        <v/>
      </c>
      <c r="L18" s="146" t="inlineStr">
        <is>
          <t>CaixaBank (corriente 9914)</t>
        </is>
      </c>
      <c r="M18" s="59">
        <f>IF(OR($C18="",$AE18="",$K18=0),"",$AE18-TODAY())</f>
        <v/>
      </c>
      <c r="N18" s="62">
        <f>IF($C18="","",IF($K18=0,"✅ Saldada",IF($M18="","",IF($M18&lt;0,IF(N($R18)&gt;0,"🔴 APLAZADA VENCIDA","🔴 VENCIDA"),IF(N($R18)&gt;0,"🕓 Aplazada",IF($M18&lt;=3,"🟠 ≤3 días",IF($M18&lt;=7,"🟡 ≤7 días",IF($M18&lt;=30,"🔵 ≤30 días","⚪ &gt;30 días"))))))))</f>
        <v/>
      </c>
      <c r="O18" s="64">
        <f>IF($AE18="","",TEXT($AE18,"YYYY-MM"))</f>
        <v/>
      </c>
      <c r="P18" s="83" t="n"/>
      <c r="Q18" s="20" t="inlineStr">
        <is>
          <t>Transcrita de la captura de HomeBank del 30/07/2026. Contrato 316970245.</t>
        </is>
      </c>
      <c r="R18" s="144" t="n"/>
      <c r="S18" s="20" t="n"/>
      <c r="T18" s="76" t="n"/>
      <c r="U18" s="65" t="n"/>
      <c r="V18" s="66" t="n"/>
      <c r="W18" s="1" t="n"/>
      <c r="X18" s="1" t="n"/>
      <c r="Y18" s="1" t="n"/>
      <c r="Z18" s="1" t="n"/>
      <c r="AA18" s="67">
        <f>IF(OR($C18="",$K18=0,$P18=""),"",VALUE(LEFT($P18,1))*100000+N($M18)+ROW()/100000)</f>
        <v/>
      </c>
      <c r="AB18" s="67">
        <f>IF(OR($C18="",$K18=0,$AE18=""),"",$M18+ROW()/100000)</f>
        <v/>
      </c>
      <c r="AC18" s="41">
        <f t="array" ref="AC18">IF($C18="","",IFERROR(INDEX(Disponibilidad!$O$6:$O$18,MATCH($L18,Disponibilidad!$B$6:$B$18,0)),"Hogar"))</f>
        <v/>
      </c>
      <c r="AD18" s="74">
        <f>IF($C18="","",SUMIFS(Caja!$H$6:$H$505,Caja!$J$6:$J$505,$A18,Caja!$C$6:$C$505,"Pago"))</f>
        <v/>
      </c>
      <c r="AE18" s="144">
        <f>IF($C18="","",IF(N($R18)&gt;0,$R18,$H18))</f>
        <v/>
      </c>
      <c r="AF18" s="46" t="inlineStr">
        <is>
          <t>Intereses de empeño</t>
        </is>
      </c>
      <c r="AG18" s="42">
        <f>SUMIFS($K$6:$K$205,$D$6:$D$205,$AF18)</f>
        <v/>
      </c>
      <c r="AH18" s="59">
        <f>COUNTIFS($D$6:$D$205,$AF18,$K$6:$K$205,"&gt;0")</f>
        <v/>
      </c>
      <c r="AI18" s="65">
        <f>IFERROR($AG18/$AG$20,"")</f>
        <v/>
      </c>
      <c r="AJ18" s="66">
        <f>IF($AG18=0,"",REPT("█",MAX(1,ROUND($AG18/MAX($AG$6:$AG$19)*18,0))))</f>
        <v/>
      </c>
      <c r="AK18" s="1" t="n"/>
    </row>
    <row r="19" ht="34.5" customHeight="1" s="311">
      <c r="A19" s="41">
        <f>IF($C19="","",ROW()-5)</f>
        <v/>
      </c>
      <c r="B19" s="83" t="inlineStr">
        <is>
          <t>Pagada</t>
        </is>
      </c>
      <c r="C19" s="146" t="inlineStr">
        <is>
          <t>Lowie</t>
        </is>
      </c>
      <c r="D19" s="146" t="inlineStr">
        <is>
          <t>Otros</t>
        </is>
      </c>
      <c r="E19" s="146" t="inlineStr">
        <is>
          <t>Servicio (categoría de origen: "Billetes:Servicio de…")</t>
        </is>
      </c>
      <c r="F19" s="48" t="inlineStr">
        <is>
          <t>julio 2026</t>
        </is>
      </c>
      <c r="G19" s="144" t="n"/>
      <c r="H19" s="144" t="n">
        <v>46230</v>
      </c>
      <c r="I19" s="76" t="n">
        <v>85.26000000000001</v>
      </c>
      <c r="J19" s="76" t="n">
        <v>85.26000000000001</v>
      </c>
      <c r="K19" s="57">
        <f>IF($C19="","",IF($B19="Pagada",0,ROUND(MAX(0,N($I19)+N($T19)-N($J19)-N($AD19)),2)))</f>
        <v/>
      </c>
      <c r="L19" s="146" t="inlineStr">
        <is>
          <t>CaixaBank (corriente 9914)</t>
        </is>
      </c>
      <c r="M19" s="59">
        <f>IF(OR($C19="",$AE19="",$K19=0),"",$AE19-TODAY())</f>
        <v/>
      </c>
      <c r="N19" s="62">
        <f>IF($C19="","",IF($K19=0,"✅ Saldada",IF($M19="","",IF($M19&lt;0,IF(N($R19)&gt;0,"🔴 APLAZADA VENCIDA","🔴 VENCIDA"),IF(N($R19)&gt;0,"🕓 Aplazada",IF($M19&lt;=3,"🟠 ≤3 días",IF($M19&lt;=7,"🟡 ≤7 días",IF($M19&lt;=30,"🔵 ≤30 días","⚪ &gt;30 días"))))))))</f>
        <v/>
      </c>
      <c r="O19" s="64">
        <f>IF($AE19="","",TEXT($AE19,"YYYY-MM"))</f>
        <v/>
      </c>
      <c r="P19" s="83" t="n"/>
      <c r="Q19" s="20" t="inlineStr">
        <is>
          <t>⚠️ En la captura esta línea lleva la marca de CONCILIADA, por eso la he puesto como Pagada y no suma al pendiente. Si aún la debes, cámbiala a Pendiente. Notas del origen: "Promesa…".</t>
        </is>
      </c>
      <c r="R19" s="144" t="n"/>
      <c r="S19" s="20" t="n"/>
      <c r="T19" s="76" t="n"/>
      <c r="U19" s="65" t="n"/>
      <c r="V19" s="66" t="n"/>
      <c r="W19" s="1" t="n"/>
      <c r="X19" s="1" t="n"/>
      <c r="Y19" s="1" t="n"/>
      <c r="Z19" s="1" t="n"/>
      <c r="AA19" s="67">
        <f>IF(OR($C19="",$K19=0,$P19=""),"",VALUE(LEFT($P19,1))*100000+N($M19)+ROW()/100000)</f>
        <v/>
      </c>
      <c r="AB19" s="67">
        <f>IF(OR($C19="",$K19=0,$AE19=""),"",$M19+ROW()/100000)</f>
        <v/>
      </c>
      <c r="AC19" s="41">
        <f t="array" ref="AC19">IF($C19="","",IFERROR(INDEX(Disponibilidad!$O$6:$O$18,MATCH($L19,Disponibilidad!$B$6:$B$18,0)),"Hogar"))</f>
        <v/>
      </c>
      <c r="AD19" s="74">
        <f>IF($C19="","",SUMIFS(Caja!$H$6:$H$505,Caja!$J$6:$J$505,$A19,Caja!$C$6:$C$505,"Pago"))</f>
        <v/>
      </c>
      <c r="AE19" s="144">
        <f>IF($C19="","",IF(N($R19)&gt;0,$R19,$H19))</f>
        <v/>
      </c>
      <c r="AF19" s="46" t="inlineStr">
        <is>
          <t>Otros</t>
        </is>
      </c>
      <c r="AG19" s="42">
        <f>SUMIFS($K$6:$K$205,$D$6:$D$205,$AF19)</f>
        <v/>
      </c>
      <c r="AH19" s="59">
        <f>COUNTIFS($D$6:$D$205,$AF19,$K$6:$K$205,"&gt;0")</f>
        <v/>
      </c>
      <c r="AI19" s="65">
        <f>IFERROR($AG19/$AG$20,"")</f>
        <v/>
      </c>
      <c r="AJ19" s="66">
        <f>IF($AG19=0,"",REPT("█",MAX(1,ROUND($AG19/MAX($AG$6:$AG$19)*18,0))))</f>
        <v/>
      </c>
      <c r="AK19" s="1" t="n"/>
    </row>
    <row r="20" ht="24" customHeight="1" s="311">
      <c r="A20" s="41">
        <f>IF($C20="","",ROW()-5)</f>
        <v/>
      </c>
      <c r="B20" s="83" t="inlineStr">
        <is>
          <t>Pendiente</t>
        </is>
      </c>
      <c r="C20" s="146" t="inlineStr">
        <is>
          <t>Veolia (Viaqua)</t>
        </is>
      </c>
      <c r="D20" s="146" t="inlineStr">
        <is>
          <t>Agua</t>
        </is>
      </c>
      <c r="E20" s="146" t="inlineStr">
        <is>
          <t>Factura de agua y alcantarillado</t>
        </is>
      </c>
      <c r="F20" s="48" t="inlineStr">
        <is>
          <t>2-2026</t>
        </is>
      </c>
      <c r="G20" s="144" t="n"/>
      <c r="H20" s="144" t="n">
        <v>46158</v>
      </c>
      <c r="I20" s="76" t="n">
        <v>84.14</v>
      </c>
      <c r="J20" s="76" t="n">
        <v>0</v>
      </c>
      <c r="K20" s="57">
        <f>IF($C20="","",IF($B20="Pagada",0,ROUND(MAX(0,N($I20)+N($T20)-N($J20)-N($AD20)),2)))</f>
        <v/>
      </c>
      <c r="L20" s="146" t="inlineStr">
        <is>
          <t>CaixaBank (corriente 9914)</t>
        </is>
      </c>
      <c r="M20" s="59">
        <f>IF(OR($C20="",$AE20="",$K20=0),"",$AE20-TODAY())</f>
        <v/>
      </c>
      <c r="N20" s="62">
        <f>IF($C20="","",IF($K20=0,"✅ Saldada",IF($M20="","",IF($M20&lt;0,IF(N($R20)&gt;0,"🔴 APLAZADA VENCIDA","🔴 VENCIDA"),IF(N($R20)&gt;0,"🕓 Aplazada",IF($M20&lt;=3,"🟠 ≤3 días",IF($M20&lt;=7,"🟡 ≤7 días",IF($M20&lt;=30,"🔵 ≤30 días","⚪ &gt;30 días"))))))))</f>
        <v/>
      </c>
      <c r="O20" s="64">
        <f>IF($AE20="","",TEXT($AE20,"YYYY-MM"))</f>
        <v/>
      </c>
      <c r="P20" s="83" t="n"/>
      <c r="Q20" s="20" t="inlineStr">
        <is>
          <t>Transcrita de la captura de HomeBank del 30/07/2026. Notas del origen: "factura co…".</t>
        </is>
      </c>
      <c r="R20" s="144" t="n"/>
      <c r="S20" s="20" t="n"/>
      <c r="T20" s="76" t="n"/>
      <c r="U20" s="108" t="n"/>
      <c r="V20" s="39" t="n"/>
      <c r="W20" s="1" t="n"/>
      <c r="X20" s="1" t="n"/>
      <c r="Y20" s="1" t="n"/>
      <c r="Z20" s="1" t="n"/>
      <c r="AA20" s="67">
        <f>IF(OR($C20="",$K20=0,$P20=""),"",VALUE(LEFT($P20,1))*100000+N($M20)+ROW()/100000)</f>
        <v/>
      </c>
      <c r="AB20" s="67">
        <f>IF(OR($C20="",$K20=0,$AE20=""),"",$M20+ROW()/100000)</f>
        <v/>
      </c>
      <c r="AC20" s="41">
        <f t="array" ref="AC20">IF($C20="","",IFERROR(INDEX(Disponibilidad!$O$6:$O$18,MATCH($L20,Disponibilidad!$B$6:$B$18,0)),"Hogar"))</f>
        <v/>
      </c>
      <c r="AD20" s="74">
        <f>IF($C20="","",SUMIFS(Caja!$H$6:$H$505,Caja!$J$6:$J$505,$A20,Caja!$C$6:$C$505,"Pago"))</f>
        <v/>
      </c>
      <c r="AE20" s="144">
        <f>IF($C20="","",IF(N($R20)&gt;0,$R20,$H20))</f>
        <v/>
      </c>
      <c r="AF20" s="38" t="inlineStr">
        <is>
          <t>SALDO PENDIENTE TOTAL</t>
        </is>
      </c>
      <c r="AG20" s="86">
        <f>SUM($AG$6:$AG$19)</f>
        <v/>
      </c>
      <c r="AH20" s="109">
        <f>SUM($AH$6:$AH$19)</f>
        <v/>
      </c>
      <c r="AI20" s="108">
        <f>IF($AG$20=0,"",1)</f>
        <v/>
      </c>
      <c r="AJ20" s="39" t="n"/>
      <c r="AK20" s="1" t="n"/>
    </row>
    <row r="21" ht="33" customHeight="1" s="311">
      <c r="A21" s="41">
        <f>IF($C21="","",ROW()-5)</f>
        <v/>
      </c>
      <c r="B21" s="83" t="inlineStr">
        <is>
          <t>Pendiente</t>
        </is>
      </c>
      <c r="C21" s="146" t="inlineStr">
        <is>
          <t>Agencia Tributaria</t>
        </is>
      </c>
      <c r="D21" s="146" t="inlineStr">
        <is>
          <t>Impuestos y hacienda</t>
        </is>
      </c>
      <c r="E21" s="146" t="inlineStr">
        <is>
          <t>Fraccionamiento — cuota 09/2026</t>
        </is>
      </c>
      <c r="F21" s="48" t="inlineStr">
        <is>
          <t>A1585426100091075</t>
        </is>
      </c>
      <c r="G21" s="144" t="n"/>
      <c r="H21" s="144" t="n">
        <v>46272</v>
      </c>
      <c r="I21" s="76" t="n">
        <v>76.48</v>
      </c>
      <c r="J21" s="76" t="n">
        <v>0</v>
      </c>
      <c r="K21" s="57">
        <f>IF($C21="","",IF($B21="Pagada",0,ROUND(MAX(0,N($I21)+N($T21)-N($J21)-N($AD21)),2)))</f>
        <v/>
      </c>
      <c r="L21" s="146" t="inlineStr">
        <is>
          <t>CaixaBank (corriente 9914)</t>
        </is>
      </c>
      <c r="M21" s="59">
        <f>IF(OR($C21="",$AE21="",$K21=0),"",$AE21-TODAY())</f>
        <v/>
      </c>
      <c r="N21" s="62">
        <f>IF($C21="","",IF($K21=0,"✅ Saldada",IF($M21="","",IF($M21&lt;0,IF(N($R21)&gt;0,"🔴 APLAZADA VENCIDA","🔴 VENCIDA"),IF(N($R21)&gt;0,"🕓 Aplazada",IF($M21&lt;=3,"🟠 ≤3 días",IF($M21&lt;=7,"🟡 ≤7 días",IF($M21&lt;=30,"🔵 ≤30 días","⚪ &gt;30 días"))))))))</f>
        <v/>
      </c>
      <c r="O21" s="64">
        <f>IF($AE21="","",TEXT($AE21,"YYYY-MM"))</f>
        <v/>
      </c>
      <c r="P21" s="83" t="n"/>
      <c r="Q21" s="20" t="inlineStr">
        <is>
          <t>Expediente 152640329330L. Transcrita de la captura de HomeBank del 30/07/2026.</t>
        </is>
      </c>
      <c r="R21" s="144" t="n"/>
      <c r="S21" s="20" t="n"/>
      <c r="T21" s="76" t="n"/>
      <c r="U21" s="145" t="n"/>
      <c r="V21" s="145" t="n"/>
      <c r="W21" s="110" t="n"/>
      <c r="X21" s="1" t="n"/>
      <c r="Y21" s="1" t="n"/>
      <c r="Z21" s="1" t="n"/>
      <c r="AA21" s="67">
        <f>IF(OR($C21="",$K21=0,$P21=""),"",VALUE(LEFT($P21,1))*100000+N($M21)+ROW()/100000)</f>
        <v/>
      </c>
      <c r="AB21" s="67">
        <f>IF(OR($C21="",$K21=0,$AE21=""),"",$M21+ROW()/100000)</f>
        <v/>
      </c>
      <c r="AC21" s="41">
        <f t="array" ref="AC21">IF($C21="","",IFERROR(INDEX(Disponibilidad!$O$6:$O$18,MATCH($L21,Disponibilidad!$B$6:$B$18,0)),"Hogar"))</f>
        <v/>
      </c>
      <c r="AD21" s="74">
        <f>IF($C21="","",SUMIFS(Caja!$H$6:$H$505,Caja!$J$6:$J$505,$A21,Caja!$C$6:$C$505,"Pago"))</f>
        <v/>
      </c>
      <c r="AE21" s="144">
        <f>IF($C21="","",IF(N($R21)&gt;0,$R21,$H21))</f>
        <v/>
      </c>
      <c r="AF21" s="20" t="inlineStr">
        <is>
          <t>⚠️ Facturas con una categoría que NO está en esta lista (no suman arriba)</t>
        </is>
      </c>
      <c r="AG21" s="86">
        <f>ROUND(SUM($K$6:$K$205)-$AG$20,2)</f>
        <v/>
      </c>
      <c r="AH21" s="145">
        <f>IF(ROUND($AG$21,2)=0,"✅ Todas clasificadas","🔴 Revisa la columna Categoría")</f>
        <v/>
      </c>
      <c r="AI21" s="145" t="n"/>
      <c r="AJ21" s="145" t="n"/>
      <c r="AK21" s="110" t="inlineStr">
        <is>
          <t>Son 14 categorías fijas. "Préstamos y empeños" se ha partido en "Empeño" (prendas de oro) y "Préstamo particular" (dinero que te han prestado personas). "Seguros" y "Transporte", que no usabas, se han reutilizado. Si necesitas otra, renombra una que no uses y las fórmulas la siguen solas.</t>
        </is>
      </c>
    </row>
    <row r="22" ht="21.75" customHeight="1" s="311">
      <c r="A22" s="41">
        <f>IF($C22="","",ROW()-5)</f>
        <v/>
      </c>
      <c r="B22" s="83" t="inlineStr">
        <is>
          <t>Pendiente</t>
        </is>
      </c>
      <c r="C22" s="146" t="inlineStr">
        <is>
          <t>Agencia Tributaria</t>
        </is>
      </c>
      <c r="D22" s="146" t="inlineStr">
        <is>
          <t>Impuestos y hacienda</t>
        </is>
      </c>
      <c r="E22" s="146" t="inlineStr">
        <is>
          <t>Fraccionamiento — cuota 10/2026</t>
        </is>
      </c>
      <c r="F22" s="48" t="inlineStr">
        <is>
          <t>A1585426100091075</t>
        </is>
      </c>
      <c r="G22" s="144" t="n"/>
      <c r="H22" s="144" t="n">
        <v>46300</v>
      </c>
      <c r="I22" s="76" t="n">
        <v>76.48</v>
      </c>
      <c r="J22" s="76" t="n">
        <v>0</v>
      </c>
      <c r="K22" s="57">
        <f>IF($C22="","",IF($B22="Pagada",0,ROUND(MAX(0,N($I22)+N($T22)-N($J22)-N($AD22)),2)))</f>
        <v/>
      </c>
      <c r="L22" s="146" t="inlineStr">
        <is>
          <t>CaixaBank (corriente 9914)</t>
        </is>
      </c>
      <c r="M22" s="59">
        <f>IF(OR($C22="",$AE22="",$K22=0),"",$AE22-TODAY())</f>
        <v/>
      </c>
      <c r="N22" s="62">
        <f>IF($C22="","",IF($K22=0,"✅ Saldada",IF($M22="","",IF($M22&lt;0,IF(N($R22)&gt;0,"🔴 APLAZADA VENCIDA","🔴 VENCIDA"),IF(N($R22)&gt;0,"🕓 Aplazada",IF($M22&lt;=3,"🟠 ≤3 días",IF($M22&lt;=7,"🟡 ≤7 días",IF($M22&lt;=30,"🔵 ≤30 días","⚪ &gt;30 días"))))))))</f>
        <v/>
      </c>
      <c r="O22" s="64">
        <f>IF($AE22="","",TEXT($AE22,"YYYY-MM"))</f>
        <v/>
      </c>
      <c r="P22" s="83" t="n"/>
      <c r="Q22" s="20" t="inlineStr">
        <is>
          <t>Expediente 152640329330L.</t>
        </is>
      </c>
      <c r="R22" s="144" t="n"/>
      <c r="S22" s="20" t="n"/>
      <c r="T22" s="76" t="n"/>
      <c r="U22" s="30" t="n"/>
      <c r="V22" s="30" t="n"/>
      <c r="W22" s="1" t="n"/>
      <c r="X22" s="1" t="n"/>
      <c r="Y22" s="1" t="n"/>
      <c r="Z22" s="1" t="n"/>
      <c r="AA22" s="67">
        <f>IF(OR($C22="",$K22=0,$P22=""),"",VALUE(LEFT($P22,1))*100000+N($M22)+ROW()/100000)</f>
        <v/>
      </c>
      <c r="AB22" s="67">
        <f>IF(OR($C22="",$K22=0,$AE22=""),"",$M22+ROW()/100000)</f>
        <v/>
      </c>
      <c r="AC22" s="41">
        <f t="array" ref="AC22">IF($C22="","",IFERROR(INDEX(Disponibilidad!$O$6:$O$18,MATCH($L22,Disponibilidad!$B$6:$B$18,0)),"Hogar"))</f>
        <v/>
      </c>
      <c r="AD22" s="74">
        <f>IF($C22="","",SUMIFS(Caja!$H$6:$H$505,Caja!$J$6:$J$505,$A22,Caja!$C$6:$C$505,"Pago"))</f>
        <v/>
      </c>
      <c r="AE22" s="144">
        <f>IF($C22="","",IF(N($R22)&gt;0,$R22,$H22))</f>
        <v/>
      </c>
      <c r="AF22" s="32" t="inlineStr">
        <is>
          <t>3.  URGENCIA DEL SALDO</t>
        </is>
      </c>
      <c r="AG22" s="30" t="n"/>
      <c r="AH22" s="30" t="n"/>
      <c r="AI22" s="30" t="n"/>
      <c r="AJ22" s="30" t="n"/>
      <c r="AK22" s="1" t="n"/>
    </row>
    <row r="23" ht="25.5" customHeight="1" s="311">
      <c r="A23" s="41">
        <f>IF($C23="","",ROW()-5)</f>
        <v/>
      </c>
      <c r="B23" s="83" t="inlineStr">
        <is>
          <t>Pendiente</t>
        </is>
      </c>
      <c r="C23" s="146" t="inlineStr">
        <is>
          <t>Agencia Tributaria</t>
        </is>
      </c>
      <c r="D23" s="146" t="inlineStr">
        <is>
          <t>Impuestos y hacienda</t>
        </is>
      </c>
      <c r="E23" s="146" t="inlineStr">
        <is>
          <t>Fraccionamiento — cuota 11/2026</t>
        </is>
      </c>
      <c r="F23" s="48" t="inlineStr">
        <is>
          <t>A1585426100091075</t>
        </is>
      </c>
      <c r="G23" s="144" t="n"/>
      <c r="H23" s="144" t="n">
        <v>46331</v>
      </c>
      <c r="I23" s="76" t="n">
        <v>76.48</v>
      </c>
      <c r="J23" s="76" t="n">
        <v>0</v>
      </c>
      <c r="K23" s="57">
        <f>IF($C23="","",IF($B23="Pagada",0,ROUND(MAX(0,N($I23)+N($T23)-N($J23)-N($AD23)),2)))</f>
        <v/>
      </c>
      <c r="L23" s="146" t="inlineStr">
        <is>
          <t>CaixaBank (corriente 9914)</t>
        </is>
      </c>
      <c r="M23" s="59">
        <f>IF(OR($C23="",$AE23="",$K23=0),"",$AE23-TODAY())</f>
        <v/>
      </c>
      <c r="N23" s="62">
        <f>IF($C23="","",IF($K23=0,"✅ Saldada",IF($M23="","",IF($M23&lt;0,IF(N($R23)&gt;0,"🔴 APLAZADA VENCIDA","🔴 VENCIDA"),IF(N($R23)&gt;0,"🕓 Aplazada",IF($M23&lt;=3,"🟠 ≤3 días",IF($M23&lt;=7,"🟡 ≤7 días",IF($M23&lt;=30,"🔵 ≤30 días","⚪ &gt;30 días"))))))))</f>
        <v/>
      </c>
      <c r="O23" s="64">
        <f>IF($AE23="","",TEXT($AE23,"YYYY-MM"))</f>
        <v/>
      </c>
      <c r="P23" s="83" t="n"/>
      <c r="Q23" s="20" t="inlineStr">
        <is>
          <t>Expediente 152640329330L.</t>
        </is>
      </c>
      <c r="R23" s="144" t="n"/>
      <c r="S23" s="20" t="n"/>
      <c r="T23" s="76" t="n"/>
      <c r="U23" s="33" t="n"/>
      <c r="V23" s="33" t="n"/>
      <c r="W23" s="1" t="n"/>
      <c r="X23" s="1" t="n"/>
      <c r="Y23" s="1" t="n"/>
      <c r="Z23" s="1" t="n"/>
      <c r="AA23" s="67">
        <f>IF(OR($C23="",$K23=0,$P23=""),"",VALUE(LEFT($P23,1))*100000+N($M23)+ROW()/100000)</f>
        <v/>
      </c>
      <c r="AB23" s="67">
        <f>IF(OR($C23="",$K23=0,$AE23=""),"",$M23+ROW()/100000)</f>
        <v/>
      </c>
      <c r="AC23" s="41">
        <f t="array" ref="AC23">IF($C23="","",IFERROR(INDEX(Disponibilidad!$O$6:$O$18,MATCH($L23,Disponibilidad!$B$6:$B$18,0)),"Hogar"))</f>
        <v/>
      </c>
      <c r="AD23" s="74">
        <f>IF($C23="","",SUMIFS(Caja!$H$6:$H$505,Caja!$J$6:$J$505,$A23,Caja!$C$6:$C$505,"Pago"))</f>
        <v/>
      </c>
      <c r="AE23" s="144">
        <f>IF($C23="","",IF(N($R23)&gt;0,$R23,$H23))</f>
        <v/>
      </c>
      <c r="AF23" s="33" t="inlineStr">
        <is>
          <t>Tramo</t>
        </is>
      </c>
      <c r="AG23" s="33" t="inlineStr">
        <is>
          <t>Saldo (€)</t>
        </is>
      </c>
      <c r="AH23" s="33" t="inlineStr">
        <is>
          <t>Nº</t>
        </is>
      </c>
      <c r="AI23" s="33" t="inlineStr">
        <is>
          <t>%</t>
        </is>
      </c>
      <c r="AJ23" s="33" t="inlineStr">
        <is>
          <t>Visual</t>
        </is>
      </c>
      <c r="AK23" s="1" t="n"/>
    </row>
    <row r="24" ht="15" customHeight="1" s="311">
      <c r="A24" s="41">
        <f>IF($C24="","",ROW()-5)</f>
        <v/>
      </c>
      <c r="B24" s="83" t="inlineStr">
        <is>
          <t>Pendiente</t>
        </is>
      </c>
      <c r="C24" s="146" t="inlineStr">
        <is>
          <t>Agencia Tributaria</t>
        </is>
      </c>
      <c r="D24" s="146" t="inlineStr">
        <is>
          <t>Impuestos y hacienda</t>
        </is>
      </c>
      <c r="E24" s="146" t="inlineStr">
        <is>
          <t>Fraccionamiento — cuota 12/2026</t>
        </is>
      </c>
      <c r="F24" s="48" t="inlineStr">
        <is>
          <t>A1585426100091075</t>
        </is>
      </c>
      <c r="G24" s="144" t="n"/>
      <c r="H24" s="144" t="n">
        <v>46363</v>
      </c>
      <c r="I24" s="76" t="n">
        <v>76.48</v>
      </c>
      <c r="J24" s="76" t="n">
        <v>0</v>
      </c>
      <c r="K24" s="57">
        <f>IF($C24="","",IF($B24="Pagada",0,ROUND(MAX(0,N($I24)+N($T24)-N($J24)-N($AD24)),2)))</f>
        <v/>
      </c>
      <c r="L24" s="146" t="inlineStr">
        <is>
          <t>CaixaBank (corriente 9914)</t>
        </is>
      </c>
      <c r="M24" s="59">
        <f>IF(OR($C24="",$AE24="",$K24=0),"",$AE24-TODAY())</f>
        <v/>
      </c>
      <c r="N24" s="62">
        <f>IF($C24="","",IF($K24=0,"✅ Saldada",IF($M24="","",IF($M24&lt;0,IF(N($R24)&gt;0,"🔴 APLAZADA VENCIDA","🔴 VENCIDA"),IF(N($R24)&gt;0,"🕓 Aplazada",IF($M24&lt;=3,"🟠 ≤3 días",IF($M24&lt;=7,"🟡 ≤7 días",IF($M24&lt;=30,"🔵 ≤30 días","⚪ &gt;30 días"))))))))</f>
        <v/>
      </c>
      <c r="O24" s="64">
        <f>IF($AE24="","",TEXT($AE24,"YYYY-MM"))</f>
        <v/>
      </c>
      <c r="P24" s="83" t="n"/>
      <c r="Q24" s="20" t="inlineStr">
        <is>
          <t>Expediente 152640329330L.</t>
        </is>
      </c>
      <c r="R24" s="144" t="n"/>
      <c r="S24" s="20" t="n"/>
      <c r="T24" s="76" t="n"/>
      <c r="U24" s="65" t="n"/>
      <c r="V24" s="115" t="n"/>
      <c r="W24" s="1" t="n"/>
      <c r="X24" s="1" t="n"/>
      <c r="Y24" s="1" t="n"/>
      <c r="Z24" s="1" t="n"/>
      <c r="AA24" s="67">
        <f>IF(OR($C24="",$K24=0,$P24=""),"",VALUE(LEFT($P24,1))*100000+N($M24)+ROW()/100000)</f>
        <v/>
      </c>
      <c r="AB24" s="67">
        <f>IF(OR($C24="",$K24=0,$AE24=""),"",$M24+ROW()/100000)</f>
        <v/>
      </c>
      <c r="AC24" s="41">
        <f t="array" ref="AC24">IF($C24="","",IFERROR(INDEX(Disponibilidad!$O$6:$O$18,MATCH($L24,Disponibilidad!$B$6:$B$18,0)),"Hogar"))</f>
        <v/>
      </c>
      <c r="AD24" s="74">
        <f>IF($C24="","",SUMIFS(Caja!$H$6:$H$505,Caja!$J$6:$J$505,$A24,Caja!$C$6:$C$505,"Pago"))</f>
        <v/>
      </c>
      <c r="AE24" s="144">
        <f>IF($C24="","",IF(N($R24)&gt;0,$R24,$H24))</f>
        <v/>
      </c>
      <c r="AF24" s="46" t="inlineStr">
        <is>
          <t>🔴 Vencidas</t>
        </is>
      </c>
      <c r="AG24" s="57">
        <f>SUMIFS($K$6:$K$205,$M$6:$M$205,"&lt;0")</f>
        <v/>
      </c>
      <c r="AH24" s="59">
        <f>COUNTIFS($M$6:$M$205,"&lt;0",$K$6:$K$205,"&gt;0")</f>
        <v/>
      </c>
      <c r="AI24" s="65">
        <f>IFERROR($AG24/$AG$20,"")</f>
        <v/>
      </c>
      <c r="AJ24" s="115">
        <f>IF($AG24=0,"",REPT("█",MAX(1,ROUND($AG24/MAX($AG$24:$AG$27)*18,0))))</f>
        <v/>
      </c>
      <c r="AK24" s="1" t="n"/>
    </row>
    <row r="25" ht="15" customHeight="1" s="311">
      <c r="A25" s="41">
        <f>IF($C25="","",ROW()-5)</f>
        <v/>
      </c>
      <c r="B25" s="83" t="inlineStr">
        <is>
          <t>Pendiente</t>
        </is>
      </c>
      <c r="C25" s="146" t="inlineStr">
        <is>
          <t>Agencia Tributaria</t>
        </is>
      </c>
      <c r="D25" s="146" t="inlineStr">
        <is>
          <t>Impuestos y hacienda</t>
        </is>
      </c>
      <c r="E25" s="146" t="inlineStr">
        <is>
          <t>Fraccionamiento — cuota 01/2027</t>
        </is>
      </c>
      <c r="F25" s="48" t="inlineStr">
        <is>
          <t>A1585426100091075</t>
        </is>
      </c>
      <c r="G25" s="144" t="n"/>
      <c r="H25" s="144" t="n">
        <v>46392</v>
      </c>
      <c r="I25" s="76" t="n">
        <v>76.48</v>
      </c>
      <c r="J25" s="76" t="n">
        <v>0</v>
      </c>
      <c r="K25" s="57">
        <f>IF($C25="","",IF($B25="Pagada",0,ROUND(MAX(0,N($I25)+N($T25)-N($J25)-N($AD25)),2)))</f>
        <v/>
      </c>
      <c r="L25" s="146" t="inlineStr">
        <is>
          <t>CaixaBank (corriente 9914)</t>
        </is>
      </c>
      <c r="M25" s="59">
        <f>IF(OR($C25="",$AE25="",$K25=0),"",$AE25-TODAY())</f>
        <v/>
      </c>
      <c r="N25" s="62">
        <f>IF($C25="","",IF($K25=0,"✅ Saldada",IF($M25="","",IF($M25&lt;0,IF(N($R25)&gt;0,"🔴 APLAZADA VENCIDA","🔴 VENCIDA"),IF(N($R25)&gt;0,"🕓 Aplazada",IF($M25&lt;=3,"🟠 ≤3 días",IF($M25&lt;=7,"🟡 ≤7 días",IF($M25&lt;=30,"🔵 ≤30 días","⚪ &gt;30 días"))))))))</f>
        <v/>
      </c>
      <c r="O25" s="64">
        <f>IF($AE25="","",TEXT($AE25,"YYYY-MM"))</f>
        <v/>
      </c>
      <c r="P25" s="83" t="n"/>
      <c r="Q25" s="20" t="inlineStr">
        <is>
          <t>Expediente 152640329330L.</t>
        </is>
      </c>
      <c r="R25" s="144" t="n"/>
      <c r="S25" s="20" t="n"/>
      <c r="T25" s="76" t="n"/>
      <c r="U25" s="65" t="n"/>
      <c r="V25" s="115" t="n"/>
      <c r="W25" s="1" t="n"/>
      <c r="X25" s="1" t="n"/>
      <c r="Y25" s="1" t="n"/>
      <c r="Z25" s="1" t="n"/>
      <c r="AA25" s="67">
        <f>IF(OR($C25="",$K25=0,$P25=""),"",VALUE(LEFT($P25,1))*100000+N($M25)+ROW()/100000)</f>
        <v/>
      </c>
      <c r="AB25" s="67">
        <f>IF(OR($C25="",$K25=0,$AE25=""),"",$M25+ROW()/100000)</f>
        <v/>
      </c>
      <c r="AC25" s="41">
        <f t="array" ref="AC25">IF($C25="","",IFERROR(INDEX(Disponibilidad!$O$6:$O$18,MATCH($L25,Disponibilidad!$B$6:$B$18,0)),"Hogar"))</f>
        <v/>
      </c>
      <c r="AD25" s="74">
        <f>IF($C25="","",SUMIFS(Caja!$H$6:$H$505,Caja!$J$6:$J$505,$A25,Caja!$C$6:$C$505,"Pago"))</f>
        <v/>
      </c>
      <c r="AE25" s="144">
        <f>IF($C25="","",IF(N($R25)&gt;0,$R25,$H25))</f>
        <v/>
      </c>
      <c r="AF25" s="46" t="inlineStr">
        <is>
          <t>🟠 Vencen en 7 días o menos</t>
        </is>
      </c>
      <c r="AG25" s="57">
        <f>SUMIFS($K$6:$K$205,$M$6:$M$205,"&gt;=0",$M$6:$M$205,"&lt;=7")</f>
        <v/>
      </c>
      <c r="AH25" s="59">
        <f>COUNTIFS($M$6:$M$205,"&gt;=0",$M$6:$M$205,"&lt;=7",$K$6:$K$205,"&gt;0")</f>
        <v/>
      </c>
      <c r="AI25" s="65">
        <f>IFERROR($AG25/$AG$20,"")</f>
        <v/>
      </c>
      <c r="AJ25" s="115">
        <f>IF($AG25=0,"",REPT("█",MAX(1,ROUND($AG25/MAX($AG$24:$AG$27)*18,0))))</f>
        <v/>
      </c>
      <c r="AK25" s="1" t="n"/>
    </row>
    <row r="26" ht="15" customHeight="1" s="311">
      <c r="A26" s="41">
        <f>IF($C26="","",ROW()-5)</f>
        <v/>
      </c>
      <c r="B26" s="83" t="inlineStr">
        <is>
          <t>Pendiente</t>
        </is>
      </c>
      <c r="C26" s="146" t="inlineStr">
        <is>
          <t>Agencia Tributaria</t>
        </is>
      </c>
      <c r="D26" s="146" t="inlineStr">
        <is>
          <t>Impuestos y hacienda</t>
        </is>
      </c>
      <c r="E26" s="146" t="inlineStr">
        <is>
          <t>Fraccionamiento — cuota 02/2027</t>
        </is>
      </c>
      <c r="F26" s="48" t="inlineStr">
        <is>
          <t>A1585426100091075</t>
        </is>
      </c>
      <c r="G26" s="144" t="n"/>
      <c r="H26" s="144" t="n">
        <v>46423</v>
      </c>
      <c r="I26" s="76" t="n">
        <v>76.48</v>
      </c>
      <c r="J26" s="76" t="n">
        <v>0</v>
      </c>
      <c r="K26" s="57">
        <f>IF($C26="","",IF($B26="Pagada",0,ROUND(MAX(0,N($I26)+N($T26)-N($J26)-N($AD26)),2)))</f>
        <v/>
      </c>
      <c r="L26" s="146" t="inlineStr">
        <is>
          <t>CaixaBank (corriente 9914)</t>
        </is>
      </c>
      <c r="M26" s="59">
        <f>IF(OR($C26="",$AE26="",$K26=0),"",$AE26-TODAY())</f>
        <v/>
      </c>
      <c r="N26" s="62">
        <f>IF($C26="","",IF($K26=0,"✅ Saldada",IF($M26="","",IF($M26&lt;0,IF(N($R26)&gt;0,"🔴 APLAZADA VENCIDA","🔴 VENCIDA"),IF(N($R26)&gt;0,"🕓 Aplazada",IF($M26&lt;=3,"🟠 ≤3 días",IF($M26&lt;=7,"🟡 ≤7 días",IF($M26&lt;=30,"🔵 ≤30 días","⚪ &gt;30 días"))))))))</f>
        <v/>
      </c>
      <c r="O26" s="64">
        <f>IF($AE26="","",TEXT($AE26,"YYYY-MM"))</f>
        <v/>
      </c>
      <c r="P26" s="83" t="n"/>
      <c r="Q26" s="20" t="inlineStr">
        <is>
          <t>Expediente 152640329330L.</t>
        </is>
      </c>
      <c r="R26" s="144" t="n"/>
      <c r="S26" s="20" t="n"/>
      <c r="T26" s="76" t="n"/>
      <c r="U26" s="65" t="n"/>
      <c r="V26" s="115" t="n"/>
      <c r="W26" s="1" t="n"/>
      <c r="X26" s="1" t="n"/>
      <c r="Y26" s="1" t="n"/>
      <c r="Z26" s="1" t="n"/>
      <c r="AA26" s="67">
        <f>IF(OR($C26="",$K26=0,$P26=""),"",VALUE(LEFT($P26,1))*100000+N($M26)+ROW()/100000)</f>
        <v/>
      </c>
      <c r="AB26" s="67">
        <f>IF(OR($C26="",$K26=0,$AE26=""),"",$M26+ROW()/100000)</f>
        <v/>
      </c>
      <c r="AC26" s="41">
        <f t="array" ref="AC26">IF($C26="","",IFERROR(INDEX(Disponibilidad!$O$6:$O$18,MATCH($L26,Disponibilidad!$B$6:$B$18,0)),"Hogar"))</f>
        <v/>
      </c>
      <c r="AD26" s="74">
        <f>IF($C26="","",SUMIFS(Caja!$H$6:$H$505,Caja!$J$6:$J$505,$A26,Caja!$C$6:$C$505,"Pago"))</f>
        <v/>
      </c>
      <c r="AE26" s="144">
        <f>IF($C26="","",IF(N($R26)&gt;0,$R26,$H26))</f>
        <v/>
      </c>
      <c r="AF26" s="46" t="inlineStr">
        <is>
          <t>🔵 Entre 8 y 30 días</t>
        </is>
      </c>
      <c r="AG26" s="57">
        <f>SUMIFS($K$6:$K$205,$M$6:$M$205,"&gt;=8",$M$6:$M$205,"&lt;=30")</f>
        <v/>
      </c>
      <c r="AH26" s="59">
        <f>COUNTIFS($M$6:$M$205,"&gt;=8",$M$6:$M$205,"&lt;=30",$K$6:$K$205,"&gt;0")</f>
        <v/>
      </c>
      <c r="AI26" s="65">
        <f>IFERROR($AG26/$AG$20,"")</f>
        <v/>
      </c>
      <c r="AJ26" s="115">
        <f>IF($AG26=0,"",REPT("█",MAX(1,ROUND($AG26/MAX($AG$24:$AG$27)*18,0))))</f>
        <v/>
      </c>
      <c r="AK26" s="1" t="n"/>
    </row>
    <row r="27" ht="15" customHeight="1" s="311">
      <c r="A27" s="41">
        <f>IF($C27="","",ROW()-5)</f>
        <v/>
      </c>
      <c r="B27" s="83" t="inlineStr">
        <is>
          <t>Pendiente</t>
        </is>
      </c>
      <c r="C27" s="146" t="inlineStr">
        <is>
          <t>Agencia Tributaria</t>
        </is>
      </c>
      <c r="D27" s="146" t="inlineStr">
        <is>
          <t>Impuestos y hacienda</t>
        </is>
      </c>
      <c r="E27" s="146" t="inlineStr">
        <is>
          <t>Fraccionamiento — cuota 03/2027</t>
        </is>
      </c>
      <c r="F27" s="48" t="inlineStr">
        <is>
          <t>A1585426100091075</t>
        </is>
      </c>
      <c r="G27" s="144" t="n"/>
      <c r="H27" s="144" t="n">
        <v>46451</v>
      </c>
      <c r="I27" s="76" t="n">
        <v>76.48</v>
      </c>
      <c r="J27" s="76" t="n">
        <v>0</v>
      </c>
      <c r="K27" s="57">
        <f>IF($C27="","",IF($B27="Pagada",0,ROUND(MAX(0,N($I27)+N($T27)-N($J27)-N($AD27)),2)))</f>
        <v/>
      </c>
      <c r="L27" s="146" t="inlineStr">
        <is>
          <t>CaixaBank (corriente 9914)</t>
        </is>
      </c>
      <c r="M27" s="59">
        <f>IF(OR($C27="",$AE27="",$K27=0),"",$AE27-TODAY())</f>
        <v/>
      </c>
      <c r="N27" s="62">
        <f>IF($C27="","",IF($K27=0,"✅ Saldada",IF($M27="","",IF($M27&lt;0,IF(N($R27)&gt;0,"🔴 APLAZADA VENCIDA","🔴 VENCIDA"),IF(N($R27)&gt;0,"🕓 Aplazada",IF($M27&lt;=3,"🟠 ≤3 días",IF($M27&lt;=7,"🟡 ≤7 días",IF($M27&lt;=30,"🔵 ≤30 días","⚪ &gt;30 días"))))))))</f>
        <v/>
      </c>
      <c r="O27" s="64">
        <f>IF($AE27="","",TEXT($AE27,"YYYY-MM"))</f>
        <v/>
      </c>
      <c r="P27" s="83" t="n"/>
      <c r="Q27" s="20" t="inlineStr">
        <is>
          <t>Expediente 152640329330L.</t>
        </is>
      </c>
      <c r="R27" s="144" t="n"/>
      <c r="S27" s="20" t="n"/>
      <c r="T27" s="76" t="n"/>
      <c r="U27" s="65" t="n"/>
      <c r="V27" s="115" t="n"/>
      <c r="W27" s="1" t="n"/>
      <c r="X27" s="1" t="n"/>
      <c r="Y27" s="1" t="n"/>
      <c r="Z27" s="1" t="n"/>
      <c r="AA27" s="67">
        <f>IF(OR($C27="",$K27=0,$P27=""),"",VALUE(LEFT($P27,1))*100000+N($M27)+ROW()/100000)</f>
        <v/>
      </c>
      <c r="AB27" s="67">
        <f>IF(OR($C27="",$K27=0,$AE27=""),"",$M27+ROW()/100000)</f>
        <v/>
      </c>
      <c r="AC27" s="41">
        <f t="array" ref="AC27">IF($C27="","",IFERROR(INDEX(Disponibilidad!$O$6:$O$18,MATCH($L27,Disponibilidad!$B$6:$B$18,0)),"Hogar"))</f>
        <v/>
      </c>
      <c r="AD27" s="74">
        <f>IF($C27="","",SUMIFS(Caja!$H$6:$H$505,Caja!$J$6:$J$505,$A27,Caja!$C$6:$C$505,"Pago"))</f>
        <v/>
      </c>
      <c r="AE27" s="144">
        <f>IF($C27="","",IF(N($R27)&gt;0,$R27,$H27))</f>
        <v/>
      </c>
      <c r="AF27" s="46" t="inlineStr">
        <is>
          <t>⚪ En más de 30 días</t>
        </is>
      </c>
      <c r="AG27" s="57">
        <f>SUMIFS($K$6:$K$205,$M$6:$M$205,"&gt;30")</f>
        <v/>
      </c>
      <c r="AH27" s="59">
        <f>COUNTIFS($M$6:$M$205,"&gt;30",$K$6:$K$205,"&gt;0")</f>
        <v/>
      </c>
      <c r="AI27" s="65">
        <f>IFERROR($AG27/$AG$20,"")</f>
        <v/>
      </c>
      <c r="AJ27" s="115">
        <f>IF($AG27=0,"",REPT("█",MAX(1,ROUND($AG27/MAX($AG$24:$AG$27)*18,0))))</f>
        <v/>
      </c>
      <c r="AK27" s="1" t="n"/>
    </row>
    <row r="28" ht="23.25" customHeight="1" s="311">
      <c r="A28" s="41">
        <f>IF($C28="","",ROW()-5)</f>
        <v/>
      </c>
      <c r="B28" s="83" t="inlineStr">
        <is>
          <t>Pagada</t>
        </is>
      </c>
      <c r="C28" s="146" t="inlineStr">
        <is>
          <t>Iberdrola</t>
        </is>
      </c>
      <c r="D28" s="146" t="inlineStr">
        <is>
          <t>Luz</t>
        </is>
      </c>
      <c r="E28" s="146" t="inlineStr">
        <is>
          <t>Factura de electricidad — 357 kWh</t>
        </is>
      </c>
      <c r="F28" s="48" t="inlineStr">
        <is>
          <t>21260525010009364</t>
        </is>
      </c>
      <c r="G28" s="144" t="n"/>
      <c r="H28" s="144" t="n">
        <v>46220</v>
      </c>
      <c r="I28" s="76" t="n">
        <v>74.58</v>
      </c>
      <c r="J28" s="76" t="n">
        <v>74.58</v>
      </c>
      <c r="K28" s="57">
        <f>IF($C28="","",IF($B28="Pagada",0,ROUND(MAX(0,N($I28)+N($T28)-N($J28)-N($AD28)),2)))</f>
        <v/>
      </c>
      <c r="L28" s="146" t="inlineStr">
        <is>
          <t>CaixaBank (corriente 9914)</t>
        </is>
      </c>
      <c r="M28" s="59">
        <f>IF(OR($C28="",$AE28="",$K28=0),"",$AE28-TODAY())</f>
        <v/>
      </c>
      <c r="N28" s="62">
        <f>IF($C28="","",IF($K28=0,"✅ Saldada",IF($M28="","",IF($M28&lt;0,IF(N($R28)&gt;0,"🔴 APLAZADA VENCIDA","🔴 VENCIDA"),IF(N($R28)&gt;0,"🕓 Aplazada",IF($M28&lt;=3,"🟠 ≤3 días",IF($M28&lt;=7,"🟡 ≤7 días",IF($M28&lt;=30,"🔵 ≤30 días","⚪ &gt;30 días"))))))))</f>
        <v/>
      </c>
      <c r="O28" s="64">
        <f>IF($AE28="","",TEXT($AE28,"YYYY-MM"))</f>
        <v/>
      </c>
      <c r="P28" s="83" t="n"/>
      <c r="Q28" s="20" t="inlineStr">
        <is>
          <t>⚠️ En la captura lleva la marca de CONCILIADA, por eso va como Pagada. Contrato 316970245. 357 kWh.</t>
        </is>
      </c>
      <c r="R28" s="144" t="n"/>
      <c r="S28" s="20" t="n"/>
      <c r="T28" s="76" t="n"/>
      <c r="U28" s="145" t="n"/>
      <c r="V28" s="145" t="n"/>
      <c r="W28" s="1" t="n"/>
      <c r="X28" s="1" t="n"/>
      <c r="Y28" s="1" t="n"/>
      <c r="Z28" s="1" t="n"/>
      <c r="AA28" s="67">
        <f>IF(OR($C28="",$K28=0,$P28=""),"",VALUE(LEFT($P28,1))*100000+N($M28)+ROW()/100000)</f>
        <v/>
      </c>
      <c r="AB28" s="67">
        <f>IF(OR($C28="",$K28=0,$AE28=""),"",$M28+ROW()/100000)</f>
        <v/>
      </c>
      <c r="AC28" s="41">
        <f t="array" ref="AC28">IF($C28="","",IFERROR(INDEX(Disponibilidad!$O$6:$O$18,MATCH($L28,Disponibilidad!$B$6:$B$18,0)),"Hogar"))</f>
        <v/>
      </c>
      <c r="AD28" s="74">
        <f>IF($C28="","",SUMIFS(Caja!$H$6:$H$505,Caja!$J$6:$J$505,$A28,Caja!$C$6:$C$505,"Pago"))</f>
        <v/>
      </c>
      <c r="AE28" s="144">
        <f>IF($C28="","",IF(N($R28)&gt;0,$R28,$H28))</f>
        <v/>
      </c>
      <c r="AF28" s="145" t="n"/>
      <c r="AG28" s="145" t="n"/>
      <c r="AH28" s="145" t="n"/>
      <c r="AI28" s="145" t="n"/>
      <c r="AJ28" s="145" t="n"/>
      <c r="AK28" s="1" t="n"/>
    </row>
    <row r="29" ht="21.75" customHeight="1" s="311">
      <c r="A29" s="41">
        <f>IF($C29="","",ROW()-5)</f>
        <v/>
      </c>
      <c r="B29" s="83" t="inlineStr">
        <is>
          <t>Pendiente</t>
        </is>
      </c>
      <c r="C29" s="146" t="inlineStr">
        <is>
          <t>Imagin Crédito (CaixaBank)</t>
        </is>
      </c>
      <c r="D29" s="146" t="inlineStr">
        <is>
          <t>Crédito comercial</t>
        </is>
      </c>
      <c r="E29" s="146" t="inlineStr">
        <is>
          <t>Pago mensual del crédito</t>
        </is>
      </c>
      <c r="F29" s="48" t="inlineStr">
        <is>
          <t>Recurrente</t>
        </is>
      </c>
      <c r="G29" s="144" t="n"/>
      <c r="H29" s="144" t="n">
        <v>46204</v>
      </c>
      <c r="I29" s="76" t="n">
        <v>50</v>
      </c>
      <c r="J29" s="76" t="n">
        <v>0</v>
      </c>
      <c r="K29" s="57">
        <f>IF($C29="","",IF($B29="Pagada",0,ROUND(MAX(0,N($I29)+N($T29)-N($J29)-N($AD29)),2)))</f>
        <v/>
      </c>
      <c r="L29" s="146" t="inlineStr">
        <is>
          <t>CaixaBank (corriente 9914)</t>
        </is>
      </c>
      <c r="M29" s="59">
        <f>IF(OR($C29="",$AE29="",$K29=0),"",$AE29-TODAY())</f>
        <v/>
      </c>
      <c r="N29" s="62">
        <f>IF($C29="","",IF($K29=0,"✅ Saldada",IF($M29="","",IF($M29&lt;0,IF(N($R29)&gt;0,"🔴 APLAZADA VENCIDA","🔴 VENCIDA"),IF(N($R29)&gt;0,"🕓 Aplazada",IF($M29&lt;=3,"🟠 ≤3 días",IF($M29&lt;=7,"🟡 ≤7 días",IF($M29&lt;=30,"🔵 ≤30 días","⚪ &gt;30 días"))))))))</f>
        <v/>
      </c>
      <c r="O29" s="64">
        <f>IF($AE29="","",TEXT($AE29,"YYYY-MM"))</f>
        <v/>
      </c>
      <c r="P29" s="83" t="n"/>
      <c r="Q29" s="20" t="inlineStr">
        <is>
          <t>⚠️ Revisa si se solapa con la fila "CaixaBank · Cuota de la tarjeta · 60,00 €" que ya tenías: podrían ser el mismo recibo con distinto importe. Transcrita de la captura de HomeBank del 30/07/2026.</t>
        </is>
      </c>
      <c r="R29" s="144" t="n"/>
      <c r="S29" s="20" t="n"/>
      <c r="T29" s="76" t="n"/>
      <c r="U29" s="30" t="n"/>
      <c r="V29" s="30" t="n"/>
      <c r="W29" s="1" t="n"/>
      <c r="X29" s="1" t="n"/>
      <c r="Y29" s="1" t="n"/>
      <c r="Z29" s="1" t="n"/>
      <c r="AA29" s="67">
        <f>IF(OR($C29="",$K29=0,$P29=""),"",VALUE(LEFT($P29,1))*100000+N($M29)+ROW()/100000)</f>
        <v/>
      </c>
      <c r="AB29" s="67">
        <f>IF(OR($C29="",$K29=0,$AE29=""),"",$M29+ROW()/100000)</f>
        <v/>
      </c>
      <c r="AC29" s="41">
        <f t="array" ref="AC29">IF($C29="","",IFERROR(INDEX(Disponibilidad!$O$6:$O$18,MATCH($L29,Disponibilidad!$B$6:$B$18,0)),"Hogar"))</f>
        <v/>
      </c>
      <c r="AD29" s="74">
        <f>IF($C29="","",SUMIFS(Caja!$H$6:$H$505,Caja!$J$6:$J$505,$A29,Caja!$C$6:$C$505,"Pago"))</f>
        <v/>
      </c>
      <c r="AE29" s="144">
        <f>IF($C29="","",IF(N($R29)&gt;0,$R29,$H29))</f>
        <v/>
      </c>
      <c r="AF29" s="32" t="inlineStr">
        <is>
          <t>4.  ABONOS Y SALDOS</t>
        </is>
      </c>
      <c r="AG29" s="30" t="n"/>
      <c r="AH29" s="30" t="n"/>
      <c r="AI29" s="30" t="n"/>
      <c r="AJ29" s="30" t="n"/>
      <c r="AK29" s="1" t="n"/>
    </row>
    <row r="30" ht="25.5" customHeight="1" s="311">
      <c r="A30" s="41">
        <f>IF($C30="","",ROW()-5)</f>
        <v/>
      </c>
      <c r="B30" s="83" t="inlineStr">
        <is>
          <t>Pendiente</t>
        </is>
      </c>
      <c r="C30" s="146" t="inlineStr">
        <is>
          <t>Quick Gold</t>
        </is>
      </c>
      <c r="D30" s="146" t="inlineStr">
        <is>
          <t>Intereses de empeño</t>
        </is>
      </c>
      <c r="E30" s="146" t="inlineStr">
        <is>
          <t>Intereses del empeño — lote 004503</t>
        </is>
      </c>
      <c r="F30" s="48" t="inlineStr">
        <is>
          <t>lote 004503</t>
        </is>
      </c>
      <c r="G30" s="144" t="n"/>
      <c r="H30" s="144" t="n">
        <v>46275</v>
      </c>
      <c r="I30" s="76" t="n">
        <v>45.1</v>
      </c>
      <c r="J30" s="76" t="n">
        <v>0</v>
      </c>
      <c r="K30" s="57">
        <f>IF($C30="","",IF($B30="Pagada",0,ROUND(MAX(0,N($I30)+N($T30)-N($J30)-N($AD30)),2)))</f>
        <v/>
      </c>
      <c r="L30" s="146" t="inlineStr">
        <is>
          <t>CaixaBank (corriente 9914)</t>
        </is>
      </c>
      <c r="M30" s="59">
        <f>IF(OR($C30="",$AE30="",$K30=0),"",$AE30-TODAY())</f>
        <v/>
      </c>
      <c r="N30" s="62">
        <f>IF($C30="","",IF($K30=0,"✅ Saldada",IF($M30="","",IF($M30&lt;0,IF(N($R30)&gt;0,"🔴 APLAZADA VENCIDA","🔴 VENCIDA"),IF(N($R30)&gt;0,"🕓 Aplazada",IF($M30&lt;=3,"🟠 ≤3 días",IF($M30&lt;=7,"🟡 ≤7 días",IF($M30&lt;=30,"🔵 ≤30 días","⚪ &gt;30 días"))))))))</f>
        <v/>
      </c>
      <c r="O30" s="64">
        <f>IF($AE30="","",TEXT($AE30,"YYYY-MM"))</f>
        <v/>
      </c>
      <c r="P30" s="83" t="n"/>
      <c r="Q30" s="20" t="inlineStr">
        <is>
          <t>Intereses por el empeño, no devolución de capital: por eso van a gastos financieros del Estado de Resultados y NO se descuentan del pasivo por facturas del Balance. Transcrita de la captura de HomeBank del 30/07/2026.</t>
        </is>
      </c>
      <c r="R30" s="144" t="n"/>
      <c r="S30" s="20" t="n"/>
      <c r="T30" s="76" t="n"/>
      <c r="U30" s="33" t="n"/>
      <c r="V30" s="33" t="n"/>
      <c r="W30" s="1" t="n"/>
      <c r="X30" s="1" t="n"/>
      <c r="Y30" s="1" t="n"/>
      <c r="Z30" s="1" t="n"/>
      <c r="AA30" s="67">
        <f>IF(OR($C30="",$K30=0,$P30=""),"",VALUE(LEFT($P30,1))*100000+N($M30)+ROW()/100000)</f>
        <v/>
      </c>
      <c r="AB30" s="67">
        <f>IF(OR($C30="",$K30=0,$AE30=""),"",$M30+ROW()/100000)</f>
        <v/>
      </c>
      <c r="AC30" s="41">
        <f t="array" ref="AC30">IF($C30="","",IFERROR(INDEX(Disponibilidad!$O$6:$O$18,MATCH($L30,Disponibilidad!$B$6:$B$18,0)),"Hogar"))</f>
        <v/>
      </c>
      <c r="AD30" s="74">
        <f>IF($C30="","",SUMIFS(Caja!$H$6:$H$505,Caja!$J$6:$J$505,$A30,Caja!$C$6:$C$505,"Pago"))</f>
        <v/>
      </c>
      <c r="AE30" s="144">
        <f>IF($C30="","",IF(N($R30)&gt;0,$R30,$H30))</f>
        <v/>
      </c>
      <c r="AF30" s="33" t="inlineStr">
        <is>
          <t>Concepto</t>
        </is>
      </c>
      <c r="AG30" s="33" t="inlineStr">
        <is>
          <t>Importe (€)</t>
        </is>
      </c>
      <c r="AH30" s="33" t="inlineStr">
        <is>
          <t>Nº</t>
        </is>
      </c>
      <c r="AI30" s="33" t="inlineStr">
        <is>
          <t>%</t>
        </is>
      </c>
      <c r="AJ30" s="33" t="inlineStr">
        <is>
          <t>Visual</t>
        </is>
      </c>
      <c r="AK30" s="1" t="n"/>
    </row>
    <row r="31" ht="21.75" customHeight="1" s="311">
      <c r="A31" s="41">
        <f>IF($C31="","",ROW()-5)</f>
        <v/>
      </c>
      <c r="B31" s="83" t="inlineStr">
        <is>
          <t>Pendiente</t>
        </is>
      </c>
      <c r="C31" s="146" t="inlineStr">
        <is>
          <t>Iberdrola</t>
        </is>
      </c>
      <c r="D31" s="146" t="inlineStr">
        <is>
          <t>Gas</t>
        </is>
      </c>
      <c r="E31" s="146" t="inlineStr">
        <is>
          <t>Factura de gas natural</t>
        </is>
      </c>
      <c r="F31" s="48" t="inlineStr">
        <is>
          <t>21260710010269250</t>
        </is>
      </c>
      <c r="G31" s="144" t="n"/>
      <c r="H31" s="144" t="n">
        <v>46164</v>
      </c>
      <c r="I31" s="76" t="n">
        <v>41.79</v>
      </c>
      <c r="J31" s="76" t="n">
        <v>0</v>
      </c>
      <c r="K31" s="57">
        <f>IF($C31="","",IF($B31="Pagada",0,ROUND(MAX(0,N($I31)+N($T31)-N($J31)-N($AD31)),2)))</f>
        <v/>
      </c>
      <c r="L31" s="146" t="inlineStr">
        <is>
          <t>CaixaBank (corriente 9914)</t>
        </is>
      </c>
      <c r="M31" s="59">
        <f>IF(OR($C31="",$AE31="",$K31=0),"",$AE31-TODAY())</f>
        <v/>
      </c>
      <c r="N31" s="62">
        <f>IF($C31="","",IF($K31=0,"✅ Saldada",IF($M31="","",IF($M31&lt;0,IF(N($R31)&gt;0,"🔴 APLAZADA VENCIDA","🔴 VENCIDA"),IF(N($R31)&gt;0,"🕓 Aplazada",IF($M31&lt;=3,"🟠 ≤3 días",IF($M31&lt;=7,"🟡 ≤7 días",IF($M31&lt;=30,"🔵 ≤30 días","⚪ &gt;30 días"))))))))</f>
        <v/>
      </c>
      <c r="O31" s="64">
        <f>IF($AE31="","",TEXT($AE31,"YYYY-MM"))</f>
        <v/>
      </c>
      <c r="P31" s="83" t="n"/>
      <c r="Q31" s="20" t="inlineStr">
        <is>
          <t>Nº de contrato 1062486277. Transcrita de la captura de HomeBank del 30/07/2026.</t>
        </is>
      </c>
      <c r="R31" s="144" t="n"/>
      <c r="S31" s="20" t="n"/>
      <c r="T31" s="76" t="n"/>
      <c r="U31" s="46" t="n"/>
      <c r="V31" s="46" t="n"/>
      <c r="W31" s="1" t="n"/>
      <c r="X31" s="1" t="n"/>
      <c r="Y31" s="1" t="n"/>
      <c r="Z31" s="1" t="n"/>
      <c r="AA31" s="67">
        <f>IF(OR($C31="",$K31=0,$P31=""),"",VALUE(LEFT($P31,1))*100000+N($M31)+ROW()/100000)</f>
        <v/>
      </c>
      <c r="AB31" s="67">
        <f>IF(OR($C31="",$K31=0,$AE31=""),"",$M31+ROW()/100000)</f>
        <v/>
      </c>
      <c r="AC31" s="41">
        <f t="array" ref="AC31">IF($C31="","",IFERROR(INDEX(Disponibilidad!$O$6:$O$18,MATCH($L31,Disponibilidad!$B$6:$B$18,0)),"Hogar"))</f>
        <v/>
      </c>
      <c r="AD31" s="74">
        <f>IF($C31="","",SUMIFS(Caja!$H$6:$H$505,Caja!$J$6:$J$505,$A31,Caja!$C$6:$C$505,"Pago"))</f>
        <v/>
      </c>
      <c r="AE31" s="144">
        <f>IF($C31="","",IF(N($R31)&gt;0,$R31,$H31))</f>
        <v/>
      </c>
      <c r="AF31" s="46" t="inlineStr">
        <is>
          <t>Total facturado</t>
        </is>
      </c>
      <c r="AG31" s="42">
        <f>SUM($I$6:$I$205)</f>
        <v/>
      </c>
      <c r="AH31" s="59">
        <f>COUNTIFS($I$6:$I$205,"&gt;0")</f>
        <v/>
      </c>
      <c r="AI31" s="46" t="n"/>
      <c r="AJ31" s="46" t="n"/>
      <c r="AK31" s="1" t="n"/>
    </row>
    <row r="32" ht="15" customHeight="1" s="311">
      <c r="A32" s="41">
        <f>IF($C32="","",ROW()-5)</f>
        <v/>
      </c>
      <c r="B32" s="83" t="inlineStr">
        <is>
          <t>Pendiente</t>
        </is>
      </c>
      <c r="C32" s="146" t="inlineStr">
        <is>
          <t>Quick Gold</t>
        </is>
      </c>
      <c r="D32" s="146" t="inlineStr">
        <is>
          <t>Intereses de empeño</t>
        </is>
      </c>
      <c r="E32" s="146" t="inlineStr">
        <is>
          <t>Intereses del empeño — lote 006258</t>
        </is>
      </c>
      <c r="F32" s="48" t="inlineStr">
        <is>
          <t>lote 006258</t>
        </is>
      </c>
      <c r="G32" s="144" t="n"/>
      <c r="H32" s="144" t="n">
        <v>46290</v>
      </c>
      <c r="I32" s="76" t="n">
        <v>39.11</v>
      </c>
      <c r="J32" s="76" t="n">
        <v>0</v>
      </c>
      <c r="K32" s="57">
        <f>IF($C32="","",IF($B32="Pagada",0,ROUND(MAX(0,N($I32)+N($T32)-N($J32)-N($AD32)),2)))</f>
        <v/>
      </c>
      <c r="L32" s="146" t="inlineStr">
        <is>
          <t>CaixaBank (corriente 9914)</t>
        </is>
      </c>
      <c r="M32" s="59">
        <f>IF(OR($C32="",$AE32="",$K32=0),"",$AE32-TODAY())</f>
        <v/>
      </c>
      <c r="N32" s="62">
        <f>IF($C32="","",IF($K32=0,"✅ Saldada",IF($M32="","",IF($M32&lt;0,IF(N($R32)&gt;0,"🔴 APLAZADA VENCIDA","🔴 VENCIDA"),IF(N($R32)&gt;0,"🕓 Aplazada",IF($M32&lt;=3,"🟠 ≤3 días",IF($M32&lt;=7,"🟡 ≤7 días",IF($M32&lt;=30,"🔵 ≤30 días","⚪ &gt;30 días"))))))))</f>
        <v/>
      </c>
      <c r="O32" s="64">
        <f>IF($AE32="","",TEXT($AE32,"YYYY-MM"))</f>
        <v/>
      </c>
      <c r="P32" s="83" t="n"/>
      <c r="Q32" s="20" t="inlineStr">
        <is>
          <t>Intereses por el empeño, no devolución de capital: por eso van a gastos financieros del Estado de Resultados y NO se descuentan del pasivo por facturas del Balance. Transcrita de la captura de HomeBank del 30/07/2026.</t>
        </is>
      </c>
      <c r="R32" s="144" t="n"/>
      <c r="S32" s="20" t="n"/>
      <c r="T32" s="76" t="n"/>
      <c r="U32" s="39" t="n"/>
      <c r="V32" s="39" t="n"/>
      <c r="W32" s="1" t="n"/>
      <c r="X32" s="1" t="n"/>
      <c r="Y32" s="1" t="n"/>
      <c r="Z32" s="1" t="n"/>
      <c r="AA32" s="67">
        <f>IF(OR($C32="",$K32=0,$P32=""),"",VALUE(LEFT($P32,1))*100000+N($M32)+ROW()/100000)</f>
        <v/>
      </c>
      <c r="AB32" s="67">
        <f>IF(OR($C32="",$K32=0,$AE32=""),"",$M32+ROW()/100000)</f>
        <v/>
      </c>
      <c r="AC32" s="41">
        <f t="array" ref="AC32">IF($C32="","",IFERROR(INDEX(Disponibilidad!$O$6:$O$18,MATCH($L32,Disponibilidad!$B$6:$B$18,0)),"Hogar"))</f>
        <v/>
      </c>
      <c r="AD32" s="74">
        <f>IF($C32="","",SUMIFS(Caja!$H$6:$H$505,Caja!$J$6:$J$505,$A32,Caja!$C$6:$C$505,"Pago"))</f>
        <v/>
      </c>
      <c r="AE32" s="144">
        <f>IF($C32="","",IF(N($R32)&gt;0,$R32,$H32))</f>
        <v/>
      </c>
      <c r="AF32" s="38" t="inlineStr">
        <is>
          <t>Total ya abonado</t>
        </is>
      </c>
      <c r="AG32" s="86">
        <f>SUM($I$6:$I$205)-SUM($K$6:$K$205)</f>
        <v/>
      </c>
      <c r="AH32" s="109">
        <f>COUNTIFS($J$6:$J$205,"&gt;0")</f>
        <v/>
      </c>
      <c r="AI32" s="39" t="n"/>
      <c r="AJ32" s="39" t="n"/>
      <c r="AK32" s="1" t="n"/>
    </row>
    <row r="33" ht="15" customHeight="1" s="311">
      <c r="A33" s="41">
        <f>IF($C33="","",ROW()-5)</f>
        <v/>
      </c>
      <c r="B33" s="83" t="inlineStr">
        <is>
          <t>Pendiente</t>
        </is>
      </c>
      <c r="C33" s="146" t="inlineStr">
        <is>
          <t>Comunidad Capitol</t>
        </is>
      </c>
      <c r="D33" s="146" t="inlineStr">
        <is>
          <t>Comunidad</t>
        </is>
      </c>
      <c r="E33" s="146" t="inlineStr">
        <is>
          <t>Limpieza de comunidad — factura 001</t>
        </is>
      </c>
      <c r="F33" s="48" t="inlineStr">
        <is>
          <t>001</t>
        </is>
      </c>
      <c r="G33" s="144" t="n"/>
      <c r="H33" s="144" t="n">
        <v>45991</v>
      </c>
      <c r="I33" s="76" t="n">
        <v>30</v>
      </c>
      <c r="J33" s="76" t="n">
        <v>0</v>
      </c>
      <c r="K33" s="57">
        <f>IF($C33="","",IF($B33="Pagada",0,ROUND(MAX(0,N($I33)+N($T33)-N($J33)-N($AD33)),2)))</f>
        <v/>
      </c>
      <c r="L33" s="146" t="inlineStr">
        <is>
          <t>CaixaBank (corriente 9914)</t>
        </is>
      </c>
      <c r="M33" s="59">
        <f>IF(OR($C33="",$AE33="",$K33=0),"",$AE33-TODAY())</f>
        <v/>
      </c>
      <c r="N33" s="62">
        <f>IF($C33="","",IF($K33=0,"✅ Saldada",IF($M33="","",IF($M33&lt;0,IF(N($R33)&gt;0,"🔴 APLAZADA VENCIDA","🔴 VENCIDA"),IF(N($R33)&gt;0,"🕓 Aplazada",IF($M33&lt;=3,"🟠 ≤3 días",IF($M33&lt;=7,"🟡 ≤7 días",IF($M33&lt;=30,"🔵 ≤30 días","⚪ &gt;30 días"))))))))</f>
        <v/>
      </c>
      <c r="O33" s="64">
        <f>IF($AE33="","",TEXT($AE33,"YYYY-MM"))</f>
        <v/>
      </c>
      <c r="P33" s="83" t="inlineStr">
        <is>
          <t>1 · Urgente</t>
        </is>
      </c>
      <c r="Q33" s="20" t="inlineStr">
        <is>
          <t>Transcrita de la captura de HomeBank del 30/07/2026.</t>
        </is>
      </c>
      <c r="R33" s="144" t="n"/>
      <c r="S33" s="20" t="n"/>
      <c r="T33" s="76" t="n"/>
      <c r="U33" s="39" t="n"/>
      <c r="V33" s="39" t="n"/>
      <c r="W33" s="1" t="n"/>
      <c r="X33" s="1" t="n"/>
      <c r="Y33" s="1" t="n"/>
      <c r="Z33" s="1" t="n"/>
      <c r="AA33" s="67">
        <f>IF(OR($C33="",$K33=0,$P33=""),"",VALUE(LEFT($P33,1))*100000+N($M33)+ROW()/100000)</f>
        <v/>
      </c>
      <c r="AB33" s="67">
        <f>IF(OR($C33="",$K33=0,$AE33=""),"",$M33+ROW()/100000)</f>
        <v/>
      </c>
      <c r="AC33" s="41">
        <f t="array" ref="AC33">IF($C33="","",IFERROR(INDEX(Disponibilidad!$O$6:$O$18,MATCH($L33,Disponibilidad!$B$6:$B$18,0)),"Hogar"))</f>
        <v/>
      </c>
      <c r="AD33" s="74">
        <f>IF($C33="","",SUMIFS(Caja!$H$6:$H$505,Caja!$J$6:$J$505,$A33,Caja!$C$6:$C$505,"Pago"))</f>
        <v/>
      </c>
      <c r="AE33" s="144">
        <f>IF($C33="","",IF(N($R33)&gt;0,$R33,$H33))</f>
        <v/>
      </c>
      <c r="AF33" s="38" t="inlineStr">
        <is>
          <t>SALDO PENDIENTE</t>
        </is>
      </c>
      <c r="AG33" s="86">
        <f>$AG$20</f>
        <v/>
      </c>
      <c r="AH33" s="109">
        <f>COUNTIFS($K$6:$K$205,"&gt;0")</f>
        <v/>
      </c>
      <c r="AI33" s="39" t="n"/>
      <c r="AJ33" s="39" t="n"/>
      <c r="AK33" s="1" t="n"/>
    </row>
    <row r="34" ht="15" customHeight="1" s="311">
      <c r="A34" s="41">
        <f>IF($C34="","",ROW()-5)</f>
        <v/>
      </c>
      <c r="B34" s="83" t="inlineStr">
        <is>
          <t>Pendiente</t>
        </is>
      </c>
      <c r="C34" s="146" t="inlineStr">
        <is>
          <t>Comunidad Capitol</t>
        </is>
      </c>
      <c r="D34" s="146" t="inlineStr">
        <is>
          <t>Comunidad</t>
        </is>
      </c>
      <c r="E34" s="146" t="inlineStr">
        <is>
          <t>Limpieza de comunidad — factura 002</t>
        </is>
      </c>
      <c r="F34" s="48" t="inlineStr">
        <is>
          <t>002</t>
        </is>
      </c>
      <c r="G34" s="144" t="n"/>
      <c r="H34" s="144" t="n">
        <v>46022</v>
      </c>
      <c r="I34" s="76" t="n">
        <v>30</v>
      </c>
      <c r="J34" s="76" t="n">
        <v>0</v>
      </c>
      <c r="K34" s="57">
        <f>IF($C34="","",IF($B34="Pagada",0,ROUND(MAX(0,N($I34)+N($T34)-N($J34)-N($AD34)),2)))</f>
        <v/>
      </c>
      <c r="L34" s="146" t="inlineStr">
        <is>
          <t>CaixaBank (corriente 9914)</t>
        </is>
      </c>
      <c r="M34" s="59">
        <f>IF(OR($C34="",$AE34="",$K34=0),"",$AE34-TODAY())</f>
        <v/>
      </c>
      <c r="N34" s="62">
        <f>IF($C34="","",IF($K34=0,"✅ Saldada",IF($M34="","",IF($M34&lt;0,IF(N($R34)&gt;0,"🔴 APLAZADA VENCIDA","🔴 VENCIDA"),IF(N($R34)&gt;0,"🕓 Aplazada",IF($M34&lt;=3,"🟠 ≤3 días",IF($M34&lt;=7,"🟡 ≤7 días",IF($M34&lt;=30,"🔵 ≤30 días","⚪ &gt;30 días"))))))))</f>
        <v/>
      </c>
      <c r="O34" s="64">
        <f>IF($AE34="","",TEXT($AE34,"YYYY-MM"))</f>
        <v/>
      </c>
      <c r="P34" s="83" t="inlineStr">
        <is>
          <t>1 · Urgente</t>
        </is>
      </c>
      <c r="Q34" s="20" t="inlineStr">
        <is>
          <t>Transcrita de la captura de HomeBank del 30/07/2026.</t>
        </is>
      </c>
      <c r="R34" s="144" t="n"/>
      <c r="S34" s="20" t="n"/>
      <c r="T34" s="76" t="n"/>
      <c r="U34" s="46" t="n"/>
      <c r="V34" s="46" t="n"/>
      <c r="W34" s="1" t="n"/>
      <c r="X34" s="1" t="n"/>
      <c r="Y34" s="1" t="n"/>
      <c r="Z34" s="1" t="n"/>
      <c r="AA34" s="67">
        <f>IF(OR($C34="",$K34=0,$P34=""),"",VALUE(LEFT($P34,1))*100000+N($M34)+ROW()/100000)</f>
        <v/>
      </c>
      <c r="AB34" s="67">
        <f>IF(OR($C34="",$K34=0,$AE34=""),"",$M34+ROW()/100000)</f>
        <v/>
      </c>
      <c r="AC34" s="41">
        <f t="array" ref="AC34">IF($C34="","",IFERROR(INDEX(Disponibilidad!$O$6:$O$18,MATCH($L34,Disponibilidad!$B$6:$B$18,0)),"Hogar"))</f>
        <v/>
      </c>
      <c r="AD34" s="74">
        <f>IF($C34="","",SUMIFS(Caja!$H$6:$H$505,Caja!$J$6:$J$505,$A34,Caja!$C$6:$C$505,"Pago"))</f>
        <v/>
      </c>
      <c r="AE34" s="144">
        <f>IF($C34="","",IF(N($R34)&gt;0,$R34,$H34))</f>
        <v/>
      </c>
      <c r="AF34" s="46" t="inlineStr">
        <is>
          <t>Facturas con abono parcial</t>
        </is>
      </c>
      <c r="AG34" s="42" t="n"/>
      <c r="AH34" s="59">
        <f>SUMPRODUCT(($J$6:$J$205&gt;0)*($K$6:$K$205&gt;0))</f>
        <v/>
      </c>
      <c r="AI34" s="46" t="n"/>
      <c r="AJ34" s="46" t="n"/>
      <c r="AK34" s="1" t="n"/>
    </row>
    <row r="35" ht="15" customHeight="1" s="311">
      <c r="A35" s="41">
        <f>IF($C35="","",ROW()-5)</f>
        <v/>
      </c>
      <c r="B35" s="83" t="inlineStr">
        <is>
          <t>Pendiente</t>
        </is>
      </c>
      <c r="C35" s="146" t="inlineStr">
        <is>
          <t>Comunidad Capitol</t>
        </is>
      </c>
      <c r="D35" s="146" t="inlineStr">
        <is>
          <t>Comunidad</t>
        </is>
      </c>
      <c r="E35" s="146" t="inlineStr">
        <is>
          <t>Limpieza de comunidad — factura 003</t>
        </is>
      </c>
      <c r="F35" s="48" t="inlineStr">
        <is>
          <t>003</t>
        </is>
      </c>
      <c r="G35" s="144" t="n"/>
      <c r="H35" s="144" t="n">
        <v>46053</v>
      </c>
      <c r="I35" s="76" t="n">
        <v>30</v>
      </c>
      <c r="J35" s="76" t="n">
        <v>0</v>
      </c>
      <c r="K35" s="57">
        <f>IF($C35="","",IF($B35="Pagada",0,ROUND(MAX(0,N($I35)+N($T35)-N($J35)-N($AD35)),2)))</f>
        <v/>
      </c>
      <c r="L35" s="146" t="inlineStr">
        <is>
          <t>CaixaBank (corriente 9914)</t>
        </is>
      </c>
      <c r="M35" s="59">
        <f>IF(OR($C35="",$AE35="",$K35=0),"",$AE35-TODAY())</f>
        <v/>
      </c>
      <c r="N35" s="62">
        <f>IF($C35="","",IF($K35=0,"✅ Saldada",IF($M35="","",IF($M35&lt;0,IF(N($R35)&gt;0,"🔴 APLAZADA VENCIDA","🔴 VENCIDA"),IF(N($R35)&gt;0,"🕓 Aplazada",IF($M35&lt;=3,"🟠 ≤3 días",IF($M35&lt;=7,"🟡 ≤7 días",IF($M35&lt;=30,"🔵 ≤30 días","⚪ &gt;30 días"))))))))</f>
        <v/>
      </c>
      <c r="O35" s="64">
        <f>IF($AE35="","",TEXT($AE35,"YYYY-MM"))</f>
        <v/>
      </c>
      <c r="P35" s="83" t="inlineStr">
        <is>
          <t>1 · Urgente</t>
        </is>
      </c>
      <c r="Q35" s="20" t="inlineStr">
        <is>
          <t>Transcrita de la captura de HomeBank del 30/07/2026.</t>
        </is>
      </c>
      <c r="R35" s="144" t="n"/>
      <c r="S35" s="20" t="n"/>
      <c r="T35" s="76" t="n"/>
      <c r="U35" s="46" t="n"/>
      <c r="V35" s="46" t="n"/>
      <c r="W35" s="1" t="n"/>
      <c r="X35" s="1" t="n"/>
      <c r="Y35" s="1" t="n"/>
      <c r="Z35" s="1" t="n"/>
      <c r="AA35" s="67">
        <f>IF(OR($C35="",$K35=0,$P35=""),"",VALUE(LEFT($P35,1))*100000+N($M35)+ROW()/100000)</f>
        <v/>
      </c>
      <c r="AB35" s="67">
        <f>IF(OR($C35="",$K35=0,$AE35=""),"",$M35+ROW()/100000)</f>
        <v/>
      </c>
      <c r="AC35" s="41">
        <f t="array" ref="AC35">IF($C35="","",IFERROR(INDEX(Disponibilidad!$O$6:$O$18,MATCH($L35,Disponibilidad!$B$6:$B$18,0)),"Hogar"))</f>
        <v/>
      </c>
      <c r="AD35" s="74">
        <f>IF($C35="","",SUMIFS(Caja!$H$6:$H$505,Caja!$J$6:$J$505,$A35,Caja!$C$6:$C$505,"Pago"))</f>
        <v/>
      </c>
      <c r="AE35" s="144">
        <f>IF($C35="","",IF(N($R35)&gt;0,$R35,$H35))</f>
        <v/>
      </c>
      <c r="AF35" s="46" t="inlineStr">
        <is>
          <t>Facturas totalmente saldadas</t>
        </is>
      </c>
      <c r="AG35" s="42" t="n"/>
      <c r="AH35" s="59">
        <f>SUMPRODUCT(($C$6:$C$205&lt;&gt;"")*($K$6:$K$205=0))</f>
        <v/>
      </c>
      <c r="AI35" s="46" t="n"/>
      <c r="AJ35" s="46" t="n"/>
      <c r="AK35" s="1" t="n"/>
    </row>
    <row r="36" ht="15" customHeight="1" s="311">
      <c r="A36" s="41">
        <f>IF($C36="","",ROW()-5)</f>
        <v/>
      </c>
      <c r="B36" s="83" t="inlineStr">
        <is>
          <t>Pendiente</t>
        </is>
      </c>
      <c r="C36" s="146" t="inlineStr">
        <is>
          <t>Comunidad Capitol</t>
        </is>
      </c>
      <c r="D36" s="146" t="inlineStr">
        <is>
          <t>Comunidad</t>
        </is>
      </c>
      <c r="E36" s="146" t="inlineStr">
        <is>
          <t>Limpieza de comunidad — factura 005</t>
        </is>
      </c>
      <c r="F36" s="48" t="inlineStr">
        <is>
          <t>005</t>
        </is>
      </c>
      <c r="G36" s="144" t="n"/>
      <c r="H36" s="144" t="n">
        <v>46112</v>
      </c>
      <c r="I36" s="76" t="n">
        <v>30</v>
      </c>
      <c r="J36" s="76" t="n">
        <v>0</v>
      </c>
      <c r="K36" s="57">
        <f>IF($C36="","",IF($B36="Pagada",0,ROUND(MAX(0,N($I36)+N($T36)-N($J36)-N($AD36)),2)))</f>
        <v/>
      </c>
      <c r="L36" s="146" t="inlineStr">
        <is>
          <t>CaixaBank (corriente 9914)</t>
        </is>
      </c>
      <c r="M36" s="59">
        <f>IF(OR($C36="",$AE36="",$K36=0),"",$AE36-TODAY())</f>
        <v/>
      </c>
      <c r="N36" s="62">
        <f>IF($C36="","",IF($K36=0,"✅ Saldada",IF($M36="","",IF($M36&lt;0,IF(N($R36)&gt;0,"🔴 APLAZADA VENCIDA","🔴 VENCIDA"),IF(N($R36)&gt;0,"🕓 Aplazada",IF($M36&lt;=3,"🟠 ≤3 días",IF($M36&lt;=7,"🟡 ≤7 días",IF($M36&lt;=30,"🔵 ≤30 días","⚪ &gt;30 días"))))))))</f>
        <v/>
      </c>
      <c r="O36" s="64">
        <f>IF($AE36="","",TEXT($AE36,"YYYY-MM"))</f>
        <v/>
      </c>
      <c r="P36" s="83" t="inlineStr">
        <is>
          <t>1 · Urgente</t>
        </is>
      </c>
      <c r="Q36" s="20" t="inlineStr">
        <is>
          <t>Transcrita de la captura de HomeBank del 30/07/2026.</t>
        </is>
      </c>
      <c r="R36" s="144" t="n"/>
      <c r="S36" s="20" t="n"/>
      <c r="T36" s="76" t="n"/>
      <c r="U36" s="145" t="n"/>
      <c r="V36" s="131" t="n"/>
      <c r="W36" s="1" t="n"/>
      <c r="X36" s="1" t="n"/>
      <c r="Y36" s="1" t="n"/>
      <c r="Z36" s="1" t="n"/>
      <c r="AA36" s="67">
        <f>IF(OR($C36="",$K36=0,$P36=""),"",VALUE(LEFT($P36,1))*100000+N($M36)+ROW()/100000)</f>
        <v/>
      </c>
      <c r="AB36" s="67">
        <f>IF(OR($C36="",$K36=0,$AE36=""),"",$M36+ROW()/100000)</f>
        <v/>
      </c>
      <c r="AC36" s="41">
        <f t="array" ref="AC36">IF($C36="","",IFERROR(INDEX(Disponibilidad!$O$6:$O$18,MATCH($L36,Disponibilidad!$B$6:$B$18,0)),"Hogar"))</f>
        <v/>
      </c>
      <c r="AD36" s="74">
        <f>IF($C36="","",SUMIFS(Caja!$H$6:$H$505,Caja!$J$6:$J$505,$A36,Caja!$C$6:$C$505,"Pago"))</f>
        <v/>
      </c>
      <c r="AE36" s="144">
        <f>IF($C36="","",IF(N($R36)&gt;0,$R36,$H36))</f>
        <v/>
      </c>
      <c r="AF36" s="23" t="inlineStr">
        <is>
          <t>% abonado sobre el total facturado</t>
        </is>
      </c>
      <c r="AG36" s="132">
        <f>IFERROR($AG$32/$AG$31,"")</f>
        <v/>
      </c>
      <c r="AH36" s="145" t="n"/>
      <c r="AI36" s="145" t="n"/>
      <c r="AJ36" s="131">
        <f>IF($AG$36="","",REPT("█",MAX(0,ROUND($AG$36*18,0)))&amp;REPT("░",18-MAX(0,ROUND($AG$36*18,0))))</f>
        <v/>
      </c>
      <c r="AK36" s="1" t="n"/>
    </row>
    <row r="37" ht="15" customHeight="1" s="311">
      <c r="A37" s="41">
        <f>IF($C37="","",ROW()-5)</f>
        <v/>
      </c>
      <c r="B37" s="83" t="inlineStr">
        <is>
          <t>Pendiente</t>
        </is>
      </c>
      <c r="C37" s="146" t="inlineStr">
        <is>
          <t>Comunidad Capitol</t>
        </is>
      </c>
      <c r="D37" s="146" t="inlineStr">
        <is>
          <t>Comunidad</t>
        </is>
      </c>
      <c r="E37" s="146" t="inlineStr">
        <is>
          <t>Limpieza de comunidad — factura 006</t>
        </is>
      </c>
      <c r="F37" s="48" t="inlineStr">
        <is>
          <t>006</t>
        </is>
      </c>
      <c r="G37" s="144" t="n"/>
      <c r="H37" s="144" t="n">
        <v>46142</v>
      </c>
      <c r="I37" s="76" t="n">
        <v>30</v>
      </c>
      <c r="J37" s="76" t="n">
        <v>0</v>
      </c>
      <c r="K37" s="57">
        <f>IF($C37="","",IF($B37="Pagada",0,ROUND(MAX(0,N($I37)+N($T37)-N($J37)-N($AD37)),2)))</f>
        <v/>
      </c>
      <c r="L37" s="146" t="inlineStr">
        <is>
          <t>CaixaBank (corriente 9914)</t>
        </is>
      </c>
      <c r="M37" s="59">
        <f>IF(OR($C37="",$AE37="",$K37=0),"",$AE37-TODAY())</f>
        <v/>
      </c>
      <c r="N37" s="62">
        <f>IF($C37="","",IF($K37=0,"✅ Saldada",IF($M37="","",IF($M37&lt;0,IF(N($R37)&gt;0,"🔴 APLAZADA VENCIDA","🔴 VENCIDA"),IF(N($R37)&gt;0,"🕓 Aplazada",IF($M37&lt;=3,"🟠 ≤3 días",IF($M37&lt;=7,"🟡 ≤7 días",IF($M37&lt;=30,"🔵 ≤30 días","⚪ &gt;30 días"))))))))</f>
        <v/>
      </c>
      <c r="O37" s="64">
        <f>IF($AE37="","",TEXT($AE37,"YYYY-MM"))</f>
        <v/>
      </c>
      <c r="P37" s="83" t="inlineStr">
        <is>
          <t>1 · Urgente</t>
        </is>
      </c>
      <c r="Q37" s="20" t="inlineStr">
        <is>
          <t>Transcrita de la captura de HomeBank del 30/07/2026.</t>
        </is>
      </c>
      <c r="R37" s="144" t="n"/>
      <c r="S37" s="20" t="n"/>
      <c r="T37" s="76" t="n"/>
      <c r="U37" s="145" t="n"/>
      <c r="V37" s="145" t="n"/>
      <c r="W37" s="1" t="n"/>
      <c r="X37" s="1" t="n"/>
      <c r="Y37" s="1" t="n"/>
      <c r="Z37" s="1" t="n"/>
      <c r="AA37" s="67">
        <f>IF(OR($C37="",$K37=0,$P37=""),"",VALUE(LEFT($P37,1))*100000+N($M37)+ROW()/100000)</f>
        <v/>
      </c>
      <c r="AB37" s="67">
        <f>IF(OR($C37="",$K37=0,$AE37=""),"",$M37+ROW()/100000)</f>
        <v/>
      </c>
      <c r="AC37" s="41">
        <f t="array" ref="AC37">IF($C37="","",IFERROR(INDEX(Disponibilidad!$O$6:$O$18,MATCH($L37,Disponibilidad!$B$6:$B$18,0)),"Hogar"))</f>
        <v/>
      </c>
      <c r="AD37" s="74">
        <f>IF($C37="","",SUMIFS(Caja!$H$6:$H$505,Caja!$J$6:$J$505,$A37,Caja!$C$6:$C$505,"Pago"))</f>
        <v/>
      </c>
      <c r="AE37" s="144">
        <f>IF($C37="","",IF(N($R37)&gt;0,$R37,$H37))</f>
        <v/>
      </c>
      <c r="AF37" s="145" t="n"/>
      <c r="AG37" s="145" t="n"/>
      <c r="AH37" s="145" t="n"/>
      <c r="AI37" s="145" t="n"/>
      <c r="AJ37" s="145" t="n"/>
      <c r="AK37" s="1" t="n"/>
    </row>
    <row r="38" ht="21.75" customHeight="1" s="311">
      <c r="A38" s="41">
        <f>IF($C38="","",ROW()-5)</f>
        <v/>
      </c>
      <c r="B38" s="83" t="inlineStr">
        <is>
          <t>Pendiente</t>
        </is>
      </c>
      <c r="C38" s="146" t="inlineStr">
        <is>
          <t>Comunidad Capitol</t>
        </is>
      </c>
      <c r="D38" s="146" t="inlineStr">
        <is>
          <t>Comunidad</t>
        </is>
      </c>
      <c r="E38" s="146" t="inlineStr">
        <is>
          <t>Limpieza de comunidad — factura 007</t>
        </is>
      </c>
      <c r="F38" s="48" t="inlineStr">
        <is>
          <t>007</t>
        </is>
      </c>
      <c r="G38" s="144" t="n"/>
      <c r="H38" s="144" t="n">
        <v>46172</v>
      </c>
      <c r="I38" s="76" t="n">
        <v>30</v>
      </c>
      <c r="J38" s="76" t="n">
        <v>0</v>
      </c>
      <c r="K38" s="57">
        <f>IF($C38="","",IF($B38="Pagada",0,ROUND(MAX(0,N($I38)+N($T38)-N($J38)-N($AD38)),2)))</f>
        <v/>
      </c>
      <c r="L38" s="146" t="inlineStr">
        <is>
          <t>CaixaBank (corriente 9914)</t>
        </is>
      </c>
      <c r="M38" s="59">
        <f>IF(OR($C38="",$AE38="",$K38=0),"",$AE38-TODAY())</f>
        <v/>
      </c>
      <c r="N38" s="62">
        <f>IF($C38="","",IF($K38=0,"✅ Saldada",IF($M38="","",IF($M38&lt;0,IF(N($R38)&gt;0,"🔴 APLAZADA VENCIDA","🔴 VENCIDA"),IF(N($R38)&gt;0,"🕓 Aplazada",IF($M38&lt;=3,"🟠 ≤3 días",IF($M38&lt;=7,"🟡 ≤7 días",IF($M38&lt;=30,"🔵 ≤30 días","⚪ &gt;30 días"))))))))</f>
        <v/>
      </c>
      <c r="O38" s="64">
        <f>IF($AE38="","",TEXT($AE38,"YYYY-MM"))</f>
        <v/>
      </c>
      <c r="P38" s="83" t="n"/>
      <c r="Q38" s="20" t="inlineStr">
        <is>
          <t>Transcrita de la captura de HomeBank del 30/07/2026.</t>
        </is>
      </c>
      <c r="R38" s="144" t="n"/>
      <c r="S38" s="20" t="n"/>
      <c r="T38" s="76" t="n"/>
      <c r="U38" s="30" t="n"/>
      <c r="V38" s="30" t="n"/>
      <c r="W38" s="1" t="n"/>
      <c r="X38" s="1" t="n"/>
      <c r="Y38" s="1" t="n"/>
      <c r="Z38" s="1" t="n"/>
      <c r="AA38" s="67">
        <f>IF(OR($C38="",$K38=0,$P38=""),"",VALUE(LEFT($P38,1))*100000+N($M38)+ROW()/100000)</f>
        <v/>
      </c>
      <c r="AB38" s="67">
        <f>IF(OR($C38="",$K38=0,$AE38=""),"",$M38+ROW()/100000)</f>
        <v/>
      </c>
      <c r="AC38" s="41">
        <f t="array" ref="AC38">IF($C38="","",IFERROR(INDEX(Disponibilidad!$O$6:$O$18,MATCH($L38,Disponibilidad!$B$6:$B$18,0)),"Hogar"))</f>
        <v/>
      </c>
      <c r="AD38" s="74">
        <f>IF($C38="","",SUMIFS(Caja!$H$6:$H$505,Caja!$J$6:$J$505,$A38,Caja!$C$6:$C$505,"Pago"))</f>
        <v/>
      </c>
      <c r="AE38" s="144">
        <f>IF($C38="","",IF(N($R38)&gt;0,$R38,$H38))</f>
        <v/>
      </c>
      <c r="AF38" s="32" t="inlineStr">
        <is>
          <t>5.  SALDO POR MES DE VENCIMIENTO</t>
        </is>
      </c>
      <c r="AG38" s="30" t="n"/>
      <c r="AH38" s="30" t="n"/>
      <c r="AI38" s="30" t="n"/>
      <c r="AJ38" s="30" t="n"/>
      <c r="AK38" s="1" t="n"/>
    </row>
    <row r="39" ht="25.5" customHeight="1" s="311">
      <c r="A39" s="41">
        <f>IF($C39="","",ROW()-5)</f>
        <v/>
      </c>
      <c r="B39" s="83" t="inlineStr">
        <is>
          <t>Pendiente</t>
        </is>
      </c>
      <c r="C39" s="146" t="inlineStr">
        <is>
          <t>Comunidad Capitol</t>
        </is>
      </c>
      <c r="D39" s="146" t="inlineStr">
        <is>
          <t>Comunidad</t>
        </is>
      </c>
      <c r="E39" s="146" t="inlineStr">
        <is>
          <t>Limpieza de comunidad — factura 008</t>
        </is>
      </c>
      <c r="F39" s="48" t="inlineStr">
        <is>
          <t>008</t>
        </is>
      </c>
      <c r="G39" s="144" t="n"/>
      <c r="H39" s="144" t="n">
        <v>46203</v>
      </c>
      <c r="I39" s="76" t="n">
        <v>30</v>
      </c>
      <c r="J39" s="76" t="n">
        <v>0</v>
      </c>
      <c r="K39" s="57">
        <f>IF($C39="","",IF($B39="Pagada",0,ROUND(MAX(0,N($I39)+N($T39)-N($J39)-N($AD39)),2)))</f>
        <v/>
      </c>
      <c r="L39" s="146" t="inlineStr">
        <is>
          <t>CaixaBank (corriente 9914)</t>
        </is>
      </c>
      <c r="M39" s="59">
        <f>IF(OR($C39="",$AE39="",$K39=0),"",$AE39-TODAY())</f>
        <v/>
      </c>
      <c r="N39" s="62">
        <f>IF($C39="","",IF($K39=0,"✅ Saldada",IF($M39="","",IF($M39&lt;0,IF(N($R39)&gt;0,"🔴 APLAZADA VENCIDA","🔴 VENCIDA"),IF(N($R39)&gt;0,"🕓 Aplazada",IF($M39&lt;=3,"🟠 ≤3 días",IF($M39&lt;=7,"🟡 ≤7 días",IF($M39&lt;=30,"🔵 ≤30 días","⚪ &gt;30 días"))))))))</f>
        <v/>
      </c>
      <c r="O39" s="64">
        <f>IF($AE39="","",TEXT($AE39,"YYYY-MM"))</f>
        <v/>
      </c>
      <c r="P39" s="83" t="n"/>
      <c r="Q39" s="20" t="inlineStr">
        <is>
          <t>Transcrita de la captura de HomeBank del 30/07/2026.</t>
        </is>
      </c>
      <c r="R39" s="144" t="n"/>
      <c r="S39" s="20" t="n"/>
      <c r="T39" s="76" t="n"/>
      <c r="U39" s="33" t="n"/>
      <c r="V39" s="33" t="n"/>
      <c r="W39" s="1" t="n"/>
      <c r="X39" s="1" t="n"/>
      <c r="Y39" s="1" t="n"/>
      <c r="Z39" s="1" t="n"/>
      <c r="AA39" s="67">
        <f>IF(OR($C39="",$K39=0,$P39=""),"",VALUE(LEFT($P39,1))*100000+N($M39)+ROW()/100000)</f>
        <v/>
      </c>
      <c r="AB39" s="67">
        <f>IF(OR($C39="",$K39=0,$AE39=""),"",$M39+ROW()/100000)</f>
        <v/>
      </c>
      <c r="AC39" s="41">
        <f t="array" ref="AC39">IF($C39="","",IFERROR(INDEX(Disponibilidad!$O$6:$O$18,MATCH($L39,Disponibilidad!$B$6:$B$18,0)),"Hogar"))</f>
        <v/>
      </c>
      <c r="AD39" s="74">
        <f>IF($C39="","",SUMIFS(Caja!$H$6:$H$505,Caja!$J$6:$J$505,$A39,Caja!$C$6:$C$505,"Pago"))</f>
        <v/>
      </c>
      <c r="AE39" s="144">
        <f>IF($C39="","",IF(N($R39)&gt;0,$R39,$H39))</f>
        <v/>
      </c>
      <c r="AF39" s="33" t="inlineStr">
        <is>
          <t>Mes</t>
        </is>
      </c>
      <c r="AG39" s="33" t="inlineStr">
        <is>
          <t>Saldo pendiente (€)</t>
        </is>
      </c>
      <c r="AH39" s="33" t="inlineStr">
        <is>
          <t>Nº</t>
        </is>
      </c>
      <c r="AI39" s="33" t="inlineStr">
        <is>
          <t>Ya abonado (€)</t>
        </is>
      </c>
      <c r="AJ39" s="33" t="inlineStr">
        <is>
          <t>Visual</t>
        </is>
      </c>
      <c r="AK39" s="1" t="n"/>
    </row>
    <row r="40" ht="21.75" customHeight="1" s="311">
      <c r="A40" s="41">
        <f>IF($C40="","",ROW()-5)</f>
        <v/>
      </c>
      <c r="B40" s="83" t="inlineStr">
        <is>
          <t>Pendiente</t>
        </is>
      </c>
      <c r="C40" s="146" t="inlineStr">
        <is>
          <t>Comunidad Capitol</t>
        </is>
      </c>
      <c r="D40" s="146" t="inlineStr">
        <is>
          <t>Comunidad</t>
        </is>
      </c>
      <c r="E40" s="146" t="inlineStr">
        <is>
          <t>Limpieza de comunidad — factura 004</t>
        </is>
      </c>
      <c r="F40" s="48" t="inlineStr">
        <is>
          <t>004</t>
        </is>
      </c>
      <c r="G40" s="144" t="n"/>
      <c r="H40" s="144" t="n">
        <v>46225</v>
      </c>
      <c r="I40" s="76" t="n">
        <v>30</v>
      </c>
      <c r="J40" s="76" t="n">
        <v>0</v>
      </c>
      <c r="K40" s="57">
        <f>IF($C40="","",IF($B40="Pagada",0,ROUND(MAX(0,N($I40)+N($T40)-N($J40)-N($AD40)),2)))</f>
        <v/>
      </c>
      <c r="L40" s="146" t="inlineStr">
        <is>
          <t>CaixaBank (corriente 9914)</t>
        </is>
      </c>
      <c r="M40" s="59">
        <f>IF(OR($C40="",$AE40="",$K40=0),"",$AE40-TODAY())</f>
        <v/>
      </c>
      <c r="N40" s="62">
        <f>IF($C40="","",IF($K40=0,"✅ Saldada",IF($M40="","",IF($M40&lt;0,IF(N($R40)&gt;0,"🔴 APLAZADA VENCIDA","🔴 VENCIDA"),IF(N($R40)&gt;0,"🕓 Aplazada",IF($M40&lt;=3,"🟠 ≤3 días",IF($M40&lt;=7,"🟡 ≤7 días",IF($M40&lt;=30,"🔵 ≤30 días","⚪ &gt;30 días"))))))))</f>
        <v/>
      </c>
      <c r="O40" s="64">
        <f>IF($AE40="","",TEXT($AE40,"YYYY-MM"))</f>
        <v/>
      </c>
      <c r="P40" s="83" t="n"/>
      <c r="Q40" s="20" t="inlineStr">
        <is>
          <t>En la captura la 004 aparece fechada después de la 008: revisa si es correcto. Transcrita de la captura de HomeBank del 30/07/2026.</t>
        </is>
      </c>
      <c r="R40" s="144" t="n"/>
      <c r="S40" s="20" t="n"/>
      <c r="T40" s="76" t="n"/>
      <c r="U40" s="42" t="n"/>
      <c r="V40" s="134" t="n"/>
      <c r="W40" s="1" t="n"/>
      <c r="X40" s="1" t="n"/>
      <c r="Y40" s="1" t="n"/>
      <c r="Z40" s="1" t="n"/>
      <c r="AA40" s="67">
        <f>IF(OR($C40="",$K40=0,$P40=""),"",VALUE(LEFT($P40,1))*100000+N($M40)+ROW()/100000)</f>
        <v/>
      </c>
      <c r="AB40" s="67">
        <f>IF(OR($C40="",$K40=0,$AE40=""),"",$M40+ROW()/100000)</f>
        <v/>
      </c>
      <c r="AC40" s="41">
        <f t="array" ref="AC40">IF($C40="","",IFERROR(INDEX(Disponibilidad!$O$6:$O$18,MATCH($L40,Disponibilidad!$B$6:$B$18,0)),"Hogar"))</f>
        <v/>
      </c>
      <c r="AD40" s="74">
        <f>IF($C40="","",SUMIFS(Caja!$H$6:$H$505,Caja!$J$6:$J$505,$A40,Caja!$C$6:$C$505,"Pago"))</f>
        <v/>
      </c>
      <c r="AE40" s="144">
        <f>IF($C40="","",IF(N($R40)&gt;0,$R40,$H40))</f>
        <v/>
      </c>
      <c r="AF40" s="64" t="inlineStr">
        <is>
          <t>Anteriores (atrasos)</t>
        </is>
      </c>
      <c r="AG40" s="42">
        <f>MAX(0,$AG$20-SUM($AG$41:$AG$51))</f>
        <v/>
      </c>
      <c r="AH40" s="59">
        <f>COUNTIFS($M$6:$M$205,"&lt;0",$K$6:$K$205,"&gt;0")-COUNTIFS($O$6:$O$205,"&gt;="&amp;$AF$41,$M$6:$M$205,"&lt;0",$K$6:$K$205,"&gt;0")</f>
        <v/>
      </c>
      <c r="AI40" s="42" t="n"/>
      <c r="AJ40" s="134">
        <f>IF($AG$40=0,"",REPT("█",MAX(1,ROUND($AG$40/MAX($AG$40:$AG$51)*18,0))))</f>
        <v/>
      </c>
      <c r="AK40" s="1" t="n"/>
    </row>
    <row r="41" ht="15" customHeight="1" s="311">
      <c r="A41" s="41">
        <f>IF($C41="","",ROW()-5)</f>
        <v/>
      </c>
      <c r="B41" s="83" t="inlineStr">
        <is>
          <t>Pendiente</t>
        </is>
      </c>
      <c r="C41" s="146" t="inlineStr">
        <is>
          <t>Comunidad Capitol</t>
        </is>
      </c>
      <c r="D41" s="146" t="inlineStr">
        <is>
          <t>Comunidad</t>
        </is>
      </c>
      <c r="E41" s="146" t="inlineStr">
        <is>
          <t>Limpieza de comunidad — factura 009</t>
        </is>
      </c>
      <c r="F41" s="48" t="inlineStr">
        <is>
          <t>009</t>
        </is>
      </c>
      <c r="G41" s="144" t="n"/>
      <c r="H41" s="144" t="n">
        <v>46234</v>
      </c>
      <c r="I41" s="76" t="n">
        <v>30</v>
      </c>
      <c r="J41" s="76" t="n">
        <v>0</v>
      </c>
      <c r="K41" s="57">
        <f>IF($C41="","",IF($B41="Pagada",0,ROUND(MAX(0,N($I41)+N($T41)-N($J41)-N($AD41)),2)))</f>
        <v/>
      </c>
      <c r="L41" s="146" t="inlineStr">
        <is>
          <t>CaixaBank (corriente 9914)</t>
        </is>
      </c>
      <c r="M41" s="59">
        <f>IF(OR($C41="",$AE41="",$K41=0),"",$AE41-TODAY())</f>
        <v/>
      </c>
      <c r="N41" s="62">
        <f>IF($C41="","",IF($K41=0,"✅ Saldada",IF($M41="","",IF($M41&lt;0,IF(N($R41)&gt;0,"🔴 APLAZADA VENCIDA","🔴 VENCIDA"),IF(N($R41)&gt;0,"🕓 Aplazada",IF($M41&lt;=3,"🟠 ≤3 días",IF($M41&lt;=7,"🟡 ≤7 días",IF($M41&lt;=30,"🔵 ≤30 días","⚪ &gt;30 días"))))))))</f>
        <v/>
      </c>
      <c r="O41" s="64">
        <f>IF($AE41="","",TEXT($AE41,"YYYY-MM"))</f>
        <v/>
      </c>
      <c r="P41" s="83" t="n"/>
      <c r="Q41" s="20" t="inlineStr">
        <is>
          <t>Transcrita de la captura de HomeBank del 30/07/2026.</t>
        </is>
      </c>
      <c r="R41" s="144" t="n"/>
      <c r="S41" s="20" t="n"/>
      <c r="T41" s="76" t="n"/>
      <c r="U41" s="42" t="n"/>
      <c r="V41" s="134" t="n"/>
      <c r="W41" s="1" t="n"/>
      <c r="X41" s="1" t="n"/>
      <c r="Y41" s="1" t="n"/>
      <c r="Z41" s="1" t="n"/>
      <c r="AA41" s="67">
        <f>IF(OR($C41="",$K41=0,$P41=""),"",VALUE(LEFT($P41,1))*100000+N($M41)+ROW()/100000)</f>
        <v/>
      </c>
      <c r="AB41" s="67">
        <f>IF(OR($C41="",$K41=0,$AE41=""),"",$M41+ROW()/100000)</f>
        <v/>
      </c>
      <c r="AC41" s="41">
        <f t="array" ref="AC41">IF($C41="","",IFERROR(INDEX(Disponibilidad!$O$6:$O$18,MATCH($L41,Disponibilidad!$B$6:$B$18,0)),"Hogar"))</f>
        <v/>
      </c>
      <c r="AD41" s="74">
        <f>IF($C41="","",SUMIFS(Caja!$H$6:$H$505,Caja!$J$6:$J$505,$A41,Caja!$C$6:$C$505,"Pago"))</f>
        <v/>
      </c>
      <c r="AE41" s="144">
        <f>IF($C41="","",IF(N($R41)&gt;0,$R41,$H41))</f>
        <v/>
      </c>
      <c r="AF41" s="64">
        <f>TEXT(EDATE(TODAY(),0),"YYYY-MM")</f>
        <v/>
      </c>
      <c r="AG41" s="42">
        <f>SUMIFS($K$6:$K$205,$O$6:$O$205,$AF41)</f>
        <v/>
      </c>
      <c r="AH41" s="59">
        <f>COUNTIFS($O$6:$O$205,$AF41,$K$6:$K$205,"&gt;0")</f>
        <v/>
      </c>
      <c r="AI41" s="42">
        <f>SUMIFS($I$6:$I$205,$O$6:$O$205,$AF41)-SUMIFS($K$6:$K$205,$O$6:$O$205,$AF41)</f>
        <v/>
      </c>
      <c r="AJ41" s="134">
        <f>IF($AG41=0,"",REPT("█",MAX(1,ROUND($AG41/MAX($AG$40:$AG$51)*18,0))))</f>
        <v/>
      </c>
      <c r="AK41" s="1" t="n"/>
    </row>
    <row r="42" ht="15" customHeight="1" s="311">
      <c r="A42" s="41">
        <f>IF($C42="","",ROW()-5)</f>
        <v/>
      </c>
      <c r="B42" s="83" t="inlineStr">
        <is>
          <t>Pagada</t>
        </is>
      </c>
      <c r="C42" s="146" t="inlineStr">
        <is>
          <t>Quick Gold</t>
        </is>
      </c>
      <c r="D42" s="146" t="inlineStr">
        <is>
          <t>Intereses de empeño</t>
        </is>
      </c>
      <c r="E42" s="146" t="inlineStr">
        <is>
          <t>Intereses del empeño — lote 006548</t>
        </is>
      </c>
      <c r="F42" s="48" t="inlineStr">
        <is>
          <t>lote 006548</t>
        </is>
      </c>
      <c r="G42" s="144" t="n"/>
      <c r="H42" s="144" t="n">
        <v>46248</v>
      </c>
      <c r="I42" s="76" t="n">
        <v>24.54</v>
      </c>
      <c r="J42" s="76" t="n">
        <v>0</v>
      </c>
      <c r="K42" s="57">
        <f>IF($C42="","",IF($B42="Pagada",0,ROUND(MAX(0,N($I42)+N($T42)-N($J42)-N($AD42)),2)))</f>
        <v/>
      </c>
      <c r="L42" s="146" t="inlineStr">
        <is>
          <t>CaixaBank (corriente 9914)</t>
        </is>
      </c>
      <c r="M42" s="59">
        <f>IF(OR($C42="",$AE42="",$K42=0),"",$AE42-TODAY())</f>
        <v/>
      </c>
      <c r="N42" s="62">
        <f>IF($C42="","",IF($K42=0,"✅ Saldada",IF($M42="","",IF($M42&lt;0,IF(N($R42)&gt;0,"🔴 APLAZADA VENCIDA","🔴 VENCIDA"),IF(N($R42)&gt;0,"🕓 Aplazada",IF($M42&lt;=3,"🟠 ≤3 días",IF($M42&lt;=7,"🟡 ≤7 días",IF($M42&lt;=30,"🔵 ≤30 días","⚪ &gt;30 días"))))))))</f>
        <v/>
      </c>
      <c r="O42" s="64">
        <f>IF($AE42="","",TEXT($AE42,"YYYY-MM"))</f>
        <v/>
      </c>
      <c r="P42" s="83" t="n"/>
      <c r="Q42" s="20" t="inlineStr">
        <is>
          <t>Intereses por el empeño, no devolución de capital: por eso van a gastos financieros del Estado de Resultados y NO se descuentan del pasivo por facturas del Balance. Transcrita de la captura de HomeBank del 30/07/2026.</t>
        </is>
      </c>
      <c r="R42" s="144" t="n"/>
      <c r="S42" s="20" t="n"/>
      <c r="T42" s="76" t="n"/>
      <c r="U42" s="42" t="n"/>
      <c r="V42" s="134" t="n"/>
      <c r="W42" s="1" t="n"/>
      <c r="X42" s="1" t="n"/>
      <c r="Y42" s="1" t="n"/>
      <c r="Z42" s="1" t="n"/>
      <c r="AA42" s="67">
        <f>IF(OR($C42="",$K42=0,$P42=""),"",VALUE(LEFT($P42,1))*100000+N($M42)+ROW()/100000)</f>
        <v/>
      </c>
      <c r="AB42" s="67">
        <f>IF(OR($C42="",$K42=0,$AE42=""),"",$M42+ROW()/100000)</f>
        <v/>
      </c>
      <c r="AC42" s="41">
        <f t="array" ref="AC42">IF($C42="","",IFERROR(INDEX(Disponibilidad!$O$6:$O$18,MATCH($L42,Disponibilidad!$B$6:$B$18,0)),"Hogar"))</f>
        <v/>
      </c>
      <c r="AD42" s="74">
        <f>IF($C42="","",SUMIFS(Caja!$H$6:$H$505,Caja!$J$6:$J$505,$A42,Caja!$C$6:$C$505,"Pago"))</f>
        <v/>
      </c>
      <c r="AE42" s="144">
        <f>IF($C42="","",IF(N($R42)&gt;0,$R42,$H42))</f>
        <v/>
      </c>
      <c r="AF42" s="64">
        <f>TEXT(EDATE(TODAY(),1),"YYYY-MM")</f>
        <v/>
      </c>
      <c r="AG42" s="42">
        <f>SUMIFS($K$6:$K$205,$O$6:$O$205,$AF42)</f>
        <v/>
      </c>
      <c r="AH42" s="59">
        <f>COUNTIFS($O$6:$O$205,$AF42,$K$6:$K$205,"&gt;0")</f>
        <v/>
      </c>
      <c r="AI42" s="42">
        <f>SUMIFS($I$6:$I$205,$O$6:$O$205,$AF42)-SUMIFS($K$6:$K$205,$O$6:$O$205,$AF42)</f>
        <v/>
      </c>
      <c r="AJ42" s="134">
        <f>IF($AG42=0,"",REPT("█",MAX(1,ROUND($AG42/MAX($AG$40:$AG$51)*18,0))))</f>
        <v/>
      </c>
      <c r="AK42" s="1" t="n"/>
    </row>
    <row r="43" ht="15" customHeight="1" s="311">
      <c r="A43" s="41">
        <f>IF($C43="","",ROW()-5)</f>
        <v/>
      </c>
      <c r="B43" s="146" t="inlineStr">
        <is>
          <t>Pendiente</t>
        </is>
      </c>
      <c r="C43" s="146" t="inlineStr">
        <is>
          <t>Karma Market</t>
        </is>
      </c>
      <c r="D43" s="146" t="inlineStr">
        <is>
          <t>Crédito comercial</t>
        </is>
      </c>
      <c r="E43" s="146" t="inlineStr">
        <is>
          <t>Credito por compra Lavadora y MIcroonda</t>
        </is>
      </c>
      <c r="F43" s="135" t="n">
        <v>46113</v>
      </c>
      <c r="G43" s="136" t="n">
        <v>46156</v>
      </c>
      <c r="H43" s="144" t="n">
        <v>46142</v>
      </c>
      <c r="I43" s="76" t="n">
        <v>98</v>
      </c>
      <c r="J43" s="76" t="n">
        <v>0</v>
      </c>
      <c r="K43" s="57">
        <f>IF($C43="","",IF($B43="Pagada",0,ROUND(MAX(0,N($I43)+N($T43)-N($J43)-N($AD43)),2)))</f>
        <v/>
      </c>
      <c r="L43" s="146" t="inlineStr">
        <is>
          <t>Banco Bilbao Vizcaya (BBVA)</t>
        </is>
      </c>
      <c r="M43" s="59">
        <f>IF(OR($C43="",$AE43="",$K43=0),"",$AE43-TODAY())</f>
        <v/>
      </c>
      <c r="N43" s="62">
        <f>IF($C43="","",IF($K43=0,"✅ Saldada",IF($M43="","",IF($M43&lt;0,IF(N($R43)&gt;0,"🔴 APLAZADA VENCIDA","🔴 VENCIDA"),IF(N($R43)&gt;0,"🕓 Aplazada",IF($M43&lt;=3,"🟠 ≤3 días",IF($M43&lt;=7,"🟡 ≤7 días",IF($M43&lt;=30,"🔵 ≤30 días","⚪ &gt;30 días"))))))))</f>
        <v/>
      </c>
      <c r="O43" s="64">
        <f>IF($AE43="","",TEXT($AE43,"YYYY-MM"))</f>
        <v/>
      </c>
      <c r="P43" s="83" t="inlineStr">
        <is>
          <t>1 · Urgente</t>
        </is>
      </c>
      <c r="Q43" s="145" t="n"/>
      <c r="R43" s="144" t="n"/>
      <c r="S43" s="145" t="n"/>
      <c r="T43" s="76" t="n"/>
      <c r="U43" s="42" t="n"/>
      <c r="V43" s="134" t="n"/>
      <c r="W43" s="1" t="n"/>
      <c r="X43" s="1" t="n"/>
      <c r="Y43" s="1" t="n"/>
      <c r="Z43" s="1" t="n"/>
      <c r="AA43" s="67">
        <f>IF(OR($C43="",$K43=0,$P43=""),"",VALUE(LEFT($P43,1))*100000+N($M43)+ROW()/100000)</f>
        <v/>
      </c>
      <c r="AB43" s="67">
        <f>IF(OR($C43="",$K43=0,$AE43=""),"",$M43+ROW()/100000)</f>
        <v/>
      </c>
      <c r="AC43" s="41">
        <f t="array" ref="AC43">IF($C43="","",IFERROR(INDEX(Disponibilidad!$O$6:$O$18,MATCH($L43,Disponibilidad!$B$6:$B$18,0)),"Hogar"))</f>
        <v/>
      </c>
      <c r="AD43" s="74">
        <f>IF($C43="","",SUMIFS(Caja!$H$6:$H$505,Caja!$J$6:$J$505,$A43,Caja!$C$6:$C$505,"Pago"))</f>
        <v/>
      </c>
      <c r="AE43" s="144">
        <f>IF($C43="","",IF(N($R43)&gt;0,$R43,$H43))</f>
        <v/>
      </c>
      <c r="AF43" s="64">
        <f>TEXT(EDATE(TODAY(),2),"YYYY-MM")</f>
        <v/>
      </c>
      <c r="AG43" s="42">
        <f>SUMIFS($K$6:$K$205,$O$6:$O$205,$AF43)</f>
        <v/>
      </c>
      <c r="AH43" s="59">
        <f>COUNTIFS($O$6:$O$205,$AF43,$K$6:$K$205,"&gt;0")</f>
        <v/>
      </c>
      <c r="AI43" s="42">
        <f>SUMIFS($I$6:$I$205,$O$6:$O$205,$AF43)-SUMIFS($K$6:$K$205,$O$6:$O$205,$AF43)</f>
        <v/>
      </c>
      <c r="AJ43" s="134">
        <f>IF($AG43=0,"",REPT("█",MAX(1,ROUND($AG43/MAX($AG$40:$AG$51)*18,0))))</f>
        <v/>
      </c>
      <c r="AK43" s="1" t="n"/>
    </row>
    <row r="44" ht="15" customHeight="1" s="311">
      <c r="A44" s="41">
        <f>IF($C44="","",ROW()-5)</f>
        <v/>
      </c>
      <c r="B44" s="146" t="inlineStr">
        <is>
          <t>Pendiente</t>
        </is>
      </c>
      <c r="C44" s="146" t="inlineStr">
        <is>
          <t>Karma Market</t>
        </is>
      </c>
      <c r="D44" s="146" t="inlineStr">
        <is>
          <t>Crédito comercial</t>
        </is>
      </c>
      <c r="E44" s="146" t="inlineStr">
        <is>
          <t>Credito por compra Lavadora y MIcroonda</t>
        </is>
      </c>
      <c r="F44" s="135" t="n">
        <v>46143</v>
      </c>
      <c r="G44" s="136" t="n"/>
      <c r="H44" s="144" t="n">
        <v>46172</v>
      </c>
      <c r="I44" s="76" t="n">
        <v>98</v>
      </c>
      <c r="J44" s="76" t="n">
        <v>0</v>
      </c>
      <c r="K44" s="57">
        <f>IF($C44="","",IF($B44="Pagada",0,ROUND(MAX(0,N($I44)+N($T44)-N($J44)-N($AD44)),2)))</f>
        <v/>
      </c>
      <c r="L44" s="146" t="inlineStr">
        <is>
          <t>Banco Bilbao Vizcaya (BBVA)</t>
        </is>
      </c>
      <c r="M44" s="59">
        <f>IF(OR($C44="",$AE44="",$K44=0),"",$AE44-TODAY())</f>
        <v/>
      </c>
      <c r="N44" s="62">
        <f>IF($C44="","",IF($K44=0,"✅ Saldada",IF($M44="","",IF($M44&lt;0,IF(N($R44)&gt;0,"🔴 APLAZADA VENCIDA","🔴 VENCIDA"),IF(N($R44)&gt;0,"🕓 Aplazada",IF($M44&lt;=3,"🟠 ≤3 días",IF($M44&lt;=7,"🟡 ≤7 días",IF($M44&lt;=30,"🔵 ≤30 días","⚪ &gt;30 días"))))))))</f>
        <v/>
      </c>
      <c r="O44" s="64">
        <f>IF($AE44="","",TEXT($AE44,"YYYY-MM"))</f>
        <v/>
      </c>
      <c r="P44" s="83" t="n"/>
      <c r="Q44" s="145" t="n"/>
      <c r="R44" s="144" t="n"/>
      <c r="S44" s="145" t="n"/>
      <c r="T44" s="76" t="n"/>
      <c r="U44" s="42" t="n"/>
      <c r="V44" s="134" t="n"/>
      <c r="W44" s="1" t="n"/>
      <c r="X44" s="1" t="n"/>
      <c r="Y44" s="1" t="n"/>
      <c r="Z44" s="1" t="n"/>
      <c r="AA44" s="67">
        <f>IF(OR($C44="",$K44=0,$P44=""),"",VALUE(LEFT($P44,1))*100000+N($M44)+ROW()/100000)</f>
        <v/>
      </c>
      <c r="AB44" s="67">
        <f>IF(OR($C44="",$K44=0,$AE44=""),"",$M44+ROW()/100000)</f>
        <v/>
      </c>
      <c r="AC44" s="41">
        <f t="array" ref="AC44">IF($C44="","",IFERROR(INDEX(Disponibilidad!$O$6:$O$18,MATCH($L44,Disponibilidad!$B$6:$B$18,0)),"Hogar"))</f>
        <v/>
      </c>
      <c r="AD44" s="74">
        <f>IF($C44="","",SUMIFS(Caja!$H$6:$H$505,Caja!$J$6:$J$505,$A44,Caja!$C$6:$C$505,"Pago"))</f>
        <v/>
      </c>
      <c r="AE44" s="144">
        <f>IF($C44="","",IF(N($R44)&gt;0,$R44,$H44))</f>
        <v/>
      </c>
      <c r="AF44" s="64">
        <f>TEXT(EDATE(TODAY(),3),"YYYY-MM")</f>
        <v/>
      </c>
      <c r="AG44" s="42">
        <f>SUMIFS($K$6:$K$205,$O$6:$O$205,$AF44)</f>
        <v/>
      </c>
      <c r="AH44" s="59">
        <f>COUNTIFS($O$6:$O$205,$AF44,$K$6:$K$205,"&gt;0")</f>
        <v/>
      </c>
      <c r="AI44" s="42">
        <f>SUMIFS($I$6:$I$205,$O$6:$O$205,$AF44)-SUMIFS($K$6:$K$205,$O$6:$O$205,$AF44)</f>
        <v/>
      </c>
      <c r="AJ44" s="134">
        <f>IF($AG44=0,"",REPT("█",MAX(1,ROUND($AG44/MAX($AG$40:$AG$51)*18,0))))</f>
        <v/>
      </c>
      <c r="AK44" s="1" t="n"/>
    </row>
    <row r="45" ht="15" customHeight="1" s="311">
      <c r="A45" s="41">
        <f>IF($C45="","",ROW()-5)</f>
        <v/>
      </c>
      <c r="B45" s="146" t="inlineStr">
        <is>
          <t>Pendiente</t>
        </is>
      </c>
      <c r="C45" s="146" t="inlineStr">
        <is>
          <t>Karma Market</t>
        </is>
      </c>
      <c r="D45" s="146" t="inlineStr">
        <is>
          <t>Crédito comercial</t>
        </is>
      </c>
      <c r="E45" s="146" t="inlineStr">
        <is>
          <t>Credito por compra Lavadora y MIcroonda</t>
        </is>
      </c>
      <c r="F45" s="140" t="n">
        <v>46174</v>
      </c>
      <c r="G45" s="136" t="n"/>
      <c r="H45" s="144" t="n">
        <v>46203</v>
      </c>
      <c r="I45" s="76" t="n">
        <v>98</v>
      </c>
      <c r="J45" s="76" t="n">
        <v>0</v>
      </c>
      <c r="K45" s="57">
        <f>IF($C45="","",IF($B45="Pagada",0,ROUND(MAX(0,N($I45)+N($T45)-N($J45)-N($AD45)),2)))</f>
        <v/>
      </c>
      <c r="L45" s="146" t="inlineStr">
        <is>
          <t>Banco Bilbao Vizcaya (BBVA)</t>
        </is>
      </c>
      <c r="M45" s="59">
        <f>IF(OR($C45="",$AE45="",$K45=0),"",$AE45-TODAY())</f>
        <v/>
      </c>
      <c r="N45" s="62">
        <f>IF($C45="","",IF($K45=0,"✅ Saldada",IF($M45="","",IF($M45&lt;0,IF(N($R45)&gt;0,"🔴 APLAZADA VENCIDA","🔴 VENCIDA"),IF(N($R45)&gt;0,"🕓 Aplazada",IF($M45&lt;=3,"🟠 ≤3 días",IF($M45&lt;=7,"🟡 ≤7 días",IF($M45&lt;=30,"🔵 ≤30 días","⚪ &gt;30 días"))))))))</f>
        <v/>
      </c>
      <c r="O45" s="64">
        <f>IF($AE45="","",TEXT($AE45,"YYYY-MM"))</f>
        <v/>
      </c>
      <c r="P45" s="83" t="n"/>
      <c r="Q45" s="145" t="n"/>
      <c r="R45" s="144" t="n"/>
      <c r="S45" s="145" t="n"/>
      <c r="T45" s="76" t="n"/>
      <c r="U45" s="42" t="n"/>
      <c r="V45" s="134" t="n"/>
      <c r="W45" s="1" t="n"/>
      <c r="X45" s="1" t="n"/>
      <c r="Y45" s="1" t="n"/>
      <c r="Z45" s="1" t="n"/>
      <c r="AA45" s="67">
        <f>IF(OR($C45="",$K45=0,$P45=""),"",VALUE(LEFT($P45,1))*100000+N($M45)+ROW()/100000)</f>
        <v/>
      </c>
      <c r="AB45" s="67">
        <f>IF(OR($C45="",$K45=0,$AE45=""),"",$M45+ROW()/100000)</f>
        <v/>
      </c>
      <c r="AC45" s="41">
        <f t="array" ref="AC45">IF($C45="","",IFERROR(INDEX(Disponibilidad!$O$6:$O$18,MATCH($L45,Disponibilidad!$B$6:$B$18,0)),"Hogar"))</f>
        <v/>
      </c>
      <c r="AD45" s="74">
        <f>IF($C45="","",SUMIFS(Caja!$H$6:$H$505,Caja!$J$6:$J$505,$A45,Caja!$C$6:$C$505,"Pago"))</f>
        <v/>
      </c>
      <c r="AE45" s="144">
        <f>IF($C45="","",IF(N($R45)&gt;0,$R45,$H45))</f>
        <v/>
      </c>
      <c r="AF45" s="64">
        <f>TEXT(EDATE(TODAY(),4),"YYYY-MM")</f>
        <v/>
      </c>
      <c r="AG45" s="42">
        <f>SUMIFS($K$6:$K$205,$O$6:$O$205,$AF45)</f>
        <v/>
      </c>
      <c r="AH45" s="59">
        <f>COUNTIFS($O$6:$O$205,$AF45,$K$6:$K$205,"&gt;0")</f>
        <v/>
      </c>
      <c r="AI45" s="42">
        <f>SUMIFS($I$6:$I$205,$O$6:$O$205,$AF45)-SUMIFS($K$6:$K$205,$O$6:$O$205,$AF45)</f>
        <v/>
      </c>
      <c r="AJ45" s="134">
        <f>IF($AG45=0,"",REPT("█",MAX(1,ROUND($AG45/MAX($AG$40:$AG$51)*18,0))))</f>
        <v/>
      </c>
      <c r="AK45" s="1" t="n"/>
    </row>
    <row r="46" ht="15" customHeight="1" s="311">
      <c r="A46" s="41">
        <f>IF($C46="","",ROW()-5)</f>
        <v/>
      </c>
      <c r="B46" s="146" t="inlineStr">
        <is>
          <t>Pendiente</t>
        </is>
      </c>
      <c r="C46" s="146" t="inlineStr">
        <is>
          <t>Jose Antonio Garcia</t>
        </is>
      </c>
      <c r="D46" s="146" t="inlineStr">
        <is>
          <t>Préstamo particular</t>
        </is>
      </c>
      <c r="E46" s="146" t="inlineStr">
        <is>
          <t>Prestamos</t>
        </is>
      </c>
      <c r="F46" s="83" t="inlineStr">
        <is>
          <t>P002</t>
        </is>
      </c>
      <c r="G46" s="136" t="n"/>
      <c r="H46" s="144" t="n">
        <v>46203</v>
      </c>
      <c r="I46" s="76" t="n">
        <v>2945</v>
      </c>
      <c r="J46" s="76" t="n">
        <v>0</v>
      </c>
      <c r="K46" s="57">
        <f>IF($C46="","",IF($B46="Pagada",0,ROUND(MAX(0,N($I46)+N($T46)-N($J46)-N($AD46)),2)))</f>
        <v/>
      </c>
      <c r="L46" s="146" t="inlineStr">
        <is>
          <t>Efectivo</t>
        </is>
      </c>
      <c r="M46" s="59">
        <f>IF(OR($C46="",$AE46="",$K46=0),"",$AE46-TODAY())</f>
        <v/>
      </c>
      <c r="N46" s="62">
        <f>IF($C46="","",IF($K46=0,"✅ Saldada",IF($M46="","",IF($M46&lt;0,IF(N($R46)&gt;0,"🔴 APLAZADA VENCIDA","🔴 VENCIDA"),IF(N($R46)&gt;0,"🕓 Aplazada",IF($M46&lt;=3,"🟠 ≤3 días",IF($M46&lt;=7,"🟡 ≤7 días",IF($M46&lt;=30,"🔵 ≤30 días","⚪ &gt;30 días"))))))))</f>
        <v/>
      </c>
      <c r="O46" s="64">
        <f>IF($AE46="","",TEXT($AE46,"YYYY-MM"))</f>
        <v/>
      </c>
      <c r="P46" s="83" t="n"/>
      <c r="Q46" s="143" t="inlineStr">
        <is>
          <t>Préstamo recibido de un particular. Su saldo pendiente va a la cuenta "Préstamos de particulares" del Balance.</t>
        </is>
      </c>
      <c r="R46" s="144" t="n">
        <v>46387</v>
      </c>
      <c r="S46" s="145" t="inlineStr">
        <is>
          <t>motivos familiares</t>
        </is>
      </c>
      <c r="T46" s="76" t="n">
        <v>0</v>
      </c>
      <c r="U46" s="42" t="n"/>
      <c r="V46" s="134" t="n"/>
      <c r="W46" s="1" t="n"/>
      <c r="X46" s="1" t="n"/>
      <c r="Y46" s="1" t="n"/>
      <c r="Z46" s="1" t="n"/>
      <c r="AA46" s="67">
        <f>IF(OR($C46="",$K46=0,$P46=""),"",VALUE(LEFT($P46,1))*100000+N($M46)+ROW()/100000)</f>
        <v/>
      </c>
      <c r="AB46" s="67">
        <f>IF(OR($C46="",$K46=0,$AE46=""),"",$M46+ROW()/100000)</f>
        <v/>
      </c>
      <c r="AC46" s="41">
        <f t="array" ref="AC46">IF($C46="","",IFERROR(INDEX(Disponibilidad!$O$6:$O$18,MATCH($L46,Disponibilidad!$B$6:$B$18,0)),"Hogar"))</f>
        <v/>
      </c>
      <c r="AD46" s="74">
        <f>IF($C46="","",SUMIFS(Caja!$H$6:$H$505,Caja!$J$6:$J$505,$A46,Caja!$C$6:$C$505,"Pago"))</f>
        <v/>
      </c>
      <c r="AE46" s="144">
        <f>IF($C46="","",IF(N($R46)&gt;0,$R46,$H46))</f>
        <v/>
      </c>
      <c r="AF46" s="64">
        <f>TEXT(EDATE(TODAY(),5),"YYYY-MM")</f>
        <v/>
      </c>
      <c r="AG46" s="42">
        <f>SUMIFS($K$6:$K$205,$O$6:$O$205,$AF46)</f>
        <v/>
      </c>
      <c r="AH46" s="59">
        <f>COUNTIFS($O$6:$O$205,$AF46,$K$6:$K$205,"&gt;0")</f>
        <v/>
      </c>
      <c r="AI46" s="42">
        <f>SUMIFS($I$6:$I$205,$O$6:$O$205,$AF46)-SUMIFS($K$6:$K$205,$O$6:$O$205,$AF46)</f>
        <v/>
      </c>
      <c r="AJ46" s="134">
        <f>IF($AG46=0,"",REPT("█",MAX(1,ROUND($AG46/MAX($AG$40:$AG$51)*18,0))))</f>
        <v/>
      </c>
      <c r="AK46" s="1" t="n"/>
    </row>
    <row r="47" ht="15" customHeight="1" s="311">
      <c r="A47" s="41">
        <f>IF($C47="","",ROW()-5)</f>
        <v/>
      </c>
      <c r="B47" s="146" t="inlineStr">
        <is>
          <t>Pendiente</t>
        </is>
      </c>
      <c r="C47" s="146" t="inlineStr">
        <is>
          <t>Jose Stalin Garcia</t>
        </is>
      </c>
      <c r="D47" s="146" t="inlineStr">
        <is>
          <t>Préstamo particular</t>
        </is>
      </c>
      <c r="E47" s="146" t="inlineStr">
        <is>
          <t>Prestamos</t>
        </is>
      </c>
      <c r="F47" s="83" t="inlineStr">
        <is>
          <t>P003</t>
        </is>
      </c>
      <c r="G47" s="136" t="n"/>
      <c r="H47" s="144" t="n">
        <v>46203</v>
      </c>
      <c r="I47" s="76" t="n">
        <v>510</v>
      </c>
      <c r="J47" s="76" t="n">
        <v>60</v>
      </c>
      <c r="K47" s="57">
        <f>IF($C47="","",IF($B47="Pagada",0,ROUND(MAX(0,N($I47)+N($T47)-N($J47)-N($AD47)),2)))</f>
        <v/>
      </c>
      <c r="L47" s="146" t="inlineStr">
        <is>
          <t>Revolut (corriente)</t>
        </is>
      </c>
      <c r="M47" s="59">
        <f>IF(OR($C47="",$AE47="",$K47=0),"",$AE47-TODAY())</f>
        <v/>
      </c>
      <c r="N47" s="62">
        <f>IF($C47="","",IF($K47=0,"✅ Saldada",IF($M47="","",IF($M47&lt;0,IF(N($R47)&gt;0,"🔴 APLAZADA VENCIDA","🔴 VENCIDA"),IF(N($R47)&gt;0,"🕓 Aplazada",IF($M47&lt;=3,"🟠 ≤3 días",IF($M47&lt;=7,"🟡 ≤7 días",IF($M47&lt;=30,"🔵 ≤30 días","⚪ &gt;30 días"))))))))</f>
        <v/>
      </c>
      <c r="O47" s="64">
        <f>IF($AE47="","",TEXT($AE47,"YYYY-MM"))</f>
        <v/>
      </c>
      <c r="P47" s="83" t="n"/>
      <c r="Q47" s="145" t="n"/>
      <c r="R47" s="144" t="n">
        <v>46388</v>
      </c>
      <c r="S47" s="145" t="inlineStr">
        <is>
          <t>motivos familiares</t>
        </is>
      </c>
      <c r="T47" s="76" t="n">
        <v>0</v>
      </c>
      <c r="U47" s="42" t="n"/>
      <c r="V47" s="134" t="n"/>
      <c r="W47" s="1" t="n"/>
      <c r="X47" s="1" t="n"/>
      <c r="Y47" s="1" t="n"/>
      <c r="Z47" s="1" t="n"/>
      <c r="AA47" s="67">
        <f>IF(OR($C47="",$K47=0,$P47=""),"",VALUE(LEFT($P47,1))*100000+N($M47)+ROW()/100000)</f>
        <v/>
      </c>
      <c r="AB47" s="67">
        <f>IF(OR($C47="",$K47=0,$AE47=""),"",$M47+ROW()/100000)</f>
        <v/>
      </c>
      <c r="AC47" s="41">
        <f t="array" ref="AC47">IF($C47="","",IFERROR(INDEX(Disponibilidad!$O$6:$O$18,MATCH($L47,Disponibilidad!$B$6:$B$18,0)),"Hogar"))</f>
        <v/>
      </c>
      <c r="AD47" s="74">
        <f>IF($C47="","",SUMIFS(Caja!$H$6:$H$505,Caja!$J$6:$J$505,$A47,Caja!$C$6:$C$505,"Pago"))</f>
        <v/>
      </c>
      <c r="AE47" s="144">
        <f>IF($C47="","",IF(N($R47)&gt;0,$R47,$H47))</f>
        <v/>
      </c>
      <c r="AF47" s="64">
        <f>TEXT(EDATE(TODAY(),6),"YYYY-MM")</f>
        <v/>
      </c>
      <c r="AG47" s="42">
        <f>SUMIFS($K$6:$K$205,$O$6:$O$205,$AF47)</f>
        <v/>
      </c>
      <c r="AH47" s="59">
        <f>COUNTIFS($O$6:$O$205,$AF47,$K$6:$K$205,"&gt;0")</f>
        <v/>
      </c>
      <c r="AI47" s="42">
        <f>SUMIFS($I$6:$I$205,$O$6:$O$205,$AF47)-SUMIFS($K$6:$K$205,$O$6:$O$205,$AF47)</f>
        <v/>
      </c>
      <c r="AJ47" s="134">
        <f>IF($AG47=0,"",REPT("█",MAX(1,ROUND($AG47/MAX($AG$40:$AG$51)*18,0))))</f>
        <v/>
      </c>
      <c r="AK47" s="1" t="n"/>
    </row>
    <row r="48" ht="15" customHeight="1" s="311">
      <c r="A48" s="41">
        <f>IF($C48="","",ROW()-5)</f>
        <v/>
      </c>
      <c r="B48" s="146" t="inlineStr">
        <is>
          <t>Pendiente</t>
        </is>
      </c>
      <c r="C48" s="146" t="inlineStr">
        <is>
          <t>Fulgencia Almanzar</t>
        </is>
      </c>
      <c r="D48" s="146" t="inlineStr">
        <is>
          <t>Préstamo particular</t>
        </is>
      </c>
      <c r="E48" s="146" t="inlineStr">
        <is>
          <t>Prestamo completivo Inicial Hipoteca</t>
        </is>
      </c>
      <c r="F48" s="83" t="inlineStr">
        <is>
          <t>P001</t>
        </is>
      </c>
      <c r="G48" s="136" t="n"/>
      <c r="H48" s="144" t="n">
        <v>45971</v>
      </c>
      <c r="I48" s="76" t="n">
        <v>3500</v>
      </c>
      <c r="J48" s="76" t="n">
        <v>0</v>
      </c>
      <c r="K48" s="57">
        <f>IF($C48="","",IF($B48="Pagada",0,ROUND(MAX(0,N($I48)+N($T48)-N($J48)-N($AD48)),2)))</f>
        <v/>
      </c>
      <c r="L48" s="146" t="inlineStr">
        <is>
          <t>Efectivo</t>
        </is>
      </c>
      <c r="M48" s="59">
        <f>IF(OR($C48="",$AE48="",$K48=0),"",$AE48-TODAY())</f>
        <v/>
      </c>
      <c r="N48" s="62">
        <f>IF($C48="","",IF($K48=0,"✅ Saldada",IF($M48="","",IF($M48&lt;0,IF(N($R48)&gt;0,"🔴 APLAZADA VENCIDA","🔴 VENCIDA"),IF(N($R48)&gt;0,"🕓 Aplazada",IF($M48&lt;=3,"🟠 ≤3 días",IF($M48&lt;=7,"🟡 ≤7 días",IF($M48&lt;=30,"🔵 ≤30 días","⚪ &gt;30 días"))))))))</f>
        <v/>
      </c>
      <c r="O48" s="64">
        <f>IF($AE48="","",TEXT($AE48,"YYYY-MM"))</f>
        <v/>
      </c>
      <c r="P48" s="83" t="n"/>
      <c r="Q48" s="143" t="inlineStr">
        <is>
          <t>Préstamo recibido para completar la entrada de la hipoteca. Pasivo, no gasto.</t>
        </is>
      </c>
      <c r="R48" s="144" t="n">
        <v>46389</v>
      </c>
      <c r="S48" s="145" t="inlineStr">
        <is>
          <t>motivos familiares</t>
        </is>
      </c>
      <c r="T48" s="76" t="n">
        <v>0</v>
      </c>
      <c r="U48" s="42" t="n"/>
      <c r="V48" s="134" t="n"/>
      <c r="W48" s="1" t="n"/>
      <c r="X48" s="1" t="n"/>
      <c r="Y48" s="1" t="n"/>
      <c r="Z48" s="1" t="n"/>
      <c r="AA48" s="67">
        <f>IF(OR($C48="",$K48=0,$P48=""),"",VALUE(LEFT($P48,1))*100000+N($M48)+ROW()/100000)</f>
        <v/>
      </c>
      <c r="AB48" s="67">
        <f>IF(OR($C48="",$K48=0,$AE48=""),"",$M48+ROW()/100000)</f>
        <v/>
      </c>
      <c r="AC48" s="41">
        <f t="array" ref="AC48">IF($C48="","",IFERROR(INDEX(Disponibilidad!$O$6:$O$18,MATCH($L48,Disponibilidad!$B$6:$B$18,0)),"Hogar"))</f>
        <v/>
      </c>
      <c r="AD48" s="74">
        <f>IF($C48="","",SUMIFS(Caja!$H$6:$H$505,Caja!$J$6:$J$505,$A48,Caja!$C$6:$C$505,"Pago"))</f>
        <v/>
      </c>
      <c r="AE48" s="144">
        <f>IF($C48="","",IF(N($R48)&gt;0,$R48,$H48))</f>
        <v/>
      </c>
      <c r="AF48" s="64">
        <f>TEXT(EDATE(TODAY(),7),"YYYY-MM")</f>
        <v/>
      </c>
      <c r="AG48" s="42">
        <f>SUMIFS($K$6:$K$205,$O$6:$O$205,$AF48)</f>
        <v/>
      </c>
      <c r="AH48" s="59">
        <f>COUNTIFS($O$6:$O$205,$AF48,$K$6:$K$205,"&gt;0")</f>
        <v/>
      </c>
      <c r="AI48" s="42">
        <f>SUMIFS($I$6:$I$205,$O$6:$O$205,$AF48)-SUMIFS($K$6:$K$205,$O$6:$O$205,$AF48)</f>
        <v/>
      </c>
      <c r="AJ48" s="134">
        <f>IF($AG48=0,"",REPT("█",MAX(1,ROUND($AG48/MAX($AG$40:$AG$51)*18,0))))</f>
        <v/>
      </c>
      <c r="AK48" s="1" t="n"/>
    </row>
    <row r="49" ht="15" customHeight="1" s="311">
      <c r="A49" s="41">
        <f>IF($C49="","",ROW()-5)</f>
        <v/>
      </c>
      <c r="B49" s="146" t="inlineStr">
        <is>
          <t>Pendiente</t>
        </is>
      </c>
      <c r="C49" s="146" t="inlineStr">
        <is>
          <t>Jose Antonio Garcia</t>
        </is>
      </c>
      <c r="D49" s="146" t="inlineStr">
        <is>
          <t>Préstamo particular</t>
        </is>
      </c>
      <c r="E49" s="146" t="inlineStr">
        <is>
          <t>Prestamos</t>
        </is>
      </c>
      <c r="F49" s="83" t="inlineStr">
        <is>
          <t>P004</t>
        </is>
      </c>
      <c r="G49" s="136" t="n"/>
      <c r="H49" s="144" t="n">
        <v>46235</v>
      </c>
      <c r="I49" s="76" t="n">
        <v>115</v>
      </c>
      <c r="J49" s="76" t="n">
        <v>0</v>
      </c>
      <c r="K49" s="57">
        <f>IF($C49="","",IF($B49="Pagada",0,ROUND(MAX(0,N($I49)+N($T49)-N($J49)-N($AD49)),2)))</f>
        <v/>
      </c>
      <c r="L49" s="146" t="inlineStr">
        <is>
          <t>Efectivo</t>
        </is>
      </c>
      <c r="M49" s="59">
        <f>IF(OR($C49="",$AE49="",$K49=0),"",$AE49-TODAY())</f>
        <v/>
      </c>
      <c r="N49" s="62">
        <f>IF($C49="","",IF($K49=0,"✅ Saldada",IF($M49="","",IF($M49&lt;0,IF(N($R49)&gt;0,"🔴 APLAZADA VENCIDA","🔴 VENCIDA"),IF(N($R49)&gt;0,"🕓 Aplazada",IF($M49&lt;=3,"🟠 ≤3 días",IF($M49&lt;=7,"🟡 ≤7 días",IF($M49&lt;=30,"🔵 ≤30 días","⚪ &gt;30 días"))))))))</f>
        <v/>
      </c>
      <c r="O49" s="64">
        <f>IF($AE49="","",TEXT($AE49,"YYYY-MM"))</f>
        <v/>
      </c>
      <c r="P49" s="83" t="n"/>
      <c r="Q49" s="145" t="n"/>
      <c r="R49" s="144" t="n">
        <v>46390</v>
      </c>
      <c r="S49" s="145" t="inlineStr">
        <is>
          <t>motivos familiares</t>
        </is>
      </c>
      <c r="T49" s="76" t="n">
        <v>0</v>
      </c>
      <c r="U49" s="42" t="n"/>
      <c r="V49" s="134" t="n"/>
      <c r="W49" s="1" t="n"/>
      <c r="X49" s="1" t="n"/>
      <c r="Y49" s="1" t="n"/>
      <c r="Z49" s="1" t="n"/>
      <c r="AA49" s="67">
        <f>IF(OR($C49="",$K49=0,$P49=""),"",VALUE(LEFT($P49,1))*100000+N($M49)+ROW()/100000)</f>
        <v/>
      </c>
      <c r="AB49" s="67">
        <f>IF(OR($C49="",$K49=0,$AE49=""),"",$M49+ROW()/100000)</f>
        <v/>
      </c>
      <c r="AC49" s="41">
        <f t="array" ref="AC49">IF($C49="","",IFERROR(INDEX(Disponibilidad!$O$6:$O$18,MATCH($L49,Disponibilidad!$B$6:$B$18,0)),"Hogar"))</f>
        <v/>
      </c>
      <c r="AD49" s="74">
        <f>IF($C49="","",SUMIFS(Caja!$H$6:$H$505,Caja!$J$6:$J$505,$A49,Caja!$C$6:$C$505,"Pago"))</f>
        <v/>
      </c>
      <c r="AE49" s="144">
        <f>IF($C49="","",IF(N($R49)&gt;0,$R49,$H49))</f>
        <v/>
      </c>
      <c r="AF49" s="64">
        <f>TEXT(EDATE(TODAY(),8),"YYYY-MM")</f>
        <v/>
      </c>
      <c r="AG49" s="42">
        <f>SUMIFS($K$6:$K$205,$O$6:$O$205,$AF49)</f>
        <v/>
      </c>
      <c r="AH49" s="59">
        <f>COUNTIFS($O$6:$O$205,$AF49,$K$6:$K$205,"&gt;0")</f>
        <v/>
      </c>
      <c r="AI49" s="42">
        <f>SUMIFS($I$6:$I$205,$O$6:$O$205,$AF49)-SUMIFS($K$6:$K$205,$O$6:$O$205,$AF49)</f>
        <v/>
      </c>
      <c r="AJ49" s="134">
        <f>IF($AG49=0,"",REPT("█",MAX(1,ROUND($AG49/MAX($AG$40:$AG$51)*18,0))))</f>
        <v/>
      </c>
      <c r="AK49" s="1" t="n"/>
    </row>
    <row r="50" ht="15" customHeight="1" s="311">
      <c r="A50" s="41">
        <f>IF($C50="","",ROW()-5)</f>
        <v/>
      </c>
      <c r="B50" s="146" t="inlineStr">
        <is>
          <t>Pendiente</t>
        </is>
      </c>
      <c r="C50" s="146" t="inlineStr">
        <is>
          <t>CaixaBank</t>
        </is>
      </c>
      <c r="D50" s="146" t="inlineStr">
        <is>
          <t>Tarjeta de crédito</t>
        </is>
      </c>
      <c r="E50" s="146" t="inlineStr">
        <is>
          <t>Cuota Tarjeta</t>
        </is>
      </c>
      <c r="F50" s="144" t="n">
        <v>46235</v>
      </c>
      <c r="G50" s="136" t="n"/>
      <c r="H50" s="144" t="n">
        <v>46235</v>
      </c>
      <c r="I50" s="76" t="n">
        <v>50</v>
      </c>
      <c r="J50" s="76" t="n">
        <v>9.69</v>
      </c>
      <c r="K50" s="57">
        <f>IF($C50="","",IF($B50="Pagada",0,ROUND(MAX(0,N($I50)+N($T50)-N($J50)-N($AD50)),2)))</f>
        <v/>
      </c>
      <c r="L50" s="146" t="inlineStr">
        <is>
          <t>CaixaBank (corriente 9914)</t>
        </is>
      </c>
      <c r="M50" s="59">
        <f>IF(OR($C50="",$AE50="",$K50=0),"",$AE50-TODAY())</f>
        <v/>
      </c>
      <c r="N50" s="62">
        <f>IF($C50="","",IF($K50=0,"✅ Saldada",IF($M50="","",IF($M50&lt;0,IF(N($R50)&gt;0,"🔴 APLAZADA VENCIDA","🔴 VENCIDA"),IF(N($R50)&gt;0,"🕓 Aplazada",IF($M50&lt;=3,"🟠 ≤3 días",IF($M50&lt;=7,"🟡 ≤7 días",IF($M50&lt;=30,"🔵 ≤30 días","⚪ &gt;30 días"))))))))</f>
        <v/>
      </c>
      <c r="O50" s="64">
        <f>IF($AE50="","",TEXT($AE50,"YYYY-MM"))</f>
        <v/>
      </c>
      <c r="P50" s="83" t="inlineStr">
        <is>
          <t>1 · Urgente</t>
        </is>
      </c>
      <c r="Q50" s="145" t="n"/>
      <c r="R50" s="144" t="n"/>
      <c r="S50" s="145" t="n"/>
      <c r="T50" s="76" t="n"/>
      <c r="U50" s="42" t="n"/>
      <c r="V50" s="134" t="n"/>
      <c r="W50" s="1" t="n"/>
      <c r="X50" s="1" t="n"/>
      <c r="Y50" s="1" t="n"/>
      <c r="Z50" s="1" t="n"/>
      <c r="AA50" s="67">
        <f>IF(OR($C50="",$K50=0,$P50=""),"",VALUE(LEFT($P50,1))*100000+N($M50)+ROW()/100000)</f>
        <v/>
      </c>
      <c r="AB50" s="67">
        <f>IF(OR($C50="",$K50=0,$AE50=""),"",$M50+ROW()/100000)</f>
        <v/>
      </c>
      <c r="AC50" s="41">
        <f t="array" ref="AC50">IF($C50="","",IFERROR(INDEX(Disponibilidad!$O$6:$O$18,MATCH($L50,Disponibilidad!$B$6:$B$18,0)),"Hogar"))</f>
        <v/>
      </c>
      <c r="AD50" s="74">
        <f>IF($C50="","",SUMIFS(Caja!$H$6:$H$505,Caja!$J$6:$J$505,$A50,Caja!$C$6:$C$505,"Pago"))</f>
        <v/>
      </c>
      <c r="AE50" s="144">
        <f>IF($C50="","",IF(N($R50)&gt;0,$R50,$H50))</f>
        <v/>
      </c>
      <c r="AF50" s="64">
        <f>TEXT(EDATE(TODAY(),9),"YYYY-MM")</f>
        <v/>
      </c>
      <c r="AG50" s="42">
        <f>SUMIFS($K$6:$K$205,$O$6:$O$205,$AF50)</f>
        <v/>
      </c>
      <c r="AH50" s="59">
        <f>COUNTIFS($O$6:$O$205,$AF50,$K$6:$K$205,"&gt;0")</f>
        <v/>
      </c>
      <c r="AI50" s="42">
        <f>SUMIFS($I$6:$I$205,$O$6:$O$205,$AF50)-SUMIFS($K$6:$K$205,$O$6:$O$205,$AF50)</f>
        <v/>
      </c>
      <c r="AJ50" s="134">
        <f>IF($AG50=0,"",REPT("█",MAX(1,ROUND($AG50/MAX($AG$40:$AG$51)*18,0))))</f>
        <v/>
      </c>
      <c r="AK50" s="1" t="n"/>
    </row>
    <row r="51" ht="15" customHeight="1" s="311">
      <c r="A51" s="41">
        <f>IF($C51="","",ROW()-5)</f>
        <v/>
      </c>
      <c r="B51" s="146" t="inlineStr">
        <is>
          <t>Pendiente</t>
        </is>
      </c>
      <c r="C51" s="146" t="inlineStr">
        <is>
          <t>Deputacion de A coruña</t>
        </is>
      </c>
      <c r="D51" s="146" t="inlineStr">
        <is>
          <t>Impuestos y hacienda</t>
        </is>
      </c>
      <c r="E51" s="146" t="inlineStr">
        <is>
          <t>Deputacion de a coruña deuda de agua casa v.</t>
        </is>
      </c>
      <c r="F51" s="83" t="n">
        <v>260344872122</v>
      </c>
      <c r="G51" s="136" t="n"/>
      <c r="H51" s="144" t="n">
        <v>46276</v>
      </c>
      <c r="I51" s="76" t="n">
        <v>46.72</v>
      </c>
      <c r="J51" s="76" t="n">
        <v>0</v>
      </c>
      <c r="K51" s="57">
        <f>IF($C51="","",IF($B51="Pagada",0,ROUND(MAX(0,N($I51)+N($T51)-N($J51)-N($AD51)),2)))</f>
        <v/>
      </c>
      <c r="L51" s="146" t="inlineStr">
        <is>
          <t>Banco Bilbao Vizcaya (BBVA)</t>
        </is>
      </c>
      <c r="M51" s="59">
        <f>IF(OR($C51="",$AE51="",$K51=0),"",$AE51-TODAY())</f>
        <v/>
      </c>
      <c r="N51" s="62">
        <f>IF($C51="","",IF($K51=0,"✅ Saldada",IF($M51="","",IF($M51&lt;0,IF(N($R51)&gt;0,"🔴 APLAZADA VENCIDA","🔴 VENCIDA"),IF(N($R51)&gt;0,"🕓 Aplazada",IF($M51&lt;=3,"🟠 ≤3 días",IF($M51&lt;=7,"🟡 ≤7 días",IF($M51&lt;=30,"🔵 ≤30 días","⚪ &gt;30 días"))))))))</f>
        <v/>
      </c>
      <c r="O51" s="64">
        <f>IF($AE51="","",TEXT($AE51,"YYYY-MM"))</f>
        <v/>
      </c>
      <c r="P51" s="83" t="n"/>
      <c r="Q51" s="145" t="n"/>
      <c r="R51" s="144" t="n"/>
      <c r="S51" s="145" t="n"/>
      <c r="T51" s="76" t="n"/>
      <c r="U51" s="42" t="n"/>
      <c r="V51" s="134" t="n"/>
      <c r="W51" s="1" t="n"/>
      <c r="X51" s="1" t="n"/>
      <c r="Y51" s="1" t="n"/>
      <c r="Z51" s="1" t="n"/>
      <c r="AA51" s="67">
        <f>IF(OR($C51="",$K51=0,$P51=""),"",VALUE(LEFT($P51,1))*100000+N($M51)+ROW()/100000)</f>
        <v/>
      </c>
      <c r="AB51" s="67">
        <f>IF(OR($C51="",$K51=0,$AE51=""),"",$M51+ROW()/100000)</f>
        <v/>
      </c>
      <c r="AC51" s="41">
        <f t="array" ref="AC51">IF($C51="","",IFERROR(INDEX(Disponibilidad!$O$6:$O$18,MATCH($L51,Disponibilidad!$B$6:$B$18,0)),"Hogar"))</f>
        <v/>
      </c>
      <c r="AD51" s="74">
        <f>IF($C51="","",SUMIFS(Caja!$H$6:$H$505,Caja!$J$6:$J$505,$A51,Caja!$C$6:$C$505,"Pago"))</f>
        <v/>
      </c>
      <c r="AE51" s="144">
        <f>IF($C51="","",IF(N($R51)&gt;0,$R51,$H51))</f>
        <v/>
      </c>
      <c r="AF51" s="64">
        <f>TEXT(EDATE(TODAY(),10),"YYYY-MM")</f>
        <v/>
      </c>
      <c r="AG51" s="42">
        <f>SUMIFS($K$6:$K$205,$O$6:$O$205,$AF51)</f>
        <v/>
      </c>
      <c r="AH51" s="59">
        <f>COUNTIFS($O$6:$O$205,$AF51,$K$6:$K$205,"&gt;0")</f>
        <v/>
      </c>
      <c r="AI51" s="42">
        <f>SUMIFS($I$6:$I$205,$O$6:$O$205,$AF51)-SUMIFS($K$6:$K$205,$O$6:$O$205,$AF51)</f>
        <v/>
      </c>
      <c r="AJ51" s="134">
        <f>IF($AG51=0,"",REPT("█",MAX(1,ROUND($AG51/MAX($AG$40:$AG$51)*18,0))))</f>
        <v/>
      </c>
      <c r="AK51" s="1" t="n"/>
    </row>
    <row r="52" ht="15" customHeight="1" s="311">
      <c r="A52" s="41">
        <f>IF($C52="","",ROW()-5)</f>
        <v/>
      </c>
      <c r="B52" s="146" t="inlineStr">
        <is>
          <t>Pagada</t>
        </is>
      </c>
      <c r="C52" s="146" t="inlineStr">
        <is>
          <t>DKV SEGUROS</t>
        </is>
      </c>
      <c r="D52" s="146" t="inlineStr">
        <is>
          <t>Otros</t>
        </is>
      </c>
      <c r="E52" s="146" t="inlineStr">
        <is>
          <t>Compra Poliza de seguro DKV (4 MIEMBROS)</t>
        </is>
      </c>
      <c r="F52" s="83" t="inlineStr">
        <is>
          <t>S001</t>
        </is>
      </c>
      <c r="G52" s="136" t="n"/>
      <c r="H52" s="144" t="n">
        <v>46266</v>
      </c>
      <c r="I52" s="76" t="n">
        <v>120.6</v>
      </c>
      <c r="J52" s="76" t="n"/>
      <c r="K52" s="57">
        <f>IF($C52="","",IF($B52="Pagada",0,ROUND(MAX(0,N($I52)+N($T52)-N($J52)-N($AD52)),2)))</f>
        <v/>
      </c>
      <c r="L52" s="146" t="n"/>
      <c r="M52" s="59">
        <f>IF(OR($C52="",$AE52="",$K52=0),"",$AE52-TODAY())</f>
        <v/>
      </c>
      <c r="N52" s="62">
        <f>IF($C52="","",IF($K52=0,"✅ Saldada",IF($M52="","",IF($M52&lt;0,IF(N($R52)&gt;0,"🔴 APLAZADA VENCIDA","🔴 VENCIDA"),IF(N($R52)&gt;0,"🕓 Aplazada",IF($M52&lt;=3,"🟠 ≤3 días",IF($M52&lt;=7,"🟡 ≤7 días",IF($M52&lt;=30,"🔵 ≤30 días","⚪ &gt;30 días"))))))))</f>
        <v/>
      </c>
      <c r="O52" s="64">
        <f>IF($AE52="","",TEXT($AE52,"YYYY-MM"))</f>
        <v/>
      </c>
      <c r="P52" s="83" t="n"/>
      <c r="Q52" s="145" t="n"/>
      <c r="R52" s="144" t="n"/>
      <c r="S52" s="145" t="n"/>
      <c r="T52" s="76" t="n"/>
      <c r="U52" s="86" t="n"/>
      <c r="V52" s="39" t="n"/>
      <c r="W52" s="1" t="n"/>
      <c r="X52" s="1" t="n"/>
      <c r="Y52" s="1" t="n"/>
      <c r="Z52" s="1" t="n"/>
      <c r="AA52" s="67">
        <f>IF(OR($C52="",$K52=0,$P52=""),"",VALUE(LEFT($P52,1))*100000+N($M52)+ROW()/100000)</f>
        <v/>
      </c>
      <c r="AB52" s="67">
        <f>IF(OR($C52="",$K52=0,$AE52=""),"",$M52+ROW()/100000)</f>
        <v/>
      </c>
      <c r="AC52" s="41">
        <f t="array" ref="AC52">IF($C52="","",IFERROR(INDEX(Disponibilidad!$O$6:$O$18,MATCH($L52,Disponibilidad!$B$6:$B$18,0)),"Hogar"))</f>
        <v/>
      </c>
      <c r="AD52" s="74">
        <f>IF($C52="","",SUMIFS(Caja!$H$6:$H$505,Caja!$J$6:$J$505,$A52,Caja!$C$6:$C$505,"Pago"))</f>
        <v/>
      </c>
      <c r="AE52" s="144">
        <f>IF($C52="","",IF(N($R52)&gt;0,$R52,$H52))</f>
        <v/>
      </c>
      <c r="AF52" s="38" t="inlineStr">
        <is>
          <t>TOTAL</t>
        </is>
      </c>
      <c r="AG52" s="86">
        <f>SUM($AG$40:$AG$51)</f>
        <v/>
      </c>
      <c r="AH52" s="109">
        <f>SUM($AH$40:$AH$51)</f>
        <v/>
      </c>
      <c r="AI52" s="86">
        <f>SUM($AI$40:$AI$51)</f>
        <v/>
      </c>
      <c r="AJ52" s="39" t="n"/>
      <c r="AK52" s="1" t="n"/>
    </row>
    <row r="53" ht="15" customHeight="1" s="311">
      <c r="A53" s="41">
        <f>IF($C53="","",ROW()-5)</f>
        <v/>
      </c>
      <c r="B53" s="146" t="inlineStr">
        <is>
          <t>Pagada</t>
        </is>
      </c>
      <c r="C53" s="146" t="inlineStr">
        <is>
          <t>DKV SEGUROS</t>
        </is>
      </c>
      <c r="D53" s="146" t="inlineStr">
        <is>
          <t>Otros</t>
        </is>
      </c>
      <c r="E53" s="146" t="inlineStr">
        <is>
          <t>Compra Poliza de seguro DKV ( 1 MIEMBRO)</t>
        </is>
      </c>
      <c r="F53" s="83" t="inlineStr">
        <is>
          <t>S002</t>
        </is>
      </c>
      <c r="G53" s="136" t="n"/>
      <c r="H53" s="144" t="n">
        <v>46266</v>
      </c>
      <c r="I53" s="76" t="n">
        <v>68</v>
      </c>
      <c r="J53" s="76" t="n"/>
      <c r="K53" s="57">
        <f>IF($C53="","",IF($B53="Pagada",0,ROUND(MAX(0,N($I53)+N($T53)-N($J53)-N($AD53)),2)))</f>
        <v/>
      </c>
      <c r="L53" s="146" t="n"/>
      <c r="M53" s="59">
        <f>IF(OR($C53="",$AE53="",$K53=0),"",$AE53-TODAY())</f>
        <v/>
      </c>
      <c r="N53" s="62">
        <f>IF($C53="","",IF($K53=0,"✅ Saldada",IF($M53="","",IF($M53&lt;0,IF(N($R53)&gt;0,"🔴 APLAZADA VENCIDA","🔴 VENCIDA"),IF(N($R53)&gt;0,"🕓 Aplazada",IF($M53&lt;=3,"🟠 ≤3 días",IF($M53&lt;=7,"🟡 ≤7 días",IF($M53&lt;=30,"🔵 ≤30 días","⚪ &gt;30 días"))))))))</f>
        <v/>
      </c>
      <c r="O53" s="64">
        <f>IF($AE53="","",TEXT($AE53,"YYYY-MM"))</f>
        <v/>
      </c>
      <c r="P53" s="83" t="n"/>
      <c r="Q53" s="145" t="n"/>
      <c r="R53" s="144" t="n"/>
      <c r="S53" s="145" t="n"/>
      <c r="T53" s="76" t="n"/>
      <c r="U53" s="145" t="n"/>
      <c r="V53" s="145" t="n"/>
      <c r="W53" s="1" t="n"/>
      <c r="X53" s="1" t="n"/>
      <c r="Y53" s="1" t="n"/>
      <c r="Z53" s="1" t="n"/>
      <c r="AA53" s="67">
        <f>IF(OR($C53="",$K53=0,$P53=""),"",VALUE(LEFT($P53,1))*100000+N($M53)+ROW()/100000)</f>
        <v/>
      </c>
      <c r="AB53" s="67">
        <f>IF(OR($C53="",$K53=0,$AE53=""),"",$M53+ROW()/100000)</f>
        <v/>
      </c>
      <c r="AC53" s="41">
        <f t="array" ref="AC53">IF($C53="","",IFERROR(INDEX(Disponibilidad!$O$6:$O$18,MATCH($L53,Disponibilidad!$B$6:$B$18,0)),"Hogar"))</f>
        <v/>
      </c>
      <c r="AD53" s="74">
        <f>IF($C53="","",SUMIFS(Caja!$H$6:$H$505,Caja!$J$6:$J$505,$A53,Caja!$C$6:$C$505,"Pago"))</f>
        <v/>
      </c>
      <c r="AE53" s="144">
        <f>IF($C53="","",IF(N($R53)&gt;0,$R53,$H53))</f>
        <v/>
      </c>
      <c r="AF53" s="145" t="n"/>
      <c r="AG53" s="145" t="n"/>
      <c r="AH53" s="145" t="n"/>
      <c r="AI53" s="145" t="n"/>
      <c r="AJ53" s="145" t="n"/>
      <c r="AK53" s="1" t="n"/>
    </row>
    <row r="54" ht="17.25" customHeight="1" s="311">
      <c r="A54" s="41">
        <f>IF($C54="","",ROW()-5)</f>
        <v/>
      </c>
      <c r="B54" s="146" t="inlineStr">
        <is>
          <t>Pagada</t>
        </is>
      </c>
      <c r="C54" s="146" t="inlineStr">
        <is>
          <t>Iberdrola</t>
        </is>
      </c>
      <c r="D54" s="146" t="inlineStr">
        <is>
          <t>Gas</t>
        </is>
      </c>
      <c r="E54" s="146" t="inlineStr">
        <is>
          <t xml:space="preserve">Fcatura de gas </t>
        </is>
      </c>
      <c r="F54" s="83" t="n">
        <v>368031</v>
      </c>
      <c r="G54" s="136" t="n"/>
      <c r="H54" s="144" t="n">
        <v>46153</v>
      </c>
      <c r="I54" s="76" t="n">
        <v>103.73</v>
      </c>
      <c r="J54" s="76" t="n">
        <v>103.73</v>
      </c>
      <c r="K54" s="57">
        <f>IF($C54="","",IF($B54="Pagada",0,ROUND(MAX(0,N($I54)+N($T54)-N($J54)-N($AD54)),2)))</f>
        <v/>
      </c>
      <c r="L54" s="146" t="inlineStr">
        <is>
          <t>Revolut (corriente)</t>
        </is>
      </c>
      <c r="M54" s="59">
        <f>IF(OR($C54="",$AE54="",$K54=0),"",$AE54-TODAY())</f>
        <v/>
      </c>
      <c r="N54" s="62">
        <f>IF($C54="","",IF($K54=0,"✅ Saldada",IF($M54="","",IF($M54&lt;0,IF(N($R54)&gt;0,"🔴 APLAZADA VENCIDA","🔴 VENCIDA"),IF(N($R54)&gt;0,"🕓 Aplazada",IF($M54&lt;=3,"🟠 ≤3 días",IF($M54&lt;=7,"🟡 ≤7 días",IF($M54&lt;=30,"🔵 ≤30 días","⚪ &gt;30 días"))))))))</f>
        <v/>
      </c>
      <c r="O54" s="64">
        <f>IF($AE54="","",TEXT($AE54,"YYYY-MM"))</f>
        <v/>
      </c>
      <c r="P54" s="83" t="inlineStr">
        <is>
          <t>1 · Urgente</t>
        </is>
      </c>
      <c r="Q54" s="145" t="n"/>
      <c r="R54" s="144" t="n"/>
      <c r="S54" s="145" t="n"/>
      <c r="T54" s="76" t="n"/>
      <c r="U54" s="1" t="n"/>
      <c r="V54" s="1" t="n"/>
      <c r="W54" s="1" t="n"/>
      <c r="X54" s="1" t="n"/>
      <c r="Y54" s="1" t="n"/>
      <c r="Z54" s="1" t="n"/>
      <c r="AA54" s="67">
        <f>IF(OR($C54="",$K54=0,$P54=""),"",VALUE(LEFT($P54,1))*100000+N($M54)+ROW()/100000)</f>
        <v/>
      </c>
      <c r="AB54" s="67">
        <f>IF(OR($C54="",$K54=0,$AE54=""),"",$M54+ROW()/100000)</f>
        <v/>
      </c>
      <c r="AC54" s="41">
        <f t="array" ref="AC54">IF($C54="","",IFERROR(INDEX(Disponibilidad!$O$6:$O$18,MATCH($L54,Disponibilidad!$B$6:$B$18,0)),"Hogar"))</f>
        <v/>
      </c>
      <c r="AD54" s="74">
        <f>IF($C54="","",SUMIFS(Caja!$H$6:$H$505,Caja!$J$6:$J$505,$A54,Caja!$C$6:$C$505,"Pago"))</f>
        <v/>
      </c>
      <c r="AE54" s="144">
        <f>IF($C54="","",IF(N($R54)&gt;0,$R54,$H54))</f>
        <v/>
      </c>
      <c r="AF54" s="20" t="inlineStr">
        <is>
          <t>La fila "Anteriores (atrasos)" recoge todo lo vencido antes del mes en curso, para que el bloque cuadre siempre con el saldo pendiente total.</t>
        </is>
      </c>
      <c r="AK54" s="1" t="n"/>
    </row>
    <row r="55" ht="15" customHeight="1" s="311">
      <c r="A55" s="41">
        <f>IF($C55="","",ROW()-5)</f>
        <v/>
      </c>
      <c r="B55" s="146" t="inlineStr">
        <is>
          <t>Pendiente</t>
        </is>
      </c>
      <c r="C55" s="148" t="inlineStr">
        <is>
          <t>Vivus.es</t>
        </is>
      </c>
      <c r="D55" s="146" t="inlineStr">
        <is>
          <t>Crédito comercial</t>
        </is>
      </c>
      <c r="E55" s="146" t="inlineStr">
        <is>
          <t>Prestamo a corto plazo</t>
        </is>
      </c>
      <c r="F55" s="83" t="inlineStr">
        <is>
          <t>05082-2026</t>
        </is>
      </c>
      <c r="G55" s="136" t="n">
        <v>46239</v>
      </c>
      <c r="H55" s="144" t="n">
        <v>46269</v>
      </c>
      <c r="I55" s="76" t="n">
        <v>301.5</v>
      </c>
      <c r="J55" s="76" t="n"/>
      <c r="K55" s="57">
        <f>IF($C55="","",IF($B55="Pagada",0,ROUND(MAX(0,N($I55)+N($T55)-N($J55)-N($AD55)),2)))</f>
        <v/>
      </c>
      <c r="L55" s="146" t="inlineStr">
        <is>
          <t>Revolut (corriente)</t>
        </is>
      </c>
      <c r="M55" s="59">
        <f>IF(OR($C55="",$AE55="",$K55=0),"",$AE55-TODAY())</f>
        <v/>
      </c>
      <c r="N55" s="62">
        <f>IF($C55="","",IF($K55=0,"✅ Saldada",IF($M55="","",IF($M55&lt;0,IF(N($R55)&gt;0,"🔴 APLAZADA VENCIDA","🔴 VENCIDA"),IF(N($R55)&gt;0,"🕓 Aplazada",IF($M55&lt;=3,"🟠 ≤3 días",IF($M55&lt;=7,"🟡 ≤7 días",IF($M55&lt;=30,"🔵 ≤30 días","⚪ &gt;30 días"))))))))</f>
        <v/>
      </c>
      <c r="O55" s="64">
        <f>IF($AE55="","",TEXT($AE55,"YYYY-MM"))</f>
        <v/>
      </c>
      <c r="P55" s="83" t="n"/>
      <c r="Q55" s="145" t="n"/>
      <c r="R55" s="144" t="n"/>
      <c r="S55" s="145" t="n"/>
      <c r="T55" s="76" t="n"/>
      <c r="U55" s="145" t="n"/>
      <c r="V55" s="145" t="n"/>
      <c r="W55" s="1" t="n"/>
      <c r="X55" s="1" t="n"/>
      <c r="Y55" s="1" t="n"/>
      <c r="Z55" s="1" t="n"/>
      <c r="AA55" s="67">
        <f>IF(OR($C55="",$K55=0,$P55=""),"",VALUE(LEFT($P55,1))*100000+N($M55)+ROW()/100000)</f>
        <v/>
      </c>
      <c r="AB55" s="67">
        <f>IF(OR($C55="",$K55=0,$AE55=""),"",$M55+ROW()/100000)</f>
        <v/>
      </c>
      <c r="AC55" s="41">
        <f t="array" ref="AC55">IF($C55="","",IFERROR(INDEX(Disponibilidad!$O$6:$O$18,MATCH($L55,Disponibilidad!$B$6:$B$18,0)),"Hogar"))</f>
        <v/>
      </c>
      <c r="AD55" s="74">
        <f>IF($C55="","",SUMIFS(Caja!$H$6:$H$505,Caja!$J$6:$J$505,$A55,Caja!$C$6:$C$505,"Pago"))</f>
        <v/>
      </c>
      <c r="AE55" s="144">
        <f>IF($C55="","",IF(N($R55)&gt;0,$R55,$H55))</f>
        <v/>
      </c>
      <c r="AF55" s="145" t="n"/>
      <c r="AG55" s="145" t="n"/>
      <c r="AH55" s="145" t="n"/>
      <c r="AI55" s="145" t="n"/>
      <c r="AJ55" s="145" t="n"/>
      <c r="AK55" s="1" t="n"/>
    </row>
    <row r="56" ht="15" customHeight="1" s="311">
      <c r="A56" s="41">
        <f>IF($C56="","",ROW()-5)</f>
        <v/>
      </c>
      <c r="B56" s="146" t="n"/>
      <c r="C56" s="146" t="n"/>
      <c r="D56" s="146" t="n"/>
      <c r="E56" s="146" t="n"/>
      <c r="F56" s="146" t="n"/>
      <c r="G56" s="136" t="n"/>
      <c r="H56" s="136" t="n"/>
      <c r="I56" s="76" t="n"/>
      <c r="J56" s="76" t="n"/>
      <c r="K56" s="57">
        <f>IF($C56="","",IF($B56="Pagada",0,ROUND(MAX(0,N($I56)+N($T56)-N($J56)-N($AD56)),2)))</f>
        <v/>
      </c>
      <c r="L56" s="146" t="n"/>
      <c r="M56" s="59">
        <f>IF(OR($C56="",$AE56="",$K56=0),"",$AE56-TODAY())</f>
        <v/>
      </c>
      <c r="N56" s="62">
        <f>IF($C56="","",IF($K56=0,"✅ Saldada",IF($M56="","",IF($M56&lt;0,IF(N($R56)&gt;0,"🔴 APLAZADA VENCIDA","🔴 VENCIDA"),IF(N($R56)&gt;0,"🕓 Aplazada",IF($M56&lt;=3,"🟠 ≤3 días",IF($M56&lt;=7,"🟡 ≤7 días",IF($M56&lt;=30,"🔵 ≤30 días","⚪ &gt;30 días"))))))))</f>
        <v/>
      </c>
      <c r="O56" s="64">
        <f>IF($AE56="","",TEXT($AE56,"YYYY-MM"))</f>
        <v/>
      </c>
      <c r="P56" s="83" t="n"/>
      <c r="Q56" s="145" t="n"/>
      <c r="R56" s="136" t="n"/>
      <c r="S56" s="145" t="n"/>
      <c r="T56" s="76" t="n"/>
      <c r="U56" s="145" t="n"/>
      <c r="V56" s="145" t="n"/>
      <c r="W56" s="1" t="n"/>
      <c r="X56" s="1" t="n"/>
      <c r="Y56" s="1" t="n"/>
      <c r="Z56" s="1" t="n"/>
      <c r="AA56" s="67">
        <f>IF(OR($C56="",$K56=0,$P56=""),"",VALUE(LEFT($P56,1))*100000+N($M56)+ROW()/100000)</f>
        <v/>
      </c>
      <c r="AB56" s="67">
        <f>IF(OR($C56="",$K56=0,$AE56=""),"",$M56+ROW()/100000)</f>
        <v/>
      </c>
      <c r="AC56" s="41">
        <f t="array" ref="AC56">IF($C56="","",IFERROR(INDEX(Disponibilidad!$O$6:$O$18,MATCH($L56,Disponibilidad!$B$6:$B$18,0)),"Hogar"))</f>
        <v/>
      </c>
      <c r="AD56" s="74">
        <f>IF($C56="","",SUMIFS(Caja!$H$6:$H$505,Caja!$J$6:$J$505,$A56,Caja!$C$6:$C$505,"Pago"))</f>
        <v/>
      </c>
      <c r="AE56" s="136">
        <f>IF($C56="","",IF(N($R56)&gt;0,$R56,$H56))</f>
        <v/>
      </c>
      <c r="AF56" s="32" t="inlineStr">
        <is>
          <t>6.  APLAZAMIENTOS  —  qué has conseguido posponer</t>
        </is>
      </c>
      <c r="AG56" s="145" t="n"/>
      <c r="AH56" s="145" t="n"/>
      <c r="AI56" s="145" t="n"/>
      <c r="AJ56" s="145" t="n"/>
      <c r="AK56" s="1" t="n"/>
    </row>
    <row r="57" ht="15" customHeight="1" s="311">
      <c r="A57" s="41">
        <f>IF($C57="","",ROW()-5)</f>
        <v/>
      </c>
      <c r="B57" s="146" t="n"/>
      <c r="C57" s="146" t="n"/>
      <c r="D57" s="146" t="n"/>
      <c r="E57" s="146" t="n"/>
      <c r="F57" s="146" t="n"/>
      <c r="G57" s="136" t="n"/>
      <c r="H57" s="136" t="n"/>
      <c r="I57" s="76" t="n"/>
      <c r="J57" s="76" t="n"/>
      <c r="K57" s="57">
        <f>IF($C57="","",IF($B57="Pagada",0,ROUND(MAX(0,N($I57)+N($T57)-N($J57)-N($AD57)),2)))</f>
        <v/>
      </c>
      <c r="L57" s="146" t="n"/>
      <c r="M57" s="59">
        <f>IF(OR($C57="",$AE57="",$K57=0),"",$AE57-TODAY())</f>
        <v/>
      </c>
      <c r="N57" s="62">
        <f>IF($C57="","",IF($K57=0,"✅ Saldada",IF($M57="","",IF($M57&lt;0,IF(N($R57)&gt;0,"🔴 APLAZADA VENCIDA","🔴 VENCIDA"),IF(N($R57)&gt;0,"🕓 Aplazada",IF($M57&lt;=3,"🟠 ≤3 días",IF($M57&lt;=7,"🟡 ≤7 días",IF($M57&lt;=30,"🔵 ≤30 días","⚪ &gt;30 días"))))))))</f>
        <v/>
      </c>
      <c r="O57" s="64">
        <f>IF($AE57="","",TEXT($AE57,"YYYY-MM"))</f>
        <v/>
      </c>
      <c r="P57" s="83" t="n"/>
      <c r="Q57" s="145" t="n"/>
      <c r="R57" s="136" t="n"/>
      <c r="S57" s="145" t="n"/>
      <c r="T57" s="76" t="n"/>
      <c r="U57" s="145" t="n"/>
      <c r="V57" s="145" t="n"/>
      <c r="W57" s="1" t="n"/>
      <c r="X57" s="1" t="n"/>
      <c r="Y57" s="1" t="n"/>
      <c r="Z57" s="1" t="n"/>
      <c r="AA57" s="67">
        <f>IF(OR($C57="",$K57=0,$P57=""),"",VALUE(LEFT($P57,1))*100000+N($M57)+ROW()/100000)</f>
        <v/>
      </c>
      <c r="AB57" s="67">
        <f>IF(OR($C57="",$K57=0,$AE57=""),"",$M57+ROW()/100000)</f>
        <v/>
      </c>
      <c r="AC57" s="41">
        <f t="array" ref="AC57">IF($C57="","",IFERROR(INDEX(Disponibilidad!$O$6:$O$18,MATCH($L57,Disponibilidad!$B$6:$B$18,0)),"Hogar"))</f>
        <v/>
      </c>
      <c r="AD57" s="74">
        <f>IF($C57="","",SUMIFS(Caja!$H$6:$H$505,Caja!$J$6:$J$505,$A57,Caja!$C$6:$C$505,"Pago"))</f>
        <v/>
      </c>
      <c r="AE57" s="136">
        <f>IF($C57="","",IF(N($R57)&gt;0,$R57,$H57))</f>
        <v/>
      </c>
      <c r="AF57" s="33" t="inlineStr">
        <is>
          <t>Concepto</t>
        </is>
      </c>
      <c r="AG57" s="33" t="inlineStr">
        <is>
          <t>Importe (€)</t>
        </is>
      </c>
      <c r="AH57" s="33" t="inlineStr">
        <is>
          <t>Nº</t>
        </is>
      </c>
      <c r="AI57" s="145" t="n"/>
      <c r="AJ57" s="145" t="n"/>
      <c r="AK57" s="1" t="n"/>
    </row>
    <row r="58" ht="15" customHeight="1" s="311">
      <c r="A58" s="41">
        <f>IF($C58="","",ROW()-5)</f>
        <v/>
      </c>
      <c r="B58" s="146" t="n"/>
      <c r="C58" s="146" t="n"/>
      <c r="D58" s="146" t="n"/>
      <c r="E58" s="146" t="n"/>
      <c r="F58" s="146" t="n"/>
      <c r="G58" s="136" t="n"/>
      <c r="H58" s="136" t="n"/>
      <c r="I58" s="76" t="n"/>
      <c r="J58" s="76" t="n"/>
      <c r="K58" s="57">
        <f>IF($C58="","",IF($B58="Pagada",0,ROUND(MAX(0,N($I58)+N($T58)-N($J58)-N($AD58)),2)))</f>
        <v/>
      </c>
      <c r="L58" s="146" t="n"/>
      <c r="M58" s="59">
        <f>IF(OR($C58="",$AE58="",$K58=0),"",$AE58-TODAY())</f>
        <v/>
      </c>
      <c r="N58" s="62">
        <f>IF($C58="","",IF($K58=0,"✅ Saldada",IF($M58="","",IF($M58&lt;0,IF(N($R58)&gt;0,"🔴 APLAZADA VENCIDA","🔴 VENCIDA"),IF(N($R58)&gt;0,"🕓 Aplazada",IF($M58&lt;=3,"🟠 ≤3 días",IF($M58&lt;=7,"🟡 ≤7 días",IF($M58&lt;=30,"🔵 ≤30 días","⚪ &gt;30 días"))))))))</f>
        <v/>
      </c>
      <c r="O58" s="64">
        <f>IF($AE58="","",TEXT($AE58,"YYYY-MM"))</f>
        <v/>
      </c>
      <c r="P58" s="83" t="n"/>
      <c r="Q58" s="145" t="n"/>
      <c r="R58" s="136" t="n"/>
      <c r="S58" s="145" t="n"/>
      <c r="T58" s="76" t="n"/>
      <c r="U58" s="145" t="n"/>
      <c r="V58" s="145" t="n"/>
      <c r="W58" s="1" t="n"/>
      <c r="X58" s="1" t="n"/>
      <c r="Y58" s="1" t="n"/>
      <c r="Z58" s="1" t="n"/>
      <c r="AA58" s="67">
        <f>IF(OR($C58="",$K58=0,$P58=""),"",VALUE(LEFT($P58,1))*100000+N($M58)+ROW()/100000)</f>
        <v/>
      </c>
      <c r="AB58" s="67">
        <f>IF(OR($C58="",$K58=0,$AE58=""),"",$M58+ROW()/100000)</f>
        <v/>
      </c>
      <c r="AC58" s="41">
        <f t="array" ref="AC58">IF($C58="","",IFERROR(INDEX(Disponibilidad!$O$6:$O$18,MATCH($L58,Disponibilidad!$B$6:$B$18,0)),"Hogar"))</f>
        <v/>
      </c>
      <c r="AD58" s="74">
        <f>IF($C58="","",SUMIFS(Caja!$H$6:$H$505,Caja!$J$6:$J$505,$A58,Caja!$C$6:$C$505,"Pago"))</f>
        <v/>
      </c>
      <c r="AE58" s="136">
        <f>IF($C58="","",IF(N($R58)&gt;0,$R58,$H58))</f>
        <v/>
      </c>
      <c r="AF58" s="64" t="inlineStr">
        <is>
          <t>Saldo aplazado a una fecha nueva</t>
        </is>
      </c>
      <c r="AG58" s="42">
        <f>SUMIFS($K$6:$K$205,$R$6:$R$205,"&gt;0")</f>
        <v/>
      </c>
      <c r="AH58" s="59">
        <f>COUNTIFS($R$6:$R$205,"&gt;0",$K$6:$K$205,"&gt;0")</f>
        <v/>
      </c>
      <c r="AI58" s="145" t="n"/>
      <c r="AJ58" s="145" t="n"/>
      <c r="AK58" s="1" t="n"/>
    </row>
    <row r="59" ht="15" customHeight="1" s="311">
      <c r="A59" s="41">
        <f>IF($C59="","",ROW()-5)</f>
        <v/>
      </c>
      <c r="B59" s="146" t="n"/>
      <c r="C59" s="146" t="n"/>
      <c r="D59" s="146" t="n"/>
      <c r="E59" s="146" t="n"/>
      <c r="F59" s="146" t="n"/>
      <c r="G59" s="136" t="n"/>
      <c r="H59" s="136" t="n"/>
      <c r="I59" s="76" t="n"/>
      <c r="J59" s="76" t="n"/>
      <c r="K59" s="57">
        <f>IF($C59="","",IF($B59="Pagada",0,ROUND(MAX(0,N($I59)+N($T59)-N($J59)-N($AD59)),2)))</f>
        <v/>
      </c>
      <c r="L59" s="146" t="n"/>
      <c r="M59" s="59">
        <f>IF(OR($C59="",$AE59="",$K59=0),"",$AE59-TODAY())</f>
        <v/>
      </c>
      <c r="N59" s="62">
        <f>IF($C59="","",IF($K59=0,"✅ Saldada",IF($M59="","",IF($M59&lt;0,IF(N($R59)&gt;0,"🔴 APLAZADA VENCIDA","🔴 VENCIDA"),IF(N($R59)&gt;0,"🕓 Aplazada",IF($M59&lt;=3,"🟠 ≤3 días",IF($M59&lt;=7,"🟡 ≤7 días",IF($M59&lt;=30,"🔵 ≤30 días","⚪ &gt;30 días"))))))))</f>
        <v/>
      </c>
      <c r="O59" s="64">
        <f>IF($AE59="","",TEXT($AE59,"YYYY-MM"))</f>
        <v/>
      </c>
      <c r="P59" s="83" t="n"/>
      <c r="Q59" s="145" t="n"/>
      <c r="R59" s="136" t="n"/>
      <c r="S59" s="145" t="n"/>
      <c r="T59" s="76" t="n"/>
      <c r="U59" s="145" t="n"/>
      <c r="V59" s="145" t="n"/>
      <c r="W59" s="1" t="n"/>
      <c r="X59" s="1" t="n"/>
      <c r="Y59" s="1" t="n"/>
      <c r="Z59" s="1" t="n"/>
      <c r="AA59" s="67">
        <f>IF(OR($C59="",$K59=0,$P59=""),"",VALUE(LEFT($P59,1))*100000+N($M59)+ROW()/100000)</f>
        <v/>
      </c>
      <c r="AB59" s="67">
        <f>IF(OR($C59="",$K59=0,$AE59=""),"",$M59+ROW()/100000)</f>
        <v/>
      </c>
      <c r="AC59" s="41">
        <f t="array" ref="AC59">IF($C59="","",IFERROR(INDEX(Disponibilidad!$O$6:$O$18,MATCH($L59,Disponibilidad!$B$6:$B$18,0)),"Hogar"))</f>
        <v/>
      </c>
      <c r="AD59" s="74">
        <f>IF($C59="","",SUMIFS(Caja!$H$6:$H$505,Caja!$J$6:$J$505,$A59,Caja!$C$6:$C$505,"Pago"))</f>
        <v/>
      </c>
      <c r="AE59" s="136">
        <f>IF($C59="","",IF(N($R59)&gt;0,$R59,$H59))</f>
        <v/>
      </c>
      <c r="AF59" s="64" t="inlineStr">
        <is>
          <t>Recargos aceptados por aplazar</t>
        </is>
      </c>
      <c r="AG59" s="42">
        <f>SUM($T$6:$T$205)</f>
        <v/>
      </c>
      <c r="AH59" s="59">
        <f>COUNTIFS($T$6:$T$205,"&gt;0")</f>
        <v/>
      </c>
      <c r="AI59" s="145" t="n"/>
      <c r="AJ59" s="145" t="n"/>
      <c r="AK59" s="1" t="n"/>
    </row>
    <row r="60" ht="15" customHeight="1" s="311">
      <c r="A60" s="41">
        <f>IF($C60="","",ROW()-5)</f>
        <v/>
      </c>
      <c r="B60" s="146" t="n"/>
      <c r="C60" s="146" t="n"/>
      <c r="D60" s="146" t="n"/>
      <c r="E60" s="146" t="n"/>
      <c r="F60" s="146" t="n"/>
      <c r="G60" s="136" t="n"/>
      <c r="H60" s="136" t="n"/>
      <c r="I60" s="76" t="n"/>
      <c r="J60" s="76" t="n"/>
      <c r="K60" s="57">
        <f>IF($C60="","",IF($B60="Pagada",0,ROUND(MAX(0,N($I60)+N($T60)-N($J60)-N($AD60)),2)))</f>
        <v/>
      </c>
      <c r="L60" s="146" t="n"/>
      <c r="M60" s="59">
        <f>IF(OR($C60="",$AE60="",$K60=0),"",$AE60-TODAY())</f>
        <v/>
      </c>
      <c r="N60" s="62">
        <f>IF($C60="","",IF($K60=0,"✅ Saldada",IF($M60="","",IF($M60&lt;0,IF(N($R60)&gt;0,"🔴 APLAZADA VENCIDA","🔴 VENCIDA"),IF(N($R60)&gt;0,"🕓 Aplazada",IF($M60&lt;=3,"🟠 ≤3 días",IF($M60&lt;=7,"🟡 ≤7 días",IF($M60&lt;=30,"🔵 ≤30 días","⚪ &gt;30 días"))))))))</f>
        <v/>
      </c>
      <c r="O60" s="64">
        <f>IF($AE60="","",TEXT($AE60,"YYYY-MM"))</f>
        <v/>
      </c>
      <c r="P60" s="83" t="n"/>
      <c r="Q60" s="145" t="n"/>
      <c r="R60" s="136" t="n"/>
      <c r="S60" s="145" t="n"/>
      <c r="T60" s="76" t="n"/>
      <c r="U60" s="145" t="n"/>
      <c r="V60" s="145" t="n"/>
      <c r="W60" s="1" t="n"/>
      <c r="X60" s="1" t="n"/>
      <c r="Y60" s="1" t="n"/>
      <c r="Z60" s="1" t="n"/>
      <c r="AA60" s="67">
        <f>IF(OR($C60="",$K60=0,$P60=""),"",VALUE(LEFT($P60,1))*100000+N($M60)+ROW()/100000)</f>
        <v/>
      </c>
      <c r="AB60" s="67">
        <f>IF(OR($C60="",$K60=0,$AE60=""),"",$M60+ROW()/100000)</f>
        <v/>
      </c>
      <c r="AC60" s="41">
        <f t="array" ref="AC60">IF($C60="","",IFERROR(INDEX(Disponibilidad!$O$6:$O$18,MATCH($L60,Disponibilidad!$B$6:$B$18,0)),"Hogar"))</f>
        <v/>
      </c>
      <c r="AD60" s="74">
        <f>IF($C60="","",SUMIFS(Caja!$H$6:$H$505,Caja!$J$6:$J$505,$A60,Caja!$C$6:$C$505,"Pago"))</f>
        <v/>
      </c>
      <c r="AE60" s="136">
        <f>IF($C60="","",IF(N($R60)&gt;0,$R60,$H60))</f>
        <v/>
      </c>
      <c r="AF60" s="64" t="inlineStr">
        <is>
          <t>⚠️ Aplazadas que YA han vuelto a vencer</t>
        </is>
      </c>
      <c r="AG60" s="42">
        <f>SUMIFS($K$6:$K$205,$R$6:$R$205,"&gt;0",$M$6:$M$205,"&lt;0")</f>
        <v/>
      </c>
      <c r="AH60" s="59">
        <f>COUNTIFS($R$6:$R$205,"&gt;0",$M$6:$M$205,"&lt;0",$K$6:$K$205,"&gt;0")</f>
        <v/>
      </c>
      <c r="AI60" s="145" t="n"/>
      <c r="AJ60" s="145" t="n"/>
      <c r="AK60" s="1" t="n"/>
    </row>
    <row r="61" ht="15" customHeight="1" s="311">
      <c r="A61" s="41">
        <f>IF($C61="","",ROW()-5)</f>
        <v/>
      </c>
      <c r="B61" s="146" t="n"/>
      <c r="C61" s="146" t="n"/>
      <c r="D61" s="146" t="n"/>
      <c r="E61" s="146" t="n"/>
      <c r="F61" s="146" t="n"/>
      <c r="G61" s="136" t="n"/>
      <c r="H61" s="136" t="n"/>
      <c r="I61" s="76" t="n"/>
      <c r="J61" s="76" t="n"/>
      <c r="K61" s="57">
        <f>IF($C61="","",IF($B61="Pagada",0,ROUND(MAX(0,N($I61)+N($T61)-N($J61)-N($AD61)),2)))</f>
        <v/>
      </c>
      <c r="L61" s="146" t="n"/>
      <c r="M61" s="59">
        <f>IF(OR($C61="",$AE61="",$K61=0),"",$AE61-TODAY())</f>
        <v/>
      </c>
      <c r="N61" s="62">
        <f>IF($C61="","",IF($K61=0,"✅ Saldada",IF($M61="","",IF($M61&lt;0,IF(N($R61)&gt;0,"🔴 APLAZADA VENCIDA","🔴 VENCIDA"),IF(N($R61)&gt;0,"🕓 Aplazada",IF($M61&lt;=3,"🟠 ≤3 días",IF($M61&lt;=7,"🟡 ≤7 días",IF($M61&lt;=30,"🔵 ≤30 días","⚪ &gt;30 días"))))))))</f>
        <v/>
      </c>
      <c r="O61" s="64">
        <f>IF($AE61="","",TEXT($AE61,"YYYY-MM"))</f>
        <v/>
      </c>
      <c r="P61" s="83" t="n"/>
      <c r="Q61" s="145" t="n"/>
      <c r="R61" s="136" t="n"/>
      <c r="S61" s="145" t="n"/>
      <c r="T61" s="76" t="n"/>
      <c r="U61" s="145" t="n"/>
      <c r="V61" s="145" t="n"/>
      <c r="W61" s="1" t="n"/>
      <c r="X61" s="1" t="n"/>
      <c r="Y61" s="1" t="n"/>
      <c r="Z61" s="1" t="n"/>
      <c r="AA61" s="67">
        <f>IF(OR($C61="",$K61=0,$P61=""),"",VALUE(LEFT($P61,1))*100000+N($M61)+ROW()/100000)</f>
        <v/>
      </c>
      <c r="AB61" s="67">
        <f>IF(OR($C61="",$K61=0,$AE61=""),"",$M61+ROW()/100000)</f>
        <v/>
      </c>
      <c r="AC61" s="41">
        <f t="array" ref="AC61">IF($C61="","",IFERROR(INDEX(Disponibilidad!$O$6:$O$18,MATCH($L61,Disponibilidad!$B$6:$B$18,0)),"Hogar"))</f>
        <v/>
      </c>
      <c r="AD61" s="74">
        <f>IF($C61="","",SUMIFS(Caja!$H$6:$H$505,Caja!$J$6:$J$505,$A61,Caja!$C$6:$C$505,"Pago"))</f>
        <v/>
      </c>
      <c r="AE61" s="136">
        <f>IF($C61="","",IF(N($R61)&gt;0,$R61,$H61))</f>
        <v/>
      </c>
      <c r="AF61" s="64" t="inlineStr">
        <is>
          <t>Próxima fecha aplazada que vence</t>
        </is>
      </c>
      <c r="AG61" s="64">
        <f>IFERROR(TEXT(MINIFS($R$6:$R$205,$R$6:$R$205,"&gt;0",$K$6:$K$205,"&gt;0"),"DD/MM/YYYY"),"—")</f>
        <v/>
      </c>
      <c r="AH61" s="145" t="n"/>
      <c r="AI61" s="145" t="n"/>
      <c r="AJ61" s="145" t="n"/>
      <c r="AK61" s="1" t="n"/>
    </row>
    <row r="62" ht="15" customHeight="1" s="311">
      <c r="A62" s="41">
        <f>IF($C62="","",ROW()-5)</f>
        <v/>
      </c>
      <c r="B62" s="146" t="n"/>
      <c r="C62" s="146" t="n"/>
      <c r="D62" s="146" t="n"/>
      <c r="E62" s="146" t="n"/>
      <c r="F62" s="146" t="n"/>
      <c r="G62" s="136" t="n"/>
      <c r="H62" s="136" t="n"/>
      <c r="I62" s="76" t="n"/>
      <c r="J62" s="76" t="n"/>
      <c r="K62" s="57">
        <f>IF($C62="","",IF($B62="Pagada",0,ROUND(MAX(0,N($I62)+N($T62)-N($J62)-N($AD62)),2)))</f>
        <v/>
      </c>
      <c r="L62" s="146" t="n"/>
      <c r="M62" s="59">
        <f>IF(OR($C62="",$AE62="",$K62=0),"",$AE62-TODAY())</f>
        <v/>
      </c>
      <c r="N62" s="62">
        <f>IF($C62="","",IF($K62=0,"✅ Saldada",IF($M62="","",IF($M62&lt;0,IF(N($R62)&gt;0,"🔴 APLAZADA VENCIDA","🔴 VENCIDA"),IF(N($R62)&gt;0,"🕓 Aplazada",IF($M62&lt;=3,"🟠 ≤3 días",IF($M62&lt;=7,"🟡 ≤7 días",IF($M62&lt;=30,"🔵 ≤30 días","⚪ &gt;30 días"))))))))</f>
        <v/>
      </c>
      <c r="O62" s="64">
        <f>IF($AE62="","",TEXT($AE62,"YYYY-MM"))</f>
        <v/>
      </c>
      <c r="P62" s="83" t="n"/>
      <c r="Q62" s="145" t="n"/>
      <c r="R62" s="136" t="n"/>
      <c r="S62" s="145" t="n"/>
      <c r="T62" s="76" t="n"/>
      <c r="U62" s="145" t="n"/>
      <c r="V62" s="145" t="n"/>
      <c r="W62" s="1" t="n"/>
      <c r="X62" s="1" t="n"/>
      <c r="Y62" s="1" t="n"/>
      <c r="Z62" s="1" t="n"/>
      <c r="AA62" s="67">
        <f>IF(OR($C62="",$K62=0,$P62=""),"",VALUE(LEFT($P62,1))*100000+N($M62)+ROW()/100000)</f>
        <v/>
      </c>
      <c r="AB62" s="67">
        <f>IF(OR($C62="",$K62=0,$AE62=""),"",$M62+ROW()/100000)</f>
        <v/>
      </c>
      <c r="AC62" s="41">
        <f t="array" ref="AC62">IF($C62="","",IFERROR(INDEX(Disponibilidad!$O$6:$O$18,MATCH($L62,Disponibilidad!$B$6:$B$18,0)),"Hogar"))</f>
        <v/>
      </c>
      <c r="AD62" s="74">
        <f>IF($C62="","",SUMIFS(Caja!$H$6:$H$505,Caja!$J$6:$J$505,$A62,Caja!$C$6:$C$505,"Pago"))</f>
        <v/>
      </c>
      <c r="AE62" s="136">
        <f>IF($C62="","",IF(N($R62)&gt;0,$R62,$H62))</f>
        <v/>
      </c>
      <c r="AF62" s="145" t="n"/>
      <c r="AG62" s="145" t="n"/>
      <c r="AH62" s="145" t="n"/>
      <c r="AI62" s="145" t="n"/>
      <c r="AJ62" s="145" t="n"/>
      <c r="AK62" s="1" t="n"/>
    </row>
    <row r="63" ht="15" customHeight="1" s="311">
      <c r="A63" s="41">
        <f>IF($C63="","",ROW()-5)</f>
        <v/>
      </c>
      <c r="B63" s="146" t="n"/>
      <c r="C63" s="146" t="n"/>
      <c r="D63" s="146" t="n"/>
      <c r="E63" s="146" t="n"/>
      <c r="F63" s="146" t="n"/>
      <c r="G63" s="136" t="n"/>
      <c r="H63" s="136" t="n"/>
      <c r="I63" s="76" t="n"/>
      <c r="J63" s="76" t="n"/>
      <c r="K63" s="57">
        <f>IF($C63="","",IF($B63="Pagada",0,ROUND(MAX(0,N($I63)+N($T63)-N($J63)-N($AD63)),2)))</f>
        <v/>
      </c>
      <c r="L63" s="146" t="n"/>
      <c r="M63" s="59">
        <f>IF(OR($C63="",$AE63="",$K63=0),"",$AE63-TODAY())</f>
        <v/>
      </c>
      <c r="N63" s="62">
        <f>IF($C63="","",IF($K63=0,"✅ Saldada",IF($M63="","",IF($M63&lt;0,IF(N($R63)&gt;0,"🔴 APLAZADA VENCIDA","🔴 VENCIDA"),IF(N($R63)&gt;0,"🕓 Aplazada",IF($M63&lt;=3,"🟠 ≤3 días",IF($M63&lt;=7,"🟡 ≤7 días",IF($M63&lt;=30,"🔵 ≤30 días","⚪ &gt;30 días"))))))))</f>
        <v/>
      </c>
      <c r="O63" s="64">
        <f>IF($AE63="","",TEXT($AE63,"YYYY-MM"))</f>
        <v/>
      </c>
      <c r="P63" s="83" t="n"/>
      <c r="Q63" s="145" t="n"/>
      <c r="R63" s="136" t="n"/>
      <c r="S63" s="145" t="n"/>
      <c r="T63" s="76" t="n"/>
      <c r="U63" s="145" t="n"/>
      <c r="V63" s="145" t="n"/>
      <c r="W63" s="1" t="n"/>
      <c r="X63" s="1" t="n"/>
      <c r="Y63" s="1" t="n"/>
      <c r="Z63" s="1" t="n"/>
      <c r="AA63" s="67">
        <f>IF(OR($C63="",$K63=0,$P63=""),"",VALUE(LEFT($P63,1))*100000+N($M63)+ROW()/100000)</f>
        <v/>
      </c>
      <c r="AB63" s="67">
        <f>IF(OR($C63="",$K63=0,$AE63=""),"",$M63+ROW()/100000)</f>
        <v/>
      </c>
      <c r="AC63" s="41">
        <f t="array" ref="AC63">IF($C63="","",IFERROR(INDEX(Disponibilidad!$O$6:$O$18,MATCH($L63,Disponibilidad!$B$6:$B$18,0)),"Hogar"))</f>
        <v/>
      </c>
      <c r="AD63" s="74">
        <f>IF($C63="","",SUMIFS(Caja!$H$6:$H$505,Caja!$J$6:$J$505,$A63,Caja!$C$6:$C$505,"Pago"))</f>
        <v/>
      </c>
      <c r="AE63" s="136">
        <f>IF($C63="","",IF(N($R63)&gt;0,$R63,$H63))</f>
        <v/>
      </c>
      <c r="AF63" s="20" t="inlineStr">
        <is>
          <t>Aplazar no borra la deuda: cambia la fecha y, muchas veces, añade un recargo. Si una factura aplazada vuelve a vencer, el acuerdo se ha roto: renegócialo antes de que sume intereses.</t>
        </is>
      </c>
      <c r="AG63" s="1" t="n"/>
      <c r="AH63" s="1" t="n"/>
      <c r="AI63" s="1" t="n"/>
      <c r="AJ63" s="1" t="n"/>
      <c r="AK63" s="1" t="n"/>
    </row>
    <row r="64" ht="15" customHeight="1" s="311">
      <c r="A64" s="41">
        <f>IF($C64="","",ROW()-5)</f>
        <v/>
      </c>
      <c r="B64" s="146" t="n"/>
      <c r="C64" s="146" t="n"/>
      <c r="D64" s="146" t="n"/>
      <c r="E64" s="146" t="n"/>
      <c r="F64" s="146" t="n"/>
      <c r="G64" s="136" t="n"/>
      <c r="H64" s="136" t="n"/>
      <c r="I64" s="76" t="n"/>
      <c r="J64" s="76" t="n"/>
      <c r="K64" s="57">
        <f>IF($C64="","",IF($B64="Pagada",0,ROUND(MAX(0,N($I64)+N($T64)-N($J64)-N($AD64)),2)))</f>
        <v/>
      </c>
      <c r="L64" s="146" t="n"/>
      <c r="M64" s="59">
        <f>IF(OR($C64="",$AE64="",$K64=0),"",$AE64-TODAY())</f>
        <v/>
      </c>
      <c r="N64" s="62">
        <f>IF($C64="","",IF($K64=0,"✅ Saldada",IF($M64="","",IF($M64&lt;0,IF(N($R64)&gt;0,"🔴 APLAZADA VENCIDA","🔴 VENCIDA"),IF(N($R64)&gt;0,"🕓 Aplazada",IF($M64&lt;=3,"🟠 ≤3 días",IF($M64&lt;=7,"🟡 ≤7 días",IF($M64&lt;=30,"🔵 ≤30 días","⚪ &gt;30 días"))))))))</f>
        <v/>
      </c>
      <c r="O64" s="64">
        <f>IF($AE64="","",TEXT($AE64,"YYYY-MM"))</f>
        <v/>
      </c>
      <c r="P64" s="83" t="n"/>
      <c r="Q64" s="145" t="n"/>
      <c r="R64" s="136" t="n"/>
      <c r="S64" s="145" t="n"/>
      <c r="T64" s="76" t="n"/>
      <c r="U64" s="145" t="n"/>
      <c r="V64" s="145" t="n"/>
      <c r="W64" s="1" t="n"/>
      <c r="X64" s="1" t="n"/>
      <c r="Y64" s="1" t="n"/>
      <c r="Z64" s="1" t="n"/>
      <c r="AA64" s="67">
        <f>IF(OR($C64="",$K64=0,$P64=""),"",VALUE(LEFT($P64,1))*100000+N($M64)+ROW()/100000)</f>
        <v/>
      </c>
      <c r="AB64" s="67">
        <f>IF(OR($C64="",$K64=0,$AE64=""),"",$M64+ROW()/100000)</f>
        <v/>
      </c>
      <c r="AC64" s="41">
        <f t="array" ref="AC64">IF($C64="","",IFERROR(INDEX(Disponibilidad!$O$6:$O$18,MATCH($L64,Disponibilidad!$B$6:$B$18,0)),"Hogar"))</f>
        <v/>
      </c>
      <c r="AD64" s="74">
        <f>IF($C64="","",SUMIFS(Caja!$H$6:$H$505,Caja!$J$6:$J$505,$A64,Caja!$C$6:$C$505,"Pago"))</f>
        <v/>
      </c>
      <c r="AE64" s="136">
        <f>IF($C64="","",IF(N($R64)&gt;0,$R64,$H64))</f>
        <v/>
      </c>
      <c r="AF64" s="1" t="n"/>
      <c r="AG64" s="1" t="n"/>
      <c r="AH64" s="1" t="n"/>
      <c r="AI64" s="1" t="n"/>
      <c r="AJ64" s="1" t="n"/>
      <c r="AK64" s="1" t="n"/>
    </row>
    <row r="65" ht="15" customHeight="1" s="311">
      <c r="A65" s="41">
        <f>IF($C65="","",ROW()-5)</f>
        <v/>
      </c>
      <c r="B65" s="146" t="n"/>
      <c r="C65" s="146" t="n"/>
      <c r="D65" s="146" t="n"/>
      <c r="E65" s="146" t="n"/>
      <c r="F65" s="146" t="n"/>
      <c r="G65" s="136" t="n"/>
      <c r="H65" s="136" t="n"/>
      <c r="I65" s="76" t="n"/>
      <c r="J65" s="76" t="n"/>
      <c r="K65" s="57">
        <f>IF($C65="","",IF($B65="Pagada",0,ROUND(MAX(0,N($I65)+N($T65)-N($J65)-N($AD65)),2)))</f>
        <v/>
      </c>
      <c r="L65" s="146" t="n"/>
      <c r="M65" s="59">
        <f>IF(OR($C65="",$AE65="",$K65=0),"",$AE65-TODAY())</f>
        <v/>
      </c>
      <c r="N65" s="62">
        <f>IF($C65="","",IF($K65=0,"✅ Saldada",IF($M65="","",IF($M65&lt;0,IF(N($R65)&gt;0,"🔴 APLAZADA VENCIDA","🔴 VENCIDA"),IF(N($R65)&gt;0,"🕓 Aplazada",IF($M65&lt;=3,"🟠 ≤3 días",IF($M65&lt;=7,"🟡 ≤7 días",IF($M65&lt;=30,"🔵 ≤30 días","⚪ &gt;30 días"))))))))</f>
        <v/>
      </c>
      <c r="O65" s="64">
        <f>IF($AE65="","",TEXT($AE65,"YYYY-MM"))</f>
        <v/>
      </c>
      <c r="P65" s="83" t="n"/>
      <c r="Q65" s="145" t="n"/>
      <c r="R65" s="136" t="n"/>
      <c r="S65" s="145" t="n"/>
      <c r="T65" s="76" t="n"/>
      <c r="U65" s="145" t="n"/>
      <c r="V65" s="145" t="n"/>
      <c r="W65" s="1" t="n"/>
      <c r="X65" s="1" t="n"/>
      <c r="Y65" s="1" t="n"/>
      <c r="Z65" s="1" t="n"/>
      <c r="AA65" s="67">
        <f>IF(OR($C65="",$K65=0,$P65=""),"",VALUE(LEFT($P65,1))*100000+N($M65)+ROW()/100000)</f>
        <v/>
      </c>
      <c r="AB65" s="67">
        <f>IF(OR($C65="",$K65=0,$AE65=""),"",$M65+ROW()/100000)</f>
        <v/>
      </c>
      <c r="AC65" s="41">
        <f t="array" ref="AC65">IF($C65="","",IFERROR(INDEX(Disponibilidad!$O$6:$O$18,MATCH($L65,Disponibilidad!$B$6:$B$18,0)),"Hogar"))</f>
        <v/>
      </c>
      <c r="AD65" s="74">
        <f>IF($C65="","",SUMIFS(Caja!$H$6:$H$505,Caja!$J$6:$J$505,$A65,Caja!$C$6:$C$505,"Pago"))</f>
        <v/>
      </c>
      <c r="AE65" s="136">
        <f>IF($C65="","",IF(N($R65)&gt;0,$R65,$H65))</f>
        <v/>
      </c>
      <c r="AF65" s="1" t="n"/>
      <c r="AG65" s="1" t="n"/>
      <c r="AH65" s="1" t="n"/>
      <c r="AI65" s="1" t="n"/>
      <c r="AJ65" s="1" t="n"/>
      <c r="AK65" s="1" t="n"/>
    </row>
    <row r="66" ht="15" customHeight="1" s="311">
      <c r="A66" s="41">
        <f>IF($C66="","",ROW()-5)</f>
        <v/>
      </c>
      <c r="B66" s="146" t="n"/>
      <c r="C66" s="146" t="n"/>
      <c r="D66" s="146" t="n"/>
      <c r="E66" s="146" t="n"/>
      <c r="F66" s="146" t="n"/>
      <c r="G66" s="136" t="n"/>
      <c r="H66" s="136" t="n"/>
      <c r="I66" s="76" t="n"/>
      <c r="J66" s="76" t="n"/>
      <c r="K66" s="57">
        <f>IF($C66="","",IF($B66="Pagada",0,ROUND(MAX(0,N($I66)+N($T66)-N($J66)-N($AD66)),2)))</f>
        <v/>
      </c>
      <c r="L66" s="146" t="n"/>
      <c r="M66" s="59">
        <f>IF(OR($C66="",$AE66="",$K66=0),"",$AE66-TODAY())</f>
        <v/>
      </c>
      <c r="N66" s="62">
        <f>IF($C66="","",IF($K66=0,"✅ Saldada",IF($M66="","",IF($M66&lt;0,IF(N($R66)&gt;0,"🔴 APLAZADA VENCIDA","🔴 VENCIDA"),IF(N($R66)&gt;0,"🕓 Aplazada",IF($M66&lt;=3,"🟠 ≤3 días",IF($M66&lt;=7,"🟡 ≤7 días",IF($M66&lt;=30,"🔵 ≤30 días","⚪ &gt;30 días"))))))))</f>
        <v/>
      </c>
      <c r="O66" s="64">
        <f>IF($AE66="","",TEXT($AE66,"YYYY-MM"))</f>
        <v/>
      </c>
      <c r="P66" s="83" t="n"/>
      <c r="Q66" s="145" t="n"/>
      <c r="R66" s="136" t="n"/>
      <c r="S66" s="145" t="n"/>
      <c r="T66" s="76" t="n"/>
      <c r="U66" s="145" t="n"/>
      <c r="V66" s="145" t="n"/>
      <c r="W66" s="1" t="n"/>
      <c r="X66" s="1" t="n"/>
      <c r="Y66" s="1" t="n"/>
      <c r="Z66" s="1" t="n"/>
      <c r="AA66" s="67">
        <f>IF(OR($C66="",$K66=0,$P66=""),"",VALUE(LEFT($P66,1))*100000+N($M66)+ROW()/100000)</f>
        <v/>
      </c>
      <c r="AB66" s="67">
        <f>IF(OR($C66="",$K66=0,$AE66=""),"",$M66+ROW()/100000)</f>
        <v/>
      </c>
      <c r="AC66" s="41">
        <f t="array" ref="AC66">IF($C66="","",IFERROR(INDEX(Disponibilidad!$O$6:$O$18,MATCH($L66,Disponibilidad!$B$6:$B$18,0)),"Hogar"))</f>
        <v/>
      </c>
      <c r="AD66" s="74">
        <f>IF($C66="","",SUMIFS(Caja!$H$6:$H$505,Caja!$J$6:$J$505,$A66,Caja!$C$6:$C$505,"Pago"))</f>
        <v/>
      </c>
      <c r="AE66" s="136">
        <f>IF($C66="","",IF(N($R66)&gt;0,$R66,$H66))</f>
        <v/>
      </c>
      <c r="AF66" s="1" t="n"/>
      <c r="AG66" s="1" t="n"/>
      <c r="AH66" s="1" t="n"/>
      <c r="AI66" s="1" t="n"/>
      <c r="AJ66" s="1" t="n"/>
      <c r="AK66" s="1" t="n"/>
    </row>
    <row r="67" ht="15" customHeight="1" s="311">
      <c r="A67" s="41">
        <f>IF($C67="","",ROW()-5)</f>
        <v/>
      </c>
      <c r="B67" s="146" t="n"/>
      <c r="C67" s="146" t="n"/>
      <c r="D67" s="146" t="n"/>
      <c r="E67" s="146" t="n"/>
      <c r="F67" s="146" t="n"/>
      <c r="G67" s="136" t="n"/>
      <c r="H67" s="136" t="n"/>
      <c r="I67" s="76" t="n"/>
      <c r="J67" s="76" t="n"/>
      <c r="K67" s="57">
        <f>IF($C67="","",IF($B67="Pagada",0,ROUND(MAX(0,N($I67)+N($T67)-N($J67)-N($AD67)),2)))</f>
        <v/>
      </c>
      <c r="L67" s="146" t="n"/>
      <c r="M67" s="59">
        <f>IF(OR($C67="",$AE67="",$K67=0),"",$AE67-TODAY())</f>
        <v/>
      </c>
      <c r="N67" s="62">
        <f>IF($C67="","",IF($K67=0,"✅ Saldada",IF($M67="","",IF($M67&lt;0,IF(N($R67)&gt;0,"🔴 APLAZADA VENCIDA","🔴 VENCIDA"),IF(N($R67)&gt;0,"🕓 Aplazada",IF($M67&lt;=3,"🟠 ≤3 días",IF($M67&lt;=7,"🟡 ≤7 días",IF($M67&lt;=30,"🔵 ≤30 días","⚪ &gt;30 días"))))))))</f>
        <v/>
      </c>
      <c r="O67" s="64">
        <f>IF($AE67="","",TEXT($AE67,"YYYY-MM"))</f>
        <v/>
      </c>
      <c r="P67" s="83" t="n"/>
      <c r="Q67" s="145" t="n"/>
      <c r="R67" s="136" t="n"/>
      <c r="S67" s="145" t="n"/>
      <c r="T67" s="76" t="n"/>
      <c r="U67" s="145" t="n"/>
      <c r="V67" s="145" t="n"/>
      <c r="W67" s="1" t="n"/>
      <c r="X67" s="1" t="n"/>
      <c r="Y67" s="1" t="n"/>
      <c r="Z67" s="1" t="n"/>
      <c r="AA67" s="67">
        <f>IF(OR($C67="",$K67=0,$P67=""),"",VALUE(LEFT($P67,1))*100000+N($M67)+ROW()/100000)</f>
        <v/>
      </c>
      <c r="AB67" s="67">
        <f>IF(OR($C67="",$K67=0,$AE67=""),"",$M67+ROW()/100000)</f>
        <v/>
      </c>
      <c r="AC67" s="41">
        <f t="array" ref="AC67">IF($C67="","",IFERROR(INDEX(Disponibilidad!$O$6:$O$18,MATCH($L67,Disponibilidad!$B$6:$B$18,0)),"Hogar"))</f>
        <v/>
      </c>
      <c r="AD67" s="74">
        <f>IF($C67="","",SUMIFS(Caja!$H$6:$H$505,Caja!$J$6:$J$505,$A67,Caja!$C$6:$C$505,"Pago"))</f>
        <v/>
      </c>
      <c r="AE67" s="136">
        <f>IF($C67="","",IF(N($R67)&gt;0,$R67,$H67))</f>
        <v/>
      </c>
      <c r="AF67" s="1" t="n"/>
      <c r="AG67" s="1" t="n"/>
      <c r="AH67" s="1" t="n"/>
      <c r="AI67" s="1" t="n"/>
      <c r="AJ67" s="1" t="n"/>
      <c r="AK67" s="1" t="n"/>
    </row>
    <row r="68" ht="15" customHeight="1" s="311">
      <c r="A68" s="41">
        <f>IF($C68="","",ROW()-5)</f>
        <v/>
      </c>
      <c r="B68" s="146" t="n"/>
      <c r="C68" s="146" t="n"/>
      <c r="D68" s="146" t="n"/>
      <c r="E68" s="146" t="n"/>
      <c r="F68" s="146" t="n"/>
      <c r="G68" s="136" t="n"/>
      <c r="H68" s="136" t="n"/>
      <c r="I68" s="76" t="n"/>
      <c r="J68" s="76" t="n"/>
      <c r="K68" s="57">
        <f>IF($C68="","",IF($B68="Pagada",0,ROUND(MAX(0,N($I68)+N($T68)-N($J68)-N($AD68)),2)))</f>
        <v/>
      </c>
      <c r="L68" s="146" t="n"/>
      <c r="M68" s="59">
        <f>IF(OR($C68="",$AE68="",$K68=0),"",$AE68-TODAY())</f>
        <v/>
      </c>
      <c r="N68" s="62">
        <f>IF($C68="","",IF($K68=0,"✅ Saldada",IF($M68="","",IF($M68&lt;0,IF(N($R68)&gt;0,"🔴 APLAZADA VENCIDA","🔴 VENCIDA"),IF(N($R68)&gt;0,"🕓 Aplazada",IF($M68&lt;=3,"🟠 ≤3 días",IF($M68&lt;=7,"🟡 ≤7 días",IF($M68&lt;=30,"🔵 ≤30 días","⚪ &gt;30 días"))))))))</f>
        <v/>
      </c>
      <c r="O68" s="64">
        <f>IF($AE68="","",TEXT($AE68,"YYYY-MM"))</f>
        <v/>
      </c>
      <c r="P68" s="83" t="n"/>
      <c r="Q68" s="145" t="n"/>
      <c r="R68" s="136" t="n"/>
      <c r="S68" s="145" t="n"/>
      <c r="T68" s="76" t="n"/>
      <c r="U68" s="145" t="n"/>
      <c r="V68" s="145" t="n"/>
      <c r="W68" s="1" t="n"/>
      <c r="X68" s="1" t="n"/>
      <c r="Y68" s="1" t="n"/>
      <c r="Z68" s="1" t="n"/>
      <c r="AA68" s="67">
        <f>IF(OR($C68="",$K68=0,$P68=""),"",VALUE(LEFT($P68,1))*100000+N($M68)+ROW()/100000)</f>
        <v/>
      </c>
      <c r="AB68" s="67">
        <f>IF(OR($C68="",$K68=0,$AE68=""),"",$M68+ROW()/100000)</f>
        <v/>
      </c>
      <c r="AC68" s="41">
        <f t="array" ref="AC68">IF($C68="","",IFERROR(INDEX(Disponibilidad!$O$6:$O$18,MATCH($L68,Disponibilidad!$B$6:$B$18,0)),"Hogar"))</f>
        <v/>
      </c>
      <c r="AD68" s="74">
        <f>IF($C68="","",SUMIFS(Caja!$H$6:$H$505,Caja!$J$6:$J$505,$A68,Caja!$C$6:$C$505,"Pago"))</f>
        <v/>
      </c>
      <c r="AE68" s="136">
        <f>IF($C68="","",IF(N($R68)&gt;0,$R68,$H68))</f>
        <v/>
      </c>
      <c r="AF68" s="1" t="n"/>
      <c r="AG68" s="1" t="n"/>
      <c r="AH68" s="1" t="n"/>
      <c r="AI68" s="1" t="n"/>
      <c r="AJ68" s="1" t="n"/>
      <c r="AK68" s="1" t="n"/>
    </row>
    <row r="69" ht="15" customHeight="1" s="311">
      <c r="A69" s="41">
        <f>IF($C69="","",ROW()-5)</f>
        <v/>
      </c>
      <c r="B69" s="146" t="n"/>
      <c r="C69" s="146" t="n"/>
      <c r="D69" s="146" t="n"/>
      <c r="E69" s="146" t="n"/>
      <c r="F69" s="146" t="n"/>
      <c r="G69" s="136" t="n"/>
      <c r="H69" s="136" t="n"/>
      <c r="I69" s="76" t="n"/>
      <c r="J69" s="76" t="n"/>
      <c r="K69" s="57">
        <f>IF($C69="","",IF($B69="Pagada",0,ROUND(MAX(0,N($I69)+N($T69)-N($J69)-N($AD69)),2)))</f>
        <v/>
      </c>
      <c r="L69" s="146" t="n"/>
      <c r="M69" s="59">
        <f>IF(OR($C69="",$AE69="",$K69=0),"",$AE69-TODAY())</f>
        <v/>
      </c>
      <c r="N69" s="62">
        <f>IF($C69="","",IF($K69=0,"✅ Saldada",IF($M69="","",IF($M69&lt;0,IF(N($R69)&gt;0,"🔴 APLAZADA VENCIDA","🔴 VENCIDA"),IF(N($R69)&gt;0,"🕓 Aplazada",IF($M69&lt;=3,"🟠 ≤3 días",IF($M69&lt;=7,"🟡 ≤7 días",IF($M69&lt;=30,"🔵 ≤30 días","⚪ &gt;30 días"))))))))</f>
        <v/>
      </c>
      <c r="O69" s="64">
        <f>IF($AE69="","",TEXT($AE69,"YYYY-MM"))</f>
        <v/>
      </c>
      <c r="P69" s="83" t="n"/>
      <c r="Q69" s="145" t="n"/>
      <c r="R69" s="136" t="n"/>
      <c r="S69" s="145" t="n"/>
      <c r="T69" s="76" t="n"/>
      <c r="U69" s="145" t="n"/>
      <c r="V69" s="145" t="n"/>
      <c r="W69" s="1" t="n"/>
      <c r="X69" s="1" t="n"/>
      <c r="Y69" s="1" t="n"/>
      <c r="Z69" s="1" t="n"/>
      <c r="AA69" s="67">
        <f>IF(OR($C69="",$K69=0,$P69=""),"",VALUE(LEFT($P69,1))*100000+N($M69)+ROW()/100000)</f>
        <v/>
      </c>
      <c r="AB69" s="67">
        <f>IF(OR($C69="",$K69=0,$AE69=""),"",$M69+ROW()/100000)</f>
        <v/>
      </c>
      <c r="AC69" s="41">
        <f t="array" ref="AC69">IF($C69="","",IFERROR(INDEX(Disponibilidad!$O$6:$O$18,MATCH($L69,Disponibilidad!$B$6:$B$18,0)),"Hogar"))</f>
        <v/>
      </c>
      <c r="AD69" s="74">
        <f>IF($C69="","",SUMIFS(Caja!$H$6:$H$505,Caja!$J$6:$J$505,$A69,Caja!$C$6:$C$505,"Pago"))</f>
        <v/>
      </c>
      <c r="AE69" s="136">
        <f>IF($C69="","",IF(N($R69)&gt;0,$R69,$H69))</f>
        <v/>
      </c>
      <c r="AF69" s="1" t="n"/>
      <c r="AG69" s="1" t="n"/>
      <c r="AH69" s="1" t="n"/>
      <c r="AI69" s="1" t="n"/>
      <c r="AJ69" s="1" t="n"/>
      <c r="AK69" s="1" t="n"/>
    </row>
    <row r="70" ht="15" customHeight="1" s="311">
      <c r="A70" s="41">
        <f>IF($C70="","",ROW()-5)</f>
        <v/>
      </c>
      <c r="B70" s="146" t="n"/>
      <c r="C70" s="146" t="n"/>
      <c r="D70" s="146" t="n"/>
      <c r="E70" s="146" t="n"/>
      <c r="F70" s="146" t="n"/>
      <c r="G70" s="136" t="n"/>
      <c r="H70" s="136" t="n"/>
      <c r="I70" s="76" t="n"/>
      <c r="J70" s="76" t="n"/>
      <c r="K70" s="57">
        <f>IF($C70="","",IF($B70="Pagada",0,ROUND(MAX(0,N($I70)+N($T70)-N($J70)-N($AD70)),2)))</f>
        <v/>
      </c>
      <c r="L70" s="146" t="n"/>
      <c r="M70" s="59">
        <f>IF(OR($C70="",$AE70="",$K70=0),"",$AE70-TODAY())</f>
        <v/>
      </c>
      <c r="N70" s="62">
        <f>IF($C70="","",IF($K70=0,"✅ Saldada",IF($M70="","",IF($M70&lt;0,IF(N($R70)&gt;0,"🔴 APLAZADA VENCIDA","🔴 VENCIDA"),IF(N($R70)&gt;0,"🕓 Aplazada",IF($M70&lt;=3,"🟠 ≤3 días",IF($M70&lt;=7,"🟡 ≤7 días",IF($M70&lt;=30,"🔵 ≤30 días","⚪ &gt;30 días"))))))))</f>
        <v/>
      </c>
      <c r="O70" s="64">
        <f>IF($AE70="","",TEXT($AE70,"YYYY-MM"))</f>
        <v/>
      </c>
      <c r="P70" s="83" t="n"/>
      <c r="Q70" s="145" t="n"/>
      <c r="R70" s="136" t="n"/>
      <c r="S70" s="145" t="n"/>
      <c r="T70" s="76" t="n"/>
      <c r="U70" s="145" t="n"/>
      <c r="V70" s="145" t="n"/>
      <c r="W70" s="1" t="n"/>
      <c r="X70" s="1" t="n"/>
      <c r="Y70" s="1" t="n"/>
      <c r="Z70" s="1" t="n"/>
      <c r="AA70" s="67">
        <f>IF(OR($C70="",$K70=0,$P70=""),"",VALUE(LEFT($P70,1))*100000+N($M70)+ROW()/100000)</f>
        <v/>
      </c>
      <c r="AB70" s="67">
        <f>IF(OR($C70="",$K70=0,$AE70=""),"",$M70+ROW()/100000)</f>
        <v/>
      </c>
      <c r="AC70" s="41">
        <f t="array" ref="AC70">IF($C70="","",IFERROR(INDEX(Disponibilidad!$O$6:$O$18,MATCH($L70,Disponibilidad!$B$6:$B$18,0)),"Hogar"))</f>
        <v/>
      </c>
      <c r="AD70" s="74">
        <f>IF($C70="","",SUMIFS(Caja!$H$6:$H$505,Caja!$J$6:$J$505,$A70,Caja!$C$6:$C$505,"Pago"))</f>
        <v/>
      </c>
      <c r="AE70" s="136">
        <f>IF($C70="","",IF(N($R70)&gt;0,$R70,$H70))</f>
        <v/>
      </c>
      <c r="AF70" s="1" t="n"/>
      <c r="AG70" s="1" t="n"/>
      <c r="AH70" s="1" t="n"/>
      <c r="AI70" s="1" t="n"/>
      <c r="AJ70" s="1" t="n"/>
      <c r="AK70" s="1" t="n"/>
    </row>
    <row r="71" ht="15" customHeight="1" s="311">
      <c r="A71" s="41">
        <f>IF($C71="","",ROW()-5)</f>
        <v/>
      </c>
      <c r="B71" s="146" t="n"/>
      <c r="C71" s="146" t="n"/>
      <c r="D71" s="146" t="n"/>
      <c r="E71" s="146" t="n"/>
      <c r="F71" s="146" t="n"/>
      <c r="G71" s="136" t="n"/>
      <c r="H71" s="136" t="n"/>
      <c r="I71" s="76" t="n"/>
      <c r="J71" s="76" t="n"/>
      <c r="K71" s="57">
        <f>IF($C71="","",IF($B71="Pagada",0,ROUND(MAX(0,N($I71)+N($T71)-N($J71)-N($AD71)),2)))</f>
        <v/>
      </c>
      <c r="L71" s="146" t="n"/>
      <c r="M71" s="59">
        <f>IF(OR($C71="",$AE71="",$K71=0),"",$AE71-TODAY())</f>
        <v/>
      </c>
      <c r="N71" s="62">
        <f>IF($C71="","",IF($K71=0,"✅ Saldada",IF($M71="","",IF($M71&lt;0,IF(N($R71)&gt;0,"🔴 APLAZADA VENCIDA","🔴 VENCIDA"),IF(N($R71)&gt;0,"🕓 Aplazada",IF($M71&lt;=3,"🟠 ≤3 días",IF($M71&lt;=7,"🟡 ≤7 días",IF($M71&lt;=30,"🔵 ≤30 días","⚪ &gt;30 días"))))))))</f>
        <v/>
      </c>
      <c r="O71" s="64">
        <f>IF($AE71="","",TEXT($AE71,"YYYY-MM"))</f>
        <v/>
      </c>
      <c r="P71" s="83" t="n"/>
      <c r="Q71" s="145" t="n"/>
      <c r="R71" s="136" t="n"/>
      <c r="S71" s="145" t="n"/>
      <c r="T71" s="76" t="n"/>
      <c r="U71" s="145" t="n"/>
      <c r="V71" s="145" t="n"/>
      <c r="W71" s="1" t="n"/>
      <c r="X71" s="1" t="n"/>
      <c r="Y71" s="1" t="n"/>
      <c r="Z71" s="1" t="n"/>
      <c r="AA71" s="67">
        <f>IF(OR($C71="",$K71=0,$P71=""),"",VALUE(LEFT($P71,1))*100000+N($M71)+ROW()/100000)</f>
        <v/>
      </c>
      <c r="AB71" s="67">
        <f>IF(OR($C71="",$K71=0,$AE71=""),"",$M71+ROW()/100000)</f>
        <v/>
      </c>
      <c r="AC71" s="41">
        <f t="array" ref="AC71">IF($C71="","",IFERROR(INDEX(Disponibilidad!$O$6:$O$18,MATCH($L71,Disponibilidad!$B$6:$B$18,0)),"Hogar"))</f>
        <v/>
      </c>
      <c r="AD71" s="74">
        <f>IF($C71="","",SUMIFS(Caja!$H$6:$H$505,Caja!$J$6:$J$505,$A71,Caja!$C$6:$C$505,"Pago"))</f>
        <v/>
      </c>
      <c r="AE71" s="136">
        <f>IF($C71="","",IF(N($R71)&gt;0,$R71,$H71))</f>
        <v/>
      </c>
      <c r="AF71" s="1" t="n"/>
      <c r="AG71" s="1" t="n"/>
      <c r="AH71" s="1" t="n"/>
      <c r="AI71" s="1" t="n"/>
      <c r="AJ71" s="1" t="n"/>
      <c r="AK71" s="1" t="n"/>
    </row>
    <row r="72" ht="15" customHeight="1" s="311">
      <c r="A72" s="41">
        <f>IF($C72="","",ROW()-5)</f>
        <v/>
      </c>
      <c r="B72" s="146" t="n"/>
      <c r="C72" s="146" t="n"/>
      <c r="D72" s="146" t="n"/>
      <c r="E72" s="146" t="n"/>
      <c r="F72" s="146" t="n"/>
      <c r="G72" s="136" t="n"/>
      <c r="H72" s="136" t="n"/>
      <c r="I72" s="76" t="n"/>
      <c r="J72" s="76" t="n"/>
      <c r="K72" s="57">
        <f>IF($C72="","",IF($B72="Pagada",0,ROUND(MAX(0,N($I72)+N($T72)-N($J72)-N($AD72)),2)))</f>
        <v/>
      </c>
      <c r="L72" s="146" t="n"/>
      <c r="M72" s="59">
        <f>IF(OR($C72="",$AE72="",$K72=0),"",$AE72-TODAY())</f>
        <v/>
      </c>
      <c r="N72" s="62">
        <f>IF($C72="","",IF($K72=0,"✅ Saldada",IF($M72="","",IF($M72&lt;0,IF(N($R72)&gt;0,"🔴 APLAZADA VENCIDA","🔴 VENCIDA"),IF(N($R72)&gt;0,"🕓 Aplazada",IF($M72&lt;=3,"🟠 ≤3 días",IF($M72&lt;=7,"🟡 ≤7 días",IF($M72&lt;=30,"🔵 ≤30 días","⚪ &gt;30 días"))))))))</f>
        <v/>
      </c>
      <c r="O72" s="64">
        <f>IF($AE72="","",TEXT($AE72,"YYYY-MM"))</f>
        <v/>
      </c>
      <c r="P72" s="83" t="n"/>
      <c r="Q72" s="145" t="n"/>
      <c r="R72" s="136" t="n"/>
      <c r="S72" s="145" t="n"/>
      <c r="T72" s="76" t="n"/>
      <c r="U72" s="145" t="n"/>
      <c r="V72" s="145" t="n"/>
      <c r="W72" s="1" t="n"/>
      <c r="X72" s="1" t="n"/>
      <c r="Y72" s="1" t="n"/>
      <c r="Z72" s="1" t="n"/>
      <c r="AA72" s="67">
        <f>IF(OR($C72="",$K72=0,$P72=""),"",VALUE(LEFT($P72,1))*100000+N($M72)+ROW()/100000)</f>
        <v/>
      </c>
      <c r="AB72" s="67">
        <f>IF(OR($C72="",$K72=0,$AE72=""),"",$M72+ROW()/100000)</f>
        <v/>
      </c>
      <c r="AC72" s="41">
        <f t="array" ref="AC72">IF($C72="","",IFERROR(INDEX(Disponibilidad!$O$6:$O$18,MATCH($L72,Disponibilidad!$B$6:$B$18,0)),"Hogar"))</f>
        <v/>
      </c>
      <c r="AD72" s="74">
        <f>IF($C72="","",SUMIFS(Caja!$H$6:$H$505,Caja!$J$6:$J$505,$A72,Caja!$C$6:$C$505,"Pago"))</f>
        <v/>
      </c>
      <c r="AE72" s="136">
        <f>IF($C72="","",IF(N($R72)&gt;0,$R72,$H72))</f>
        <v/>
      </c>
      <c r="AF72" s="1" t="n"/>
      <c r="AG72" s="1" t="n"/>
      <c r="AH72" s="1" t="n"/>
      <c r="AI72" s="1" t="n"/>
      <c r="AJ72" s="1" t="n"/>
      <c r="AK72" s="1" t="n"/>
    </row>
    <row r="73" ht="15" customHeight="1" s="311">
      <c r="A73" s="41">
        <f>IF($C73="","",ROW()-5)</f>
        <v/>
      </c>
      <c r="B73" s="146" t="n"/>
      <c r="C73" s="146" t="n"/>
      <c r="D73" s="146" t="n"/>
      <c r="E73" s="146" t="n"/>
      <c r="F73" s="146" t="n"/>
      <c r="G73" s="136" t="n"/>
      <c r="H73" s="136" t="n"/>
      <c r="I73" s="76" t="n"/>
      <c r="J73" s="76" t="n"/>
      <c r="K73" s="57">
        <f>IF($C73="","",IF($B73="Pagada",0,ROUND(MAX(0,N($I73)+N($T73)-N($J73)-N($AD73)),2)))</f>
        <v/>
      </c>
      <c r="L73" s="146" t="n"/>
      <c r="M73" s="59">
        <f>IF(OR($C73="",$AE73="",$K73=0),"",$AE73-TODAY())</f>
        <v/>
      </c>
      <c r="N73" s="62">
        <f>IF($C73="","",IF($K73=0,"✅ Saldada",IF($M73="","",IF($M73&lt;0,IF(N($R73)&gt;0,"🔴 APLAZADA VENCIDA","🔴 VENCIDA"),IF(N($R73)&gt;0,"🕓 Aplazada",IF($M73&lt;=3,"🟠 ≤3 días",IF($M73&lt;=7,"🟡 ≤7 días",IF($M73&lt;=30,"🔵 ≤30 días","⚪ &gt;30 días"))))))))</f>
        <v/>
      </c>
      <c r="O73" s="64">
        <f>IF($AE73="","",TEXT($AE73,"YYYY-MM"))</f>
        <v/>
      </c>
      <c r="P73" s="83" t="n"/>
      <c r="Q73" s="145" t="n"/>
      <c r="R73" s="136" t="n"/>
      <c r="S73" s="145" t="n"/>
      <c r="T73" s="76" t="n"/>
      <c r="U73" s="145" t="n"/>
      <c r="V73" s="145" t="n"/>
      <c r="W73" s="1" t="n"/>
      <c r="X73" s="1" t="n"/>
      <c r="Y73" s="1" t="n"/>
      <c r="Z73" s="1" t="n"/>
      <c r="AA73" s="67">
        <f>IF(OR($C73="",$K73=0,$P73=""),"",VALUE(LEFT($P73,1))*100000+N($M73)+ROW()/100000)</f>
        <v/>
      </c>
      <c r="AB73" s="67">
        <f>IF(OR($C73="",$K73=0,$AE73=""),"",$M73+ROW()/100000)</f>
        <v/>
      </c>
      <c r="AC73" s="41">
        <f t="array" ref="AC73">IF($C73="","",IFERROR(INDEX(Disponibilidad!$O$6:$O$18,MATCH($L73,Disponibilidad!$B$6:$B$18,0)),"Hogar"))</f>
        <v/>
      </c>
      <c r="AD73" s="74">
        <f>IF($C73="","",SUMIFS(Caja!$H$6:$H$505,Caja!$J$6:$J$505,$A73,Caja!$C$6:$C$505,"Pago"))</f>
        <v/>
      </c>
      <c r="AE73" s="136">
        <f>IF($C73="","",IF(N($R73)&gt;0,$R73,$H73))</f>
        <v/>
      </c>
      <c r="AF73" s="1" t="n"/>
      <c r="AG73" s="1" t="n"/>
      <c r="AH73" s="1" t="n"/>
      <c r="AI73" s="1" t="n"/>
      <c r="AJ73" s="1" t="n"/>
      <c r="AK73" s="1" t="n"/>
    </row>
    <row r="74" ht="15" customHeight="1" s="311">
      <c r="A74" s="41">
        <f>IF($C74="","",ROW()-5)</f>
        <v/>
      </c>
      <c r="B74" s="146" t="n"/>
      <c r="C74" s="146" t="n"/>
      <c r="D74" s="146" t="n"/>
      <c r="E74" s="146" t="n"/>
      <c r="F74" s="146" t="n"/>
      <c r="G74" s="136" t="n"/>
      <c r="H74" s="136" t="n"/>
      <c r="I74" s="76" t="n"/>
      <c r="J74" s="76" t="n"/>
      <c r="K74" s="57">
        <f>IF($C74="","",IF($B74="Pagada",0,ROUND(MAX(0,N($I74)+N($T74)-N($J74)-N($AD74)),2)))</f>
        <v/>
      </c>
      <c r="L74" s="146" t="n"/>
      <c r="M74" s="59">
        <f>IF(OR($C74="",$AE74="",$K74=0),"",$AE74-TODAY())</f>
        <v/>
      </c>
      <c r="N74" s="62">
        <f>IF($C74="","",IF($K74=0,"✅ Saldada",IF($M74="","",IF($M74&lt;0,IF(N($R74)&gt;0,"🔴 APLAZADA VENCIDA","🔴 VENCIDA"),IF(N($R74)&gt;0,"🕓 Aplazada",IF($M74&lt;=3,"🟠 ≤3 días",IF($M74&lt;=7,"🟡 ≤7 días",IF($M74&lt;=30,"🔵 ≤30 días","⚪ &gt;30 días"))))))))</f>
        <v/>
      </c>
      <c r="O74" s="64">
        <f>IF($AE74="","",TEXT($AE74,"YYYY-MM"))</f>
        <v/>
      </c>
      <c r="P74" s="83" t="n"/>
      <c r="Q74" s="145" t="n"/>
      <c r="R74" s="136" t="n"/>
      <c r="S74" s="145" t="n"/>
      <c r="T74" s="76" t="n"/>
      <c r="U74" s="145" t="n"/>
      <c r="V74" s="145" t="n"/>
      <c r="W74" s="1" t="n"/>
      <c r="X74" s="1" t="n"/>
      <c r="Y74" s="1" t="n"/>
      <c r="Z74" s="1" t="n"/>
      <c r="AA74" s="67">
        <f>IF(OR($C74="",$K74=0,$P74=""),"",VALUE(LEFT($P74,1))*100000+N($M74)+ROW()/100000)</f>
        <v/>
      </c>
      <c r="AB74" s="67">
        <f>IF(OR($C74="",$K74=0,$AE74=""),"",$M74+ROW()/100000)</f>
        <v/>
      </c>
      <c r="AC74" s="41">
        <f t="array" ref="AC74">IF($C74="","",IFERROR(INDEX(Disponibilidad!$O$6:$O$18,MATCH($L74,Disponibilidad!$B$6:$B$18,0)),"Hogar"))</f>
        <v/>
      </c>
      <c r="AD74" s="74">
        <f>IF($C74="","",SUMIFS(Caja!$H$6:$H$505,Caja!$J$6:$J$505,$A74,Caja!$C$6:$C$505,"Pago"))</f>
        <v/>
      </c>
      <c r="AE74" s="136">
        <f>IF($C74="","",IF(N($R74)&gt;0,$R74,$H74))</f>
        <v/>
      </c>
      <c r="AF74" s="1" t="n"/>
      <c r="AG74" s="1" t="n"/>
      <c r="AH74" s="1" t="n"/>
      <c r="AI74" s="1" t="n"/>
      <c r="AJ74" s="1" t="n"/>
      <c r="AK74" s="1" t="n"/>
    </row>
    <row r="75" ht="15" customHeight="1" s="311">
      <c r="A75" s="41">
        <f>IF($C75="","",ROW()-5)</f>
        <v/>
      </c>
      <c r="B75" s="146" t="n"/>
      <c r="C75" s="146" t="n"/>
      <c r="D75" s="146" t="n"/>
      <c r="E75" s="146" t="n"/>
      <c r="F75" s="146" t="n"/>
      <c r="G75" s="136" t="n"/>
      <c r="H75" s="136" t="n"/>
      <c r="I75" s="76" t="n"/>
      <c r="J75" s="76" t="n"/>
      <c r="K75" s="57">
        <f>IF($C75="","",IF($B75="Pagada",0,ROUND(MAX(0,N($I75)+N($T75)-N($J75)-N($AD75)),2)))</f>
        <v/>
      </c>
      <c r="L75" s="146" t="n"/>
      <c r="M75" s="59">
        <f>IF(OR($C75="",$AE75="",$K75=0),"",$AE75-TODAY())</f>
        <v/>
      </c>
      <c r="N75" s="62">
        <f>IF($C75="","",IF($K75=0,"✅ Saldada",IF($M75="","",IF($M75&lt;0,IF(N($R75)&gt;0,"🔴 APLAZADA VENCIDA","🔴 VENCIDA"),IF(N($R75)&gt;0,"🕓 Aplazada",IF($M75&lt;=3,"🟠 ≤3 días",IF($M75&lt;=7,"🟡 ≤7 días",IF($M75&lt;=30,"🔵 ≤30 días","⚪ &gt;30 días"))))))))</f>
        <v/>
      </c>
      <c r="O75" s="64">
        <f>IF($AE75="","",TEXT($AE75,"YYYY-MM"))</f>
        <v/>
      </c>
      <c r="P75" s="83" t="n"/>
      <c r="Q75" s="145" t="n"/>
      <c r="R75" s="136" t="n"/>
      <c r="S75" s="145" t="n"/>
      <c r="T75" s="76" t="n"/>
      <c r="U75" s="145" t="n"/>
      <c r="V75" s="145" t="n"/>
      <c r="W75" s="1" t="n"/>
      <c r="X75" s="1" t="n"/>
      <c r="Y75" s="1" t="n"/>
      <c r="Z75" s="1" t="n"/>
      <c r="AA75" s="67">
        <f>IF(OR($C75="",$K75=0,$P75=""),"",VALUE(LEFT($P75,1))*100000+N($M75)+ROW()/100000)</f>
        <v/>
      </c>
      <c r="AB75" s="67">
        <f>IF(OR($C75="",$K75=0,$AE75=""),"",$M75+ROW()/100000)</f>
        <v/>
      </c>
      <c r="AC75" s="41">
        <f t="array" ref="AC75">IF($C75="","",IFERROR(INDEX(Disponibilidad!$O$6:$O$18,MATCH($L75,Disponibilidad!$B$6:$B$18,0)),"Hogar"))</f>
        <v/>
      </c>
      <c r="AD75" s="74">
        <f>IF($C75="","",SUMIFS(Caja!$H$6:$H$505,Caja!$J$6:$J$505,$A75,Caja!$C$6:$C$505,"Pago"))</f>
        <v/>
      </c>
      <c r="AE75" s="136">
        <f>IF($C75="","",IF(N($R75)&gt;0,$R75,$H75))</f>
        <v/>
      </c>
      <c r="AF75" s="1" t="n"/>
      <c r="AG75" s="1" t="n"/>
      <c r="AH75" s="1" t="n"/>
      <c r="AI75" s="1" t="n"/>
      <c r="AJ75" s="1" t="n"/>
      <c r="AK75" s="1" t="n"/>
    </row>
    <row r="76" ht="15" customHeight="1" s="311">
      <c r="A76" s="41">
        <f>IF($C76="","",ROW()-5)</f>
        <v/>
      </c>
      <c r="B76" s="146" t="n"/>
      <c r="C76" s="146" t="n"/>
      <c r="D76" s="146" t="n"/>
      <c r="E76" s="146" t="n"/>
      <c r="F76" s="146" t="n"/>
      <c r="G76" s="136" t="n"/>
      <c r="H76" s="136" t="n"/>
      <c r="I76" s="76" t="n"/>
      <c r="J76" s="76" t="n"/>
      <c r="K76" s="57">
        <f>IF($C76="","",IF($B76="Pagada",0,ROUND(MAX(0,N($I76)+N($T76)-N($J76)-N($AD76)),2)))</f>
        <v/>
      </c>
      <c r="L76" s="146" t="n"/>
      <c r="M76" s="59">
        <f>IF(OR($C76="",$AE76="",$K76=0),"",$AE76-TODAY())</f>
        <v/>
      </c>
      <c r="N76" s="62">
        <f>IF($C76="","",IF($K76=0,"✅ Saldada",IF($M76="","",IF($M76&lt;0,IF(N($R76)&gt;0,"🔴 APLAZADA VENCIDA","🔴 VENCIDA"),IF(N($R76)&gt;0,"🕓 Aplazada",IF($M76&lt;=3,"🟠 ≤3 días",IF($M76&lt;=7,"🟡 ≤7 días",IF($M76&lt;=30,"🔵 ≤30 días","⚪ &gt;30 días"))))))))</f>
        <v/>
      </c>
      <c r="O76" s="64">
        <f>IF($AE76="","",TEXT($AE76,"YYYY-MM"))</f>
        <v/>
      </c>
      <c r="P76" s="83" t="n"/>
      <c r="Q76" s="145" t="n"/>
      <c r="R76" s="136" t="n"/>
      <c r="S76" s="145" t="n"/>
      <c r="T76" s="76" t="n"/>
      <c r="U76" s="145" t="n"/>
      <c r="V76" s="145" t="n"/>
      <c r="W76" s="1" t="n"/>
      <c r="X76" s="1" t="n"/>
      <c r="Y76" s="1" t="n"/>
      <c r="Z76" s="1" t="n"/>
      <c r="AA76" s="67">
        <f>IF(OR($C76="",$K76=0,$P76=""),"",VALUE(LEFT($P76,1))*100000+N($M76)+ROW()/100000)</f>
        <v/>
      </c>
      <c r="AB76" s="67">
        <f>IF(OR($C76="",$K76=0,$AE76=""),"",$M76+ROW()/100000)</f>
        <v/>
      </c>
      <c r="AC76" s="41">
        <f t="array" ref="AC76">IF($C76="","",IFERROR(INDEX(Disponibilidad!$O$6:$O$18,MATCH($L76,Disponibilidad!$B$6:$B$18,0)),"Hogar"))</f>
        <v/>
      </c>
      <c r="AD76" s="74">
        <f>IF($C76="","",SUMIFS(Caja!$H$6:$H$505,Caja!$J$6:$J$505,$A76,Caja!$C$6:$C$505,"Pago"))</f>
        <v/>
      </c>
      <c r="AE76" s="136">
        <f>IF($C76="","",IF(N($R76)&gt;0,$R76,$H76))</f>
        <v/>
      </c>
      <c r="AF76" s="1" t="n"/>
      <c r="AG76" s="1" t="n"/>
      <c r="AH76" s="1" t="n"/>
      <c r="AI76" s="1" t="n"/>
      <c r="AJ76" s="1" t="n"/>
      <c r="AK76" s="1" t="n"/>
    </row>
    <row r="77" ht="15" customHeight="1" s="311">
      <c r="A77" s="41">
        <f>IF($C77="","",ROW()-5)</f>
        <v/>
      </c>
      <c r="B77" s="146" t="n"/>
      <c r="C77" s="146" t="n"/>
      <c r="D77" s="146" t="n"/>
      <c r="E77" s="146" t="n"/>
      <c r="F77" s="146" t="n"/>
      <c r="G77" s="136" t="n"/>
      <c r="H77" s="136" t="n"/>
      <c r="I77" s="76" t="n"/>
      <c r="J77" s="76" t="n"/>
      <c r="K77" s="57">
        <f>IF($C77="","",IF($B77="Pagada",0,ROUND(MAX(0,N($I77)+N($T77)-N($J77)-N($AD77)),2)))</f>
        <v/>
      </c>
      <c r="L77" s="146" t="n"/>
      <c r="M77" s="59">
        <f>IF(OR($C77="",$AE77="",$K77=0),"",$AE77-TODAY())</f>
        <v/>
      </c>
      <c r="N77" s="62">
        <f>IF($C77="","",IF($K77=0,"✅ Saldada",IF($M77="","",IF($M77&lt;0,IF(N($R77)&gt;0,"🔴 APLAZADA VENCIDA","🔴 VENCIDA"),IF(N($R77)&gt;0,"🕓 Aplazada",IF($M77&lt;=3,"🟠 ≤3 días",IF($M77&lt;=7,"🟡 ≤7 días",IF($M77&lt;=30,"🔵 ≤30 días","⚪ &gt;30 días"))))))))</f>
        <v/>
      </c>
      <c r="O77" s="64">
        <f>IF($AE77="","",TEXT($AE77,"YYYY-MM"))</f>
        <v/>
      </c>
      <c r="P77" s="83" t="n"/>
      <c r="Q77" s="145" t="n"/>
      <c r="R77" s="136" t="n"/>
      <c r="S77" s="145" t="n"/>
      <c r="T77" s="76" t="n"/>
      <c r="U77" s="145" t="n"/>
      <c r="V77" s="145" t="n"/>
      <c r="W77" s="1" t="n"/>
      <c r="X77" s="1" t="n"/>
      <c r="Y77" s="1" t="n"/>
      <c r="Z77" s="1" t="n"/>
      <c r="AA77" s="67">
        <f>IF(OR($C77="",$K77=0,$P77=""),"",VALUE(LEFT($P77,1))*100000+N($M77)+ROW()/100000)</f>
        <v/>
      </c>
      <c r="AB77" s="67">
        <f>IF(OR($C77="",$K77=0,$AE77=""),"",$M77+ROW()/100000)</f>
        <v/>
      </c>
      <c r="AC77" s="41">
        <f t="array" ref="AC77">IF($C77="","",IFERROR(INDEX(Disponibilidad!$O$6:$O$18,MATCH($L77,Disponibilidad!$B$6:$B$18,0)),"Hogar"))</f>
        <v/>
      </c>
      <c r="AD77" s="74">
        <f>IF($C77="","",SUMIFS(Caja!$H$6:$H$505,Caja!$J$6:$J$505,$A77,Caja!$C$6:$C$505,"Pago"))</f>
        <v/>
      </c>
      <c r="AE77" s="136">
        <f>IF($C77="","",IF(N($R77)&gt;0,$R77,$H77))</f>
        <v/>
      </c>
      <c r="AF77" s="1" t="n"/>
      <c r="AG77" s="1" t="n"/>
      <c r="AH77" s="1" t="n"/>
      <c r="AI77" s="1" t="n"/>
      <c r="AJ77" s="1" t="n"/>
      <c r="AK77" s="1" t="n"/>
    </row>
    <row r="78" ht="15" customHeight="1" s="311">
      <c r="A78" s="41">
        <f>IF($C78="","",ROW()-5)</f>
        <v/>
      </c>
      <c r="B78" s="146" t="n"/>
      <c r="C78" s="146" t="n"/>
      <c r="D78" s="146" t="n"/>
      <c r="E78" s="146" t="n"/>
      <c r="F78" s="146" t="n"/>
      <c r="G78" s="136" t="n"/>
      <c r="H78" s="136" t="n"/>
      <c r="I78" s="76" t="n"/>
      <c r="J78" s="76" t="n"/>
      <c r="K78" s="57">
        <f>IF($C78="","",IF($B78="Pagada",0,ROUND(MAX(0,N($I78)+N($T78)-N($J78)-N($AD78)),2)))</f>
        <v/>
      </c>
      <c r="L78" s="146" t="n"/>
      <c r="M78" s="59">
        <f>IF(OR($C78="",$AE78="",$K78=0),"",$AE78-TODAY())</f>
        <v/>
      </c>
      <c r="N78" s="62">
        <f>IF($C78="","",IF($K78=0,"✅ Saldada",IF($M78="","",IF($M78&lt;0,IF(N($R78)&gt;0,"🔴 APLAZADA VENCIDA","🔴 VENCIDA"),IF(N($R78)&gt;0,"🕓 Aplazada",IF($M78&lt;=3,"🟠 ≤3 días",IF($M78&lt;=7,"🟡 ≤7 días",IF($M78&lt;=30,"🔵 ≤30 días","⚪ &gt;30 días"))))))))</f>
        <v/>
      </c>
      <c r="O78" s="64">
        <f>IF($AE78="","",TEXT($AE78,"YYYY-MM"))</f>
        <v/>
      </c>
      <c r="P78" s="83" t="n"/>
      <c r="Q78" s="145" t="n"/>
      <c r="R78" s="136" t="n"/>
      <c r="S78" s="145" t="n"/>
      <c r="T78" s="76" t="n"/>
      <c r="U78" s="145" t="n"/>
      <c r="V78" s="145" t="n"/>
      <c r="W78" s="1" t="n"/>
      <c r="X78" s="1" t="n"/>
      <c r="Y78" s="1" t="n"/>
      <c r="Z78" s="1" t="n"/>
      <c r="AA78" s="67">
        <f>IF(OR($C78="",$K78=0,$P78=""),"",VALUE(LEFT($P78,1))*100000+N($M78)+ROW()/100000)</f>
        <v/>
      </c>
      <c r="AB78" s="67">
        <f>IF(OR($C78="",$K78=0,$AE78=""),"",$M78+ROW()/100000)</f>
        <v/>
      </c>
      <c r="AC78" s="41">
        <f t="array" ref="AC78">IF($C78="","",IFERROR(INDEX(Disponibilidad!$O$6:$O$18,MATCH($L78,Disponibilidad!$B$6:$B$18,0)),"Hogar"))</f>
        <v/>
      </c>
      <c r="AD78" s="74">
        <f>IF($C78="","",SUMIFS(Caja!$H$6:$H$505,Caja!$J$6:$J$505,$A78,Caja!$C$6:$C$505,"Pago"))</f>
        <v/>
      </c>
      <c r="AE78" s="136">
        <f>IF($C78="","",IF(N($R78)&gt;0,$R78,$H78))</f>
        <v/>
      </c>
      <c r="AF78" s="1" t="n"/>
      <c r="AG78" s="1" t="n"/>
      <c r="AH78" s="1" t="n"/>
      <c r="AI78" s="1" t="n"/>
      <c r="AJ78" s="1" t="n"/>
      <c r="AK78" s="1" t="n"/>
    </row>
    <row r="79" ht="15" customHeight="1" s="311">
      <c r="A79" s="41">
        <f>IF($C79="","",ROW()-5)</f>
        <v/>
      </c>
      <c r="B79" s="146" t="n"/>
      <c r="C79" s="146" t="n"/>
      <c r="D79" s="146" t="n"/>
      <c r="E79" s="146" t="n"/>
      <c r="F79" s="146" t="n"/>
      <c r="G79" s="136" t="n"/>
      <c r="H79" s="136" t="n"/>
      <c r="I79" s="76" t="n"/>
      <c r="J79" s="76" t="n"/>
      <c r="K79" s="57">
        <f>IF($C79="","",IF($B79="Pagada",0,ROUND(MAX(0,N($I79)+N($T79)-N($J79)-N($AD79)),2)))</f>
        <v/>
      </c>
      <c r="L79" s="146" t="n"/>
      <c r="M79" s="59">
        <f>IF(OR($C79="",$AE79="",$K79=0),"",$AE79-TODAY())</f>
        <v/>
      </c>
      <c r="N79" s="62">
        <f>IF($C79="","",IF($K79=0,"✅ Saldada",IF($M79="","",IF($M79&lt;0,IF(N($R79)&gt;0,"🔴 APLAZADA VENCIDA","🔴 VENCIDA"),IF(N($R79)&gt;0,"🕓 Aplazada",IF($M79&lt;=3,"🟠 ≤3 días",IF($M79&lt;=7,"🟡 ≤7 días",IF($M79&lt;=30,"🔵 ≤30 días","⚪ &gt;30 días"))))))))</f>
        <v/>
      </c>
      <c r="O79" s="64">
        <f>IF($AE79="","",TEXT($AE79,"YYYY-MM"))</f>
        <v/>
      </c>
      <c r="P79" s="83" t="n"/>
      <c r="Q79" s="145" t="n"/>
      <c r="R79" s="136" t="n"/>
      <c r="S79" s="145" t="n"/>
      <c r="T79" s="76" t="n"/>
      <c r="U79" s="145" t="n"/>
      <c r="V79" s="145" t="n"/>
      <c r="W79" s="1" t="n"/>
      <c r="X79" s="1" t="n"/>
      <c r="Y79" s="1" t="n"/>
      <c r="Z79" s="1" t="n"/>
      <c r="AA79" s="67">
        <f>IF(OR($C79="",$K79=0,$P79=""),"",VALUE(LEFT($P79,1))*100000+N($M79)+ROW()/100000)</f>
        <v/>
      </c>
      <c r="AB79" s="67">
        <f>IF(OR($C79="",$K79=0,$AE79=""),"",$M79+ROW()/100000)</f>
        <v/>
      </c>
      <c r="AC79" s="41">
        <f t="array" ref="AC79">IF($C79="","",IFERROR(INDEX(Disponibilidad!$O$6:$O$18,MATCH($L79,Disponibilidad!$B$6:$B$18,0)),"Hogar"))</f>
        <v/>
      </c>
      <c r="AD79" s="74">
        <f>IF($C79="","",SUMIFS(Caja!$H$6:$H$505,Caja!$J$6:$J$505,$A79,Caja!$C$6:$C$505,"Pago"))</f>
        <v/>
      </c>
      <c r="AE79" s="136">
        <f>IF($C79="","",IF(N($R79)&gt;0,$R79,$H79))</f>
        <v/>
      </c>
      <c r="AF79" s="1" t="n"/>
      <c r="AG79" s="1" t="n"/>
      <c r="AH79" s="1" t="n"/>
      <c r="AI79" s="1" t="n"/>
      <c r="AJ79" s="1" t="n"/>
      <c r="AK79" s="1" t="n"/>
    </row>
    <row r="80" ht="15" customHeight="1" s="311">
      <c r="A80" s="41">
        <f>IF($C80="","",ROW()-5)</f>
        <v/>
      </c>
      <c r="B80" s="146" t="n"/>
      <c r="C80" s="146" t="n"/>
      <c r="D80" s="146" t="n"/>
      <c r="E80" s="146" t="n"/>
      <c r="F80" s="146" t="n"/>
      <c r="G80" s="136" t="n"/>
      <c r="H80" s="136" t="n"/>
      <c r="I80" s="76" t="n"/>
      <c r="J80" s="76" t="n"/>
      <c r="K80" s="57">
        <f>IF($C80="","",IF($B80="Pagada",0,ROUND(MAX(0,N($I80)+N($T80)-N($J80)-N($AD80)),2)))</f>
        <v/>
      </c>
      <c r="L80" s="146" t="n"/>
      <c r="M80" s="59">
        <f>IF(OR($C80="",$AE80="",$K80=0),"",$AE80-TODAY())</f>
        <v/>
      </c>
      <c r="N80" s="62">
        <f>IF($C80="","",IF($K80=0,"✅ Saldada",IF($M80="","",IF($M80&lt;0,IF(N($R80)&gt;0,"🔴 APLAZADA VENCIDA","🔴 VENCIDA"),IF(N($R80)&gt;0,"🕓 Aplazada",IF($M80&lt;=3,"🟠 ≤3 días",IF($M80&lt;=7,"🟡 ≤7 días",IF($M80&lt;=30,"🔵 ≤30 días","⚪ &gt;30 días"))))))))</f>
        <v/>
      </c>
      <c r="O80" s="64">
        <f>IF($AE80="","",TEXT($AE80,"YYYY-MM"))</f>
        <v/>
      </c>
      <c r="P80" s="83" t="n"/>
      <c r="Q80" s="145" t="n"/>
      <c r="R80" s="136" t="n"/>
      <c r="S80" s="145" t="n"/>
      <c r="T80" s="76" t="n"/>
      <c r="U80" s="145" t="n"/>
      <c r="V80" s="145" t="n"/>
      <c r="W80" s="1" t="n"/>
      <c r="X80" s="1" t="n"/>
      <c r="Y80" s="1" t="n"/>
      <c r="Z80" s="1" t="n"/>
      <c r="AA80" s="67">
        <f>IF(OR($C80="",$K80=0,$P80=""),"",VALUE(LEFT($P80,1))*100000+N($M80)+ROW()/100000)</f>
        <v/>
      </c>
      <c r="AB80" s="67">
        <f>IF(OR($C80="",$K80=0,$AE80=""),"",$M80+ROW()/100000)</f>
        <v/>
      </c>
      <c r="AC80" s="41">
        <f t="array" ref="AC80">IF($C80="","",IFERROR(INDEX(Disponibilidad!$O$6:$O$18,MATCH($L80,Disponibilidad!$B$6:$B$18,0)),"Hogar"))</f>
        <v/>
      </c>
      <c r="AD80" s="74">
        <f>IF($C80="","",SUMIFS(Caja!$H$6:$H$505,Caja!$J$6:$J$505,$A80,Caja!$C$6:$C$505,"Pago"))</f>
        <v/>
      </c>
      <c r="AE80" s="136">
        <f>IF($C80="","",IF(N($R80)&gt;0,$R80,$H80))</f>
        <v/>
      </c>
      <c r="AF80" s="1" t="n"/>
      <c r="AG80" s="1" t="n"/>
      <c r="AH80" s="1" t="n"/>
      <c r="AI80" s="1" t="n"/>
      <c r="AJ80" s="1" t="n"/>
      <c r="AK80" s="1" t="n"/>
    </row>
    <row r="81" ht="15" customHeight="1" s="311">
      <c r="A81" s="41">
        <f>IF($C81="","",ROW()-5)</f>
        <v/>
      </c>
      <c r="B81" s="146" t="n"/>
      <c r="C81" s="146" t="n"/>
      <c r="D81" s="146" t="n"/>
      <c r="E81" s="146" t="n"/>
      <c r="F81" s="146" t="n"/>
      <c r="G81" s="136" t="n"/>
      <c r="H81" s="136" t="n"/>
      <c r="I81" s="76" t="n"/>
      <c r="J81" s="76" t="n"/>
      <c r="K81" s="57">
        <f>IF($C81="","",IF($B81="Pagada",0,ROUND(MAX(0,N($I81)+N($T81)-N($J81)-N($AD81)),2)))</f>
        <v/>
      </c>
      <c r="L81" s="146" t="n"/>
      <c r="M81" s="59">
        <f>IF(OR($C81="",$AE81="",$K81=0),"",$AE81-TODAY())</f>
        <v/>
      </c>
      <c r="N81" s="62">
        <f>IF($C81="","",IF($K81=0,"✅ Saldada",IF($M81="","",IF($M81&lt;0,IF(N($R81)&gt;0,"🔴 APLAZADA VENCIDA","🔴 VENCIDA"),IF(N($R81)&gt;0,"🕓 Aplazada",IF($M81&lt;=3,"🟠 ≤3 días",IF($M81&lt;=7,"🟡 ≤7 días",IF($M81&lt;=30,"🔵 ≤30 días","⚪ &gt;30 días"))))))))</f>
        <v/>
      </c>
      <c r="O81" s="64">
        <f>IF($AE81="","",TEXT($AE81,"YYYY-MM"))</f>
        <v/>
      </c>
      <c r="P81" s="83" t="n"/>
      <c r="Q81" s="145" t="n"/>
      <c r="R81" s="136" t="n"/>
      <c r="S81" s="145" t="n"/>
      <c r="T81" s="76" t="n"/>
      <c r="U81" s="145" t="n"/>
      <c r="V81" s="145" t="n"/>
      <c r="W81" s="1" t="n"/>
      <c r="X81" s="1" t="n"/>
      <c r="Y81" s="1" t="n"/>
      <c r="Z81" s="1" t="n"/>
      <c r="AA81" s="67">
        <f>IF(OR($C81="",$K81=0,$P81=""),"",VALUE(LEFT($P81,1))*100000+N($M81)+ROW()/100000)</f>
        <v/>
      </c>
      <c r="AB81" s="67">
        <f>IF(OR($C81="",$K81=0,$AE81=""),"",$M81+ROW()/100000)</f>
        <v/>
      </c>
      <c r="AC81" s="41">
        <f t="array" ref="AC81">IF($C81="","",IFERROR(INDEX(Disponibilidad!$O$6:$O$18,MATCH($L81,Disponibilidad!$B$6:$B$18,0)),"Hogar"))</f>
        <v/>
      </c>
      <c r="AD81" s="74">
        <f>IF($C81="","",SUMIFS(Caja!$H$6:$H$505,Caja!$J$6:$J$505,$A81,Caja!$C$6:$C$505,"Pago"))</f>
        <v/>
      </c>
      <c r="AE81" s="136">
        <f>IF($C81="","",IF(N($R81)&gt;0,$R81,$H81))</f>
        <v/>
      </c>
      <c r="AF81" s="1" t="n"/>
      <c r="AG81" s="1" t="n"/>
      <c r="AH81" s="1" t="n"/>
      <c r="AI81" s="1" t="n"/>
      <c r="AJ81" s="1" t="n"/>
      <c r="AK81" s="1" t="n"/>
    </row>
    <row r="82" ht="15" customHeight="1" s="311">
      <c r="A82" s="41">
        <f>IF($C82="","",ROW()-5)</f>
        <v/>
      </c>
      <c r="B82" s="146" t="n"/>
      <c r="C82" s="146" t="n"/>
      <c r="D82" s="146" t="n"/>
      <c r="E82" s="146" t="n"/>
      <c r="F82" s="146" t="n"/>
      <c r="G82" s="136" t="n"/>
      <c r="H82" s="136" t="n"/>
      <c r="I82" s="76" t="n"/>
      <c r="J82" s="76" t="n"/>
      <c r="K82" s="57">
        <f>IF($C82="","",IF($B82="Pagada",0,ROUND(MAX(0,N($I82)+N($T82)-N($J82)-N($AD82)),2)))</f>
        <v/>
      </c>
      <c r="L82" s="146" t="n"/>
      <c r="M82" s="59">
        <f>IF(OR($C82="",$AE82="",$K82=0),"",$AE82-TODAY())</f>
        <v/>
      </c>
      <c r="N82" s="62">
        <f>IF($C82="","",IF($K82=0,"✅ Saldada",IF($M82="","",IF($M82&lt;0,IF(N($R82)&gt;0,"🔴 APLAZADA VENCIDA","🔴 VENCIDA"),IF(N($R82)&gt;0,"🕓 Aplazada",IF($M82&lt;=3,"🟠 ≤3 días",IF($M82&lt;=7,"🟡 ≤7 días",IF($M82&lt;=30,"🔵 ≤30 días","⚪ &gt;30 días"))))))))</f>
        <v/>
      </c>
      <c r="O82" s="64">
        <f>IF($AE82="","",TEXT($AE82,"YYYY-MM"))</f>
        <v/>
      </c>
      <c r="P82" s="83" t="n"/>
      <c r="Q82" s="145" t="n"/>
      <c r="R82" s="136" t="n"/>
      <c r="S82" s="145" t="n"/>
      <c r="T82" s="76" t="n"/>
      <c r="U82" s="145" t="n"/>
      <c r="V82" s="145" t="n"/>
      <c r="W82" s="1" t="n"/>
      <c r="X82" s="1" t="n"/>
      <c r="Y82" s="1" t="n"/>
      <c r="Z82" s="1" t="n"/>
      <c r="AA82" s="67">
        <f>IF(OR($C82="",$K82=0,$P82=""),"",VALUE(LEFT($P82,1))*100000+N($M82)+ROW()/100000)</f>
        <v/>
      </c>
      <c r="AB82" s="67">
        <f>IF(OR($C82="",$K82=0,$AE82=""),"",$M82+ROW()/100000)</f>
        <v/>
      </c>
      <c r="AC82" s="41">
        <f t="array" ref="AC82">IF($C82="","",IFERROR(INDEX(Disponibilidad!$O$6:$O$18,MATCH($L82,Disponibilidad!$B$6:$B$18,0)),"Hogar"))</f>
        <v/>
      </c>
      <c r="AD82" s="74">
        <f>IF($C82="","",SUMIFS(Caja!$H$6:$H$505,Caja!$J$6:$J$505,$A82,Caja!$C$6:$C$505,"Pago"))</f>
        <v/>
      </c>
      <c r="AE82" s="136">
        <f>IF($C82="","",IF(N($R82)&gt;0,$R82,$H82))</f>
        <v/>
      </c>
      <c r="AF82" s="1" t="n"/>
      <c r="AG82" s="1" t="n"/>
      <c r="AH82" s="1" t="n"/>
      <c r="AI82" s="1" t="n"/>
      <c r="AJ82" s="1" t="n"/>
      <c r="AK82" s="1" t="n"/>
    </row>
    <row r="83" ht="15" customHeight="1" s="311">
      <c r="A83" s="41">
        <f>IF($C83="","",ROW()-5)</f>
        <v/>
      </c>
      <c r="B83" s="146" t="n"/>
      <c r="C83" s="146" t="n"/>
      <c r="D83" s="146" t="n"/>
      <c r="E83" s="146" t="n"/>
      <c r="F83" s="146" t="n"/>
      <c r="G83" s="136" t="n"/>
      <c r="H83" s="136" t="n"/>
      <c r="I83" s="76" t="n"/>
      <c r="J83" s="76" t="n"/>
      <c r="K83" s="57">
        <f>IF($C83="","",IF($B83="Pagada",0,ROUND(MAX(0,N($I83)+N($T83)-N($J83)-N($AD83)),2)))</f>
        <v/>
      </c>
      <c r="L83" s="146" t="n"/>
      <c r="M83" s="59">
        <f>IF(OR($C83="",$AE83="",$K83=0),"",$AE83-TODAY())</f>
        <v/>
      </c>
      <c r="N83" s="62">
        <f>IF($C83="","",IF($K83=0,"✅ Saldada",IF($M83="","",IF($M83&lt;0,IF(N($R83)&gt;0,"🔴 APLAZADA VENCIDA","🔴 VENCIDA"),IF(N($R83)&gt;0,"🕓 Aplazada",IF($M83&lt;=3,"🟠 ≤3 días",IF($M83&lt;=7,"🟡 ≤7 días",IF($M83&lt;=30,"🔵 ≤30 días","⚪ &gt;30 días"))))))))</f>
        <v/>
      </c>
      <c r="O83" s="64">
        <f>IF($AE83="","",TEXT($AE83,"YYYY-MM"))</f>
        <v/>
      </c>
      <c r="P83" s="83" t="n"/>
      <c r="Q83" s="145" t="n"/>
      <c r="R83" s="136" t="n"/>
      <c r="S83" s="145" t="n"/>
      <c r="T83" s="76" t="n"/>
      <c r="U83" s="145" t="n"/>
      <c r="V83" s="145" t="n"/>
      <c r="W83" s="1" t="n"/>
      <c r="X83" s="1" t="n"/>
      <c r="Y83" s="1" t="n"/>
      <c r="Z83" s="1" t="n"/>
      <c r="AA83" s="67">
        <f>IF(OR($C83="",$K83=0,$P83=""),"",VALUE(LEFT($P83,1))*100000+N($M83)+ROW()/100000)</f>
        <v/>
      </c>
      <c r="AB83" s="67">
        <f>IF(OR($C83="",$K83=0,$AE83=""),"",$M83+ROW()/100000)</f>
        <v/>
      </c>
      <c r="AC83" s="41">
        <f t="array" ref="AC83">IF($C83="","",IFERROR(INDEX(Disponibilidad!$O$6:$O$18,MATCH($L83,Disponibilidad!$B$6:$B$18,0)),"Hogar"))</f>
        <v/>
      </c>
      <c r="AD83" s="74">
        <f>IF($C83="","",SUMIFS(Caja!$H$6:$H$505,Caja!$J$6:$J$505,$A83,Caja!$C$6:$C$505,"Pago"))</f>
        <v/>
      </c>
      <c r="AE83" s="136">
        <f>IF($C83="","",IF(N($R83)&gt;0,$R83,$H83))</f>
        <v/>
      </c>
      <c r="AF83" s="1" t="n"/>
      <c r="AG83" s="1" t="n"/>
      <c r="AH83" s="1" t="n"/>
      <c r="AI83" s="1" t="n"/>
      <c r="AJ83" s="1" t="n"/>
      <c r="AK83" s="1" t="n"/>
    </row>
    <row r="84" ht="15" customHeight="1" s="311">
      <c r="A84" s="41">
        <f>IF($C84="","",ROW()-5)</f>
        <v/>
      </c>
      <c r="B84" s="146" t="n"/>
      <c r="C84" s="146" t="n"/>
      <c r="D84" s="146" t="n"/>
      <c r="E84" s="146" t="n"/>
      <c r="F84" s="146" t="n"/>
      <c r="G84" s="136" t="n"/>
      <c r="H84" s="136" t="n"/>
      <c r="I84" s="76" t="n"/>
      <c r="J84" s="76" t="n"/>
      <c r="K84" s="57">
        <f>IF($C84="","",IF($B84="Pagada",0,ROUND(MAX(0,N($I84)+N($T84)-N($J84)-N($AD84)),2)))</f>
        <v/>
      </c>
      <c r="L84" s="146" t="n"/>
      <c r="M84" s="59">
        <f>IF(OR($C84="",$AE84="",$K84=0),"",$AE84-TODAY())</f>
        <v/>
      </c>
      <c r="N84" s="62">
        <f>IF($C84="","",IF($K84=0,"✅ Saldada",IF($M84="","",IF($M84&lt;0,IF(N($R84)&gt;0,"🔴 APLAZADA VENCIDA","🔴 VENCIDA"),IF(N($R84)&gt;0,"🕓 Aplazada",IF($M84&lt;=3,"🟠 ≤3 días",IF($M84&lt;=7,"🟡 ≤7 días",IF($M84&lt;=30,"🔵 ≤30 días","⚪ &gt;30 días"))))))))</f>
        <v/>
      </c>
      <c r="O84" s="64">
        <f>IF($AE84="","",TEXT($AE84,"YYYY-MM"))</f>
        <v/>
      </c>
      <c r="P84" s="83" t="n"/>
      <c r="Q84" s="145" t="n"/>
      <c r="R84" s="136" t="n"/>
      <c r="S84" s="145" t="n"/>
      <c r="T84" s="76" t="n"/>
      <c r="U84" s="145" t="n"/>
      <c r="V84" s="145" t="n"/>
      <c r="W84" s="1" t="n"/>
      <c r="X84" s="1" t="n"/>
      <c r="Y84" s="1" t="n"/>
      <c r="Z84" s="1" t="n"/>
      <c r="AA84" s="67">
        <f>IF(OR($C84="",$K84=0,$P84=""),"",VALUE(LEFT($P84,1))*100000+N($M84)+ROW()/100000)</f>
        <v/>
      </c>
      <c r="AB84" s="67">
        <f>IF(OR($C84="",$K84=0,$AE84=""),"",$M84+ROW()/100000)</f>
        <v/>
      </c>
      <c r="AC84" s="41">
        <f t="array" ref="AC84">IF($C84="","",IFERROR(INDEX(Disponibilidad!$O$6:$O$18,MATCH($L84,Disponibilidad!$B$6:$B$18,0)),"Hogar"))</f>
        <v/>
      </c>
      <c r="AD84" s="74">
        <f>IF($C84="","",SUMIFS(Caja!$H$6:$H$505,Caja!$J$6:$J$505,$A84,Caja!$C$6:$C$505,"Pago"))</f>
        <v/>
      </c>
      <c r="AE84" s="136">
        <f>IF($C84="","",IF(N($R84)&gt;0,$R84,$H84))</f>
        <v/>
      </c>
      <c r="AF84" s="1" t="n"/>
      <c r="AG84" s="1" t="n"/>
      <c r="AH84" s="1" t="n"/>
      <c r="AI84" s="1" t="n"/>
      <c r="AJ84" s="1" t="n"/>
      <c r="AK84" s="1" t="n"/>
    </row>
    <row r="85" ht="15" customHeight="1" s="311">
      <c r="A85" s="41">
        <f>IF($C85="","",ROW()-5)</f>
        <v/>
      </c>
      <c r="B85" s="146" t="n"/>
      <c r="C85" s="146" t="n"/>
      <c r="D85" s="146" t="n"/>
      <c r="E85" s="146" t="n"/>
      <c r="F85" s="146" t="n"/>
      <c r="G85" s="136" t="n"/>
      <c r="H85" s="136" t="n"/>
      <c r="I85" s="76" t="n"/>
      <c r="J85" s="76" t="n"/>
      <c r="K85" s="57">
        <f>IF($C85="","",IF($B85="Pagada",0,ROUND(MAX(0,N($I85)+N($T85)-N($J85)-N($AD85)),2)))</f>
        <v/>
      </c>
      <c r="L85" s="146" t="n"/>
      <c r="M85" s="59">
        <f>IF(OR($C85="",$AE85="",$K85=0),"",$AE85-TODAY())</f>
        <v/>
      </c>
      <c r="N85" s="62">
        <f>IF($C85="","",IF($K85=0,"✅ Saldada",IF($M85="","",IF($M85&lt;0,IF(N($R85)&gt;0,"🔴 APLAZADA VENCIDA","🔴 VENCIDA"),IF(N($R85)&gt;0,"🕓 Aplazada",IF($M85&lt;=3,"🟠 ≤3 días",IF($M85&lt;=7,"🟡 ≤7 días",IF($M85&lt;=30,"🔵 ≤30 días","⚪ &gt;30 días"))))))))</f>
        <v/>
      </c>
      <c r="O85" s="64">
        <f>IF($AE85="","",TEXT($AE85,"YYYY-MM"))</f>
        <v/>
      </c>
      <c r="P85" s="83" t="n"/>
      <c r="Q85" s="145" t="n"/>
      <c r="R85" s="136" t="n"/>
      <c r="S85" s="145" t="n"/>
      <c r="T85" s="76" t="n"/>
      <c r="U85" s="145" t="n"/>
      <c r="V85" s="145" t="n"/>
      <c r="W85" s="1" t="n"/>
      <c r="X85" s="1" t="n"/>
      <c r="Y85" s="1" t="n"/>
      <c r="Z85" s="1" t="n"/>
      <c r="AA85" s="67">
        <f>IF(OR($C85="",$K85=0,$P85=""),"",VALUE(LEFT($P85,1))*100000+N($M85)+ROW()/100000)</f>
        <v/>
      </c>
      <c r="AB85" s="67">
        <f>IF(OR($C85="",$K85=0,$AE85=""),"",$M85+ROW()/100000)</f>
        <v/>
      </c>
      <c r="AC85" s="41">
        <f t="array" ref="AC85">IF($C85="","",IFERROR(INDEX(Disponibilidad!$O$6:$O$18,MATCH($L85,Disponibilidad!$B$6:$B$18,0)),"Hogar"))</f>
        <v/>
      </c>
      <c r="AD85" s="74">
        <f>IF($C85="","",SUMIFS(Caja!$H$6:$H$505,Caja!$J$6:$J$505,$A85,Caja!$C$6:$C$505,"Pago"))</f>
        <v/>
      </c>
      <c r="AE85" s="136">
        <f>IF($C85="","",IF(N($R85)&gt;0,$R85,$H85))</f>
        <v/>
      </c>
      <c r="AF85" s="1" t="n"/>
      <c r="AG85" s="1" t="n"/>
      <c r="AH85" s="1" t="n"/>
      <c r="AI85" s="1" t="n"/>
      <c r="AJ85" s="1" t="n"/>
      <c r="AK85" s="1" t="n"/>
    </row>
    <row r="86" ht="15" customHeight="1" s="311">
      <c r="A86" s="41">
        <f>IF($C86="","",ROW()-5)</f>
        <v/>
      </c>
      <c r="B86" s="146" t="n"/>
      <c r="C86" s="146" t="n"/>
      <c r="D86" s="146" t="n"/>
      <c r="E86" s="146" t="n"/>
      <c r="F86" s="146" t="n"/>
      <c r="G86" s="136" t="n"/>
      <c r="H86" s="136" t="n"/>
      <c r="I86" s="76" t="n"/>
      <c r="J86" s="76" t="n"/>
      <c r="K86" s="57">
        <f>IF($C86="","",IF($B86="Pagada",0,ROUND(MAX(0,N($I86)+N($T86)-N($J86)-N($AD86)),2)))</f>
        <v/>
      </c>
      <c r="L86" s="146" t="n"/>
      <c r="M86" s="59">
        <f>IF(OR($C86="",$AE86="",$K86=0),"",$AE86-TODAY())</f>
        <v/>
      </c>
      <c r="N86" s="62">
        <f>IF($C86="","",IF($K86=0,"✅ Saldada",IF($M86="","",IF($M86&lt;0,IF(N($R86)&gt;0,"🔴 APLAZADA VENCIDA","🔴 VENCIDA"),IF(N($R86)&gt;0,"🕓 Aplazada",IF($M86&lt;=3,"🟠 ≤3 días",IF($M86&lt;=7,"🟡 ≤7 días",IF($M86&lt;=30,"🔵 ≤30 días","⚪ &gt;30 días"))))))))</f>
        <v/>
      </c>
      <c r="O86" s="64">
        <f>IF($AE86="","",TEXT($AE86,"YYYY-MM"))</f>
        <v/>
      </c>
      <c r="P86" s="83" t="n"/>
      <c r="Q86" s="145" t="n"/>
      <c r="R86" s="136" t="n"/>
      <c r="S86" s="145" t="n"/>
      <c r="T86" s="76" t="n"/>
      <c r="U86" s="145" t="n"/>
      <c r="V86" s="145" t="n"/>
      <c r="W86" s="1" t="n"/>
      <c r="X86" s="1" t="n"/>
      <c r="Y86" s="1" t="n"/>
      <c r="Z86" s="1" t="n"/>
      <c r="AA86" s="67">
        <f>IF(OR($C86="",$K86=0,$P86=""),"",VALUE(LEFT($P86,1))*100000+N($M86)+ROW()/100000)</f>
        <v/>
      </c>
      <c r="AB86" s="67">
        <f>IF(OR($C86="",$K86=0,$AE86=""),"",$M86+ROW()/100000)</f>
        <v/>
      </c>
      <c r="AC86" s="41">
        <f t="array" ref="AC86">IF($C86="","",IFERROR(INDEX(Disponibilidad!$O$6:$O$18,MATCH($L86,Disponibilidad!$B$6:$B$18,0)),"Hogar"))</f>
        <v/>
      </c>
      <c r="AD86" s="74">
        <f>IF($C86="","",SUMIFS(Caja!$H$6:$H$505,Caja!$J$6:$J$505,$A86,Caja!$C$6:$C$505,"Pago"))</f>
        <v/>
      </c>
      <c r="AE86" s="136">
        <f>IF($C86="","",IF(N($R86)&gt;0,$R86,$H86))</f>
        <v/>
      </c>
      <c r="AF86" s="1" t="n"/>
      <c r="AG86" s="1" t="n"/>
      <c r="AH86" s="1" t="n"/>
      <c r="AI86" s="1" t="n"/>
      <c r="AJ86" s="1" t="n"/>
      <c r="AK86" s="1" t="n"/>
    </row>
    <row r="87" ht="15" customHeight="1" s="311">
      <c r="A87" s="41">
        <f>IF($C87="","",ROW()-5)</f>
        <v/>
      </c>
      <c r="B87" s="146" t="n"/>
      <c r="C87" s="146" t="n"/>
      <c r="D87" s="146" t="n"/>
      <c r="E87" s="146" t="n"/>
      <c r="F87" s="146" t="n"/>
      <c r="G87" s="136" t="n"/>
      <c r="H87" s="136" t="n"/>
      <c r="I87" s="76" t="n"/>
      <c r="J87" s="76" t="n"/>
      <c r="K87" s="57">
        <f>IF($C87="","",IF($B87="Pagada",0,ROUND(MAX(0,N($I87)+N($T87)-N($J87)-N($AD87)),2)))</f>
        <v/>
      </c>
      <c r="L87" s="146" t="n"/>
      <c r="M87" s="59">
        <f>IF(OR($C87="",$AE87="",$K87=0),"",$AE87-TODAY())</f>
        <v/>
      </c>
      <c r="N87" s="62">
        <f>IF($C87="","",IF($K87=0,"✅ Saldada",IF($M87="","",IF($M87&lt;0,IF(N($R87)&gt;0,"🔴 APLAZADA VENCIDA","🔴 VENCIDA"),IF(N($R87)&gt;0,"🕓 Aplazada",IF($M87&lt;=3,"🟠 ≤3 días",IF($M87&lt;=7,"🟡 ≤7 días",IF($M87&lt;=30,"🔵 ≤30 días","⚪ &gt;30 días"))))))))</f>
        <v/>
      </c>
      <c r="O87" s="64">
        <f>IF($AE87="","",TEXT($AE87,"YYYY-MM"))</f>
        <v/>
      </c>
      <c r="P87" s="83" t="n"/>
      <c r="Q87" s="145" t="n"/>
      <c r="R87" s="136" t="n"/>
      <c r="S87" s="145" t="n"/>
      <c r="T87" s="76" t="n"/>
      <c r="U87" s="145" t="n"/>
      <c r="V87" s="145" t="n"/>
      <c r="W87" s="1" t="n"/>
      <c r="X87" s="1" t="n"/>
      <c r="Y87" s="1" t="n"/>
      <c r="Z87" s="1" t="n"/>
      <c r="AA87" s="67">
        <f>IF(OR($C87="",$K87=0,$P87=""),"",VALUE(LEFT($P87,1))*100000+N($M87)+ROW()/100000)</f>
        <v/>
      </c>
      <c r="AB87" s="67">
        <f>IF(OR($C87="",$K87=0,$AE87=""),"",$M87+ROW()/100000)</f>
        <v/>
      </c>
      <c r="AC87" s="41">
        <f t="array" ref="AC87">IF($C87="","",IFERROR(INDEX(Disponibilidad!$O$6:$O$18,MATCH($L87,Disponibilidad!$B$6:$B$18,0)),"Hogar"))</f>
        <v/>
      </c>
      <c r="AD87" s="74">
        <f>IF($C87="","",SUMIFS(Caja!$H$6:$H$505,Caja!$J$6:$J$505,$A87,Caja!$C$6:$C$505,"Pago"))</f>
        <v/>
      </c>
      <c r="AE87" s="136">
        <f>IF($C87="","",IF(N($R87)&gt;0,$R87,$H87))</f>
        <v/>
      </c>
      <c r="AF87" s="1" t="n"/>
      <c r="AG87" s="1" t="n"/>
      <c r="AH87" s="1" t="n"/>
      <c r="AI87" s="1" t="n"/>
      <c r="AJ87" s="1" t="n"/>
      <c r="AK87" s="1" t="n"/>
    </row>
    <row r="88" ht="15" customHeight="1" s="311">
      <c r="A88" s="41">
        <f>IF($C88="","",ROW()-5)</f>
        <v/>
      </c>
      <c r="B88" s="146" t="n"/>
      <c r="C88" s="146" t="n"/>
      <c r="D88" s="146" t="n"/>
      <c r="E88" s="146" t="n"/>
      <c r="F88" s="146" t="n"/>
      <c r="G88" s="136" t="n"/>
      <c r="H88" s="136" t="n"/>
      <c r="I88" s="76" t="n"/>
      <c r="J88" s="76" t="n"/>
      <c r="K88" s="57">
        <f>IF($C88="","",IF($B88="Pagada",0,ROUND(MAX(0,N($I88)+N($T88)-N($J88)-N($AD88)),2)))</f>
        <v/>
      </c>
      <c r="L88" s="146" t="n"/>
      <c r="M88" s="59">
        <f>IF(OR($C88="",$AE88="",$K88=0),"",$AE88-TODAY())</f>
        <v/>
      </c>
      <c r="N88" s="62">
        <f>IF($C88="","",IF($K88=0,"✅ Saldada",IF($M88="","",IF($M88&lt;0,IF(N($R88)&gt;0,"🔴 APLAZADA VENCIDA","🔴 VENCIDA"),IF(N($R88)&gt;0,"🕓 Aplazada",IF($M88&lt;=3,"🟠 ≤3 días",IF($M88&lt;=7,"🟡 ≤7 días",IF($M88&lt;=30,"🔵 ≤30 días","⚪ &gt;30 días"))))))))</f>
        <v/>
      </c>
      <c r="O88" s="64">
        <f>IF($AE88="","",TEXT($AE88,"YYYY-MM"))</f>
        <v/>
      </c>
      <c r="P88" s="83" t="n"/>
      <c r="Q88" s="145" t="n"/>
      <c r="R88" s="136" t="n"/>
      <c r="S88" s="145" t="n"/>
      <c r="T88" s="76" t="n"/>
      <c r="U88" s="145" t="n"/>
      <c r="V88" s="145" t="n"/>
      <c r="W88" s="1" t="n"/>
      <c r="X88" s="1" t="n"/>
      <c r="Y88" s="1" t="n"/>
      <c r="Z88" s="1" t="n"/>
      <c r="AA88" s="67">
        <f>IF(OR($C88="",$K88=0,$P88=""),"",VALUE(LEFT($P88,1))*100000+N($M88)+ROW()/100000)</f>
        <v/>
      </c>
      <c r="AB88" s="67">
        <f>IF(OR($C88="",$K88=0,$AE88=""),"",$M88+ROW()/100000)</f>
        <v/>
      </c>
      <c r="AC88" s="41">
        <f t="array" ref="AC88">IF($C88="","",IFERROR(INDEX(Disponibilidad!$O$6:$O$18,MATCH($L88,Disponibilidad!$B$6:$B$18,0)),"Hogar"))</f>
        <v/>
      </c>
      <c r="AD88" s="74">
        <f>IF($C88="","",SUMIFS(Caja!$H$6:$H$505,Caja!$J$6:$J$505,$A88,Caja!$C$6:$C$505,"Pago"))</f>
        <v/>
      </c>
      <c r="AE88" s="136">
        <f>IF($C88="","",IF(N($R88)&gt;0,$R88,$H88))</f>
        <v/>
      </c>
      <c r="AF88" s="1" t="n"/>
      <c r="AG88" s="1" t="n"/>
      <c r="AH88" s="1" t="n"/>
      <c r="AI88" s="1" t="n"/>
      <c r="AJ88" s="1" t="n"/>
      <c r="AK88" s="1" t="n"/>
    </row>
    <row r="89" ht="15" customHeight="1" s="311">
      <c r="A89" s="41">
        <f>IF($C89="","",ROW()-5)</f>
        <v/>
      </c>
      <c r="B89" s="146" t="n"/>
      <c r="C89" s="146" t="n"/>
      <c r="D89" s="146" t="n"/>
      <c r="E89" s="146" t="n"/>
      <c r="F89" s="146" t="n"/>
      <c r="G89" s="136" t="n"/>
      <c r="H89" s="136" t="n"/>
      <c r="I89" s="76" t="n"/>
      <c r="J89" s="76" t="n"/>
      <c r="K89" s="57">
        <f>IF($C89="","",IF($B89="Pagada",0,ROUND(MAX(0,N($I89)+N($T89)-N($J89)-N($AD89)),2)))</f>
        <v/>
      </c>
      <c r="L89" s="146" t="n"/>
      <c r="M89" s="59">
        <f>IF(OR($C89="",$AE89="",$K89=0),"",$AE89-TODAY())</f>
        <v/>
      </c>
      <c r="N89" s="62">
        <f>IF($C89="","",IF($K89=0,"✅ Saldada",IF($M89="","",IF($M89&lt;0,IF(N($R89)&gt;0,"🔴 APLAZADA VENCIDA","🔴 VENCIDA"),IF(N($R89)&gt;0,"🕓 Aplazada",IF($M89&lt;=3,"🟠 ≤3 días",IF($M89&lt;=7,"🟡 ≤7 días",IF($M89&lt;=30,"🔵 ≤30 días","⚪ &gt;30 días"))))))))</f>
        <v/>
      </c>
      <c r="O89" s="64">
        <f>IF($AE89="","",TEXT($AE89,"YYYY-MM"))</f>
        <v/>
      </c>
      <c r="P89" s="83" t="n"/>
      <c r="Q89" s="145" t="n"/>
      <c r="R89" s="136" t="n"/>
      <c r="S89" s="145" t="n"/>
      <c r="T89" s="76" t="n"/>
      <c r="U89" s="145" t="n"/>
      <c r="V89" s="145" t="n"/>
      <c r="W89" s="1" t="n"/>
      <c r="X89" s="1" t="n"/>
      <c r="Y89" s="1" t="n"/>
      <c r="Z89" s="1" t="n"/>
      <c r="AA89" s="67">
        <f>IF(OR($C89="",$K89=0,$P89=""),"",VALUE(LEFT($P89,1))*100000+N($M89)+ROW()/100000)</f>
        <v/>
      </c>
      <c r="AB89" s="67">
        <f>IF(OR($C89="",$K89=0,$AE89=""),"",$M89+ROW()/100000)</f>
        <v/>
      </c>
      <c r="AC89" s="41">
        <f t="array" ref="AC89">IF($C89="","",IFERROR(INDEX(Disponibilidad!$O$6:$O$18,MATCH($L89,Disponibilidad!$B$6:$B$18,0)),"Hogar"))</f>
        <v/>
      </c>
      <c r="AD89" s="74">
        <f>IF($C89="","",SUMIFS(Caja!$H$6:$H$505,Caja!$J$6:$J$505,$A89,Caja!$C$6:$C$505,"Pago"))</f>
        <v/>
      </c>
      <c r="AE89" s="136">
        <f>IF($C89="","",IF(N($R89)&gt;0,$R89,$H89))</f>
        <v/>
      </c>
      <c r="AF89" s="1" t="n"/>
      <c r="AG89" s="1" t="n"/>
      <c r="AH89" s="1" t="n"/>
      <c r="AI89" s="1" t="n"/>
      <c r="AJ89" s="1" t="n"/>
      <c r="AK89" s="1" t="n"/>
    </row>
    <row r="90" ht="15" customHeight="1" s="311">
      <c r="A90" s="41">
        <f>IF($C90="","",ROW()-5)</f>
        <v/>
      </c>
      <c r="B90" s="146" t="n"/>
      <c r="C90" s="146" t="n"/>
      <c r="D90" s="146" t="n"/>
      <c r="E90" s="146" t="n"/>
      <c r="F90" s="146" t="n"/>
      <c r="G90" s="136" t="n"/>
      <c r="H90" s="136" t="n"/>
      <c r="I90" s="76" t="n"/>
      <c r="J90" s="76" t="n"/>
      <c r="K90" s="57">
        <f>IF($C90="","",IF($B90="Pagada",0,ROUND(MAX(0,N($I90)+N($T90)-N($J90)-N($AD90)),2)))</f>
        <v/>
      </c>
      <c r="L90" s="146" t="n"/>
      <c r="M90" s="59">
        <f>IF(OR($C90="",$AE90="",$K90=0),"",$AE90-TODAY())</f>
        <v/>
      </c>
      <c r="N90" s="62">
        <f>IF($C90="","",IF($K90=0,"✅ Saldada",IF($M90="","",IF($M90&lt;0,IF(N($R90)&gt;0,"🔴 APLAZADA VENCIDA","🔴 VENCIDA"),IF(N($R90)&gt;0,"🕓 Aplazada",IF($M90&lt;=3,"🟠 ≤3 días",IF($M90&lt;=7,"🟡 ≤7 días",IF($M90&lt;=30,"🔵 ≤30 días","⚪ &gt;30 días"))))))))</f>
        <v/>
      </c>
      <c r="O90" s="64">
        <f>IF($AE90="","",TEXT($AE90,"YYYY-MM"))</f>
        <v/>
      </c>
      <c r="P90" s="83" t="n"/>
      <c r="Q90" s="145" t="n"/>
      <c r="R90" s="136" t="n"/>
      <c r="S90" s="145" t="n"/>
      <c r="T90" s="76" t="n"/>
      <c r="U90" s="145" t="n"/>
      <c r="V90" s="145" t="n"/>
      <c r="W90" s="1" t="n"/>
      <c r="X90" s="1" t="n"/>
      <c r="Y90" s="1" t="n"/>
      <c r="Z90" s="1" t="n"/>
      <c r="AA90" s="67">
        <f>IF(OR($C90="",$K90=0,$P90=""),"",VALUE(LEFT($P90,1))*100000+N($M90)+ROW()/100000)</f>
        <v/>
      </c>
      <c r="AB90" s="67">
        <f>IF(OR($C90="",$K90=0,$AE90=""),"",$M90+ROW()/100000)</f>
        <v/>
      </c>
      <c r="AC90" s="41">
        <f t="array" ref="AC90">IF($C90="","",IFERROR(INDEX(Disponibilidad!$O$6:$O$18,MATCH($L90,Disponibilidad!$B$6:$B$18,0)),"Hogar"))</f>
        <v/>
      </c>
      <c r="AD90" s="74">
        <f>IF($C90="","",SUMIFS(Caja!$H$6:$H$505,Caja!$J$6:$J$505,$A90,Caja!$C$6:$C$505,"Pago"))</f>
        <v/>
      </c>
      <c r="AE90" s="136">
        <f>IF($C90="","",IF(N($R90)&gt;0,$R90,$H90))</f>
        <v/>
      </c>
      <c r="AF90" s="1" t="n"/>
      <c r="AG90" s="1" t="n"/>
      <c r="AH90" s="1" t="n"/>
      <c r="AI90" s="1" t="n"/>
      <c r="AJ90" s="1" t="n"/>
      <c r="AK90" s="1" t="n"/>
    </row>
    <row r="91" ht="15" customHeight="1" s="311">
      <c r="A91" s="41">
        <f>IF($C91="","",ROW()-5)</f>
        <v/>
      </c>
      <c r="B91" s="146" t="n"/>
      <c r="C91" s="146" t="n"/>
      <c r="D91" s="146" t="n"/>
      <c r="E91" s="146" t="n"/>
      <c r="F91" s="146" t="n"/>
      <c r="G91" s="136" t="n"/>
      <c r="H91" s="136" t="n"/>
      <c r="I91" s="76" t="n"/>
      <c r="J91" s="76" t="n"/>
      <c r="K91" s="57">
        <f>IF($C91="","",IF($B91="Pagada",0,ROUND(MAX(0,N($I91)+N($T91)-N($J91)-N($AD91)),2)))</f>
        <v/>
      </c>
      <c r="L91" s="146" t="n"/>
      <c r="M91" s="59">
        <f>IF(OR($C91="",$AE91="",$K91=0),"",$AE91-TODAY())</f>
        <v/>
      </c>
      <c r="N91" s="62">
        <f>IF($C91="","",IF($K91=0,"✅ Saldada",IF($M91="","",IF($M91&lt;0,IF(N($R91)&gt;0,"🔴 APLAZADA VENCIDA","🔴 VENCIDA"),IF(N($R91)&gt;0,"🕓 Aplazada",IF($M91&lt;=3,"🟠 ≤3 días",IF($M91&lt;=7,"🟡 ≤7 días",IF($M91&lt;=30,"🔵 ≤30 días","⚪ &gt;30 días"))))))))</f>
        <v/>
      </c>
      <c r="O91" s="64">
        <f>IF($AE91="","",TEXT($AE91,"YYYY-MM"))</f>
        <v/>
      </c>
      <c r="P91" s="83" t="n"/>
      <c r="Q91" s="145" t="n"/>
      <c r="R91" s="136" t="n"/>
      <c r="S91" s="145" t="n"/>
      <c r="T91" s="76" t="n"/>
      <c r="U91" s="145" t="n"/>
      <c r="V91" s="145" t="n"/>
      <c r="W91" s="1" t="n"/>
      <c r="X91" s="1" t="n"/>
      <c r="Y91" s="1" t="n"/>
      <c r="Z91" s="1" t="n"/>
      <c r="AA91" s="67">
        <f>IF(OR($C91="",$K91=0,$P91=""),"",VALUE(LEFT($P91,1))*100000+N($M91)+ROW()/100000)</f>
        <v/>
      </c>
      <c r="AB91" s="67">
        <f>IF(OR($C91="",$K91=0,$AE91=""),"",$M91+ROW()/100000)</f>
        <v/>
      </c>
      <c r="AC91" s="41">
        <f t="array" ref="AC91">IF($C91="","",IFERROR(INDEX(Disponibilidad!$O$6:$O$18,MATCH($L91,Disponibilidad!$B$6:$B$18,0)),"Hogar"))</f>
        <v/>
      </c>
      <c r="AD91" s="74">
        <f>IF($C91="","",SUMIFS(Caja!$H$6:$H$505,Caja!$J$6:$J$505,$A91,Caja!$C$6:$C$505,"Pago"))</f>
        <v/>
      </c>
      <c r="AE91" s="136">
        <f>IF($C91="","",IF(N($R91)&gt;0,$R91,$H91))</f>
        <v/>
      </c>
      <c r="AF91" s="1" t="n"/>
      <c r="AG91" s="1" t="n"/>
      <c r="AH91" s="1" t="n"/>
      <c r="AI91" s="1" t="n"/>
      <c r="AJ91" s="1" t="n"/>
      <c r="AK91" s="1" t="n"/>
    </row>
    <row r="92" ht="15" customHeight="1" s="311">
      <c r="A92" s="41">
        <f>IF($C92="","",ROW()-5)</f>
        <v/>
      </c>
      <c r="B92" s="146" t="n"/>
      <c r="C92" s="146" t="n"/>
      <c r="D92" s="146" t="n"/>
      <c r="E92" s="146" t="n"/>
      <c r="F92" s="146" t="n"/>
      <c r="G92" s="136" t="n"/>
      <c r="H92" s="136" t="n"/>
      <c r="I92" s="76" t="n"/>
      <c r="J92" s="76" t="n"/>
      <c r="K92" s="57">
        <f>IF($C92="","",IF($B92="Pagada",0,ROUND(MAX(0,N($I92)+N($T92)-N($J92)-N($AD92)),2)))</f>
        <v/>
      </c>
      <c r="L92" s="146" t="n"/>
      <c r="M92" s="59">
        <f>IF(OR($C92="",$AE92="",$K92=0),"",$AE92-TODAY())</f>
        <v/>
      </c>
      <c r="N92" s="62">
        <f>IF($C92="","",IF($K92=0,"✅ Saldada",IF($M92="","",IF($M92&lt;0,IF(N($R92)&gt;0,"🔴 APLAZADA VENCIDA","🔴 VENCIDA"),IF(N($R92)&gt;0,"🕓 Aplazada",IF($M92&lt;=3,"🟠 ≤3 días",IF($M92&lt;=7,"🟡 ≤7 días",IF($M92&lt;=30,"🔵 ≤30 días","⚪ &gt;30 días"))))))))</f>
        <v/>
      </c>
      <c r="O92" s="64">
        <f>IF($AE92="","",TEXT($AE92,"YYYY-MM"))</f>
        <v/>
      </c>
      <c r="P92" s="83" t="n"/>
      <c r="Q92" s="145" t="n"/>
      <c r="R92" s="136" t="n"/>
      <c r="S92" s="145" t="n"/>
      <c r="T92" s="76" t="n"/>
      <c r="U92" s="145" t="n"/>
      <c r="V92" s="145" t="n"/>
      <c r="W92" s="1" t="n"/>
      <c r="X92" s="1" t="n"/>
      <c r="Y92" s="1" t="n"/>
      <c r="Z92" s="1" t="n"/>
      <c r="AA92" s="67">
        <f>IF(OR($C92="",$K92=0,$P92=""),"",VALUE(LEFT($P92,1))*100000+N($M92)+ROW()/100000)</f>
        <v/>
      </c>
      <c r="AB92" s="67">
        <f>IF(OR($C92="",$K92=0,$AE92=""),"",$M92+ROW()/100000)</f>
        <v/>
      </c>
      <c r="AC92" s="41">
        <f t="array" ref="AC92">IF($C92="","",IFERROR(INDEX(Disponibilidad!$O$6:$O$18,MATCH($L92,Disponibilidad!$B$6:$B$18,0)),"Hogar"))</f>
        <v/>
      </c>
      <c r="AD92" s="74">
        <f>IF($C92="","",SUMIFS(Caja!$H$6:$H$505,Caja!$J$6:$J$505,$A92,Caja!$C$6:$C$505,"Pago"))</f>
        <v/>
      </c>
      <c r="AE92" s="136">
        <f>IF($C92="","",IF(N($R92)&gt;0,$R92,$H92))</f>
        <v/>
      </c>
      <c r="AF92" s="1" t="n"/>
      <c r="AG92" s="1" t="n"/>
      <c r="AH92" s="1" t="n"/>
      <c r="AI92" s="1" t="n"/>
      <c r="AJ92" s="1" t="n"/>
      <c r="AK92" s="1" t="n"/>
    </row>
    <row r="93" ht="15" customHeight="1" s="311">
      <c r="A93" s="41">
        <f>IF($C93="","",ROW()-5)</f>
        <v/>
      </c>
      <c r="B93" s="146" t="n"/>
      <c r="C93" s="146" t="n"/>
      <c r="D93" s="146" t="n"/>
      <c r="E93" s="146" t="n"/>
      <c r="F93" s="146" t="n"/>
      <c r="G93" s="136" t="n"/>
      <c r="H93" s="136" t="n"/>
      <c r="I93" s="76" t="n"/>
      <c r="J93" s="76" t="n"/>
      <c r="K93" s="57">
        <f>IF($C93="","",IF($B93="Pagada",0,ROUND(MAX(0,N($I93)+N($T93)-N($J93)-N($AD93)),2)))</f>
        <v/>
      </c>
      <c r="L93" s="146" t="n"/>
      <c r="M93" s="59">
        <f>IF(OR($C93="",$AE93="",$K93=0),"",$AE93-TODAY())</f>
        <v/>
      </c>
      <c r="N93" s="62">
        <f>IF($C93="","",IF($K93=0,"✅ Saldada",IF($M93="","",IF($M93&lt;0,IF(N($R93)&gt;0,"🔴 APLAZADA VENCIDA","🔴 VENCIDA"),IF(N($R93)&gt;0,"🕓 Aplazada",IF($M93&lt;=3,"🟠 ≤3 días",IF($M93&lt;=7,"🟡 ≤7 días",IF($M93&lt;=30,"🔵 ≤30 días","⚪ &gt;30 días"))))))))</f>
        <v/>
      </c>
      <c r="O93" s="64">
        <f>IF($AE93="","",TEXT($AE93,"YYYY-MM"))</f>
        <v/>
      </c>
      <c r="P93" s="83" t="n"/>
      <c r="Q93" s="145" t="n"/>
      <c r="R93" s="136" t="n"/>
      <c r="S93" s="145" t="n"/>
      <c r="T93" s="76" t="n"/>
      <c r="U93" s="145" t="n"/>
      <c r="V93" s="145" t="n"/>
      <c r="W93" s="1" t="n"/>
      <c r="X93" s="1" t="n"/>
      <c r="Y93" s="1" t="n"/>
      <c r="Z93" s="1" t="n"/>
      <c r="AA93" s="67">
        <f>IF(OR($C93="",$K93=0,$P93=""),"",VALUE(LEFT($P93,1))*100000+N($M93)+ROW()/100000)</f>
        <v/>
      </c>
      <c r="AB93" s="67">
        <f>IF(OR($C93="",$K93=0,$AE93=""),"",$M93+ROW()/100000)</f>
        <v/>
      </c>
      <c r="AC93" s="41">
        <f t="array" ref="AC93">IF($C93="","",IFERROR(INDEX(Disponibilidad!$O$6:$O$18,MATCH($L93,Disponibilidad!$B$6:$B$18,0)),"Hogar"))</f>
        <v/>
      </c>
      <c r="AD93" s="74">
        <f>IF($C93="","",SUMIFS(Caja!$H$6:$H$505,Caja!$J$6:$J$505,$A93,Caja!$C$6:$C$505,"Pago"))</f>
        <v/>
      </c>
      <c r="AE93" s="136">
        <f>IF($C93="","",IF(N($R93)&gt;0,$R93,$H93))</f>
        <v/>
      </c>
      <c r="AF93" s="1" t="n"/>
      <c r="AG93" s="1" t="n"/>
      <c r="AH93" s="1" t="n"/>
      <c r="AI93" s="1" t="n"/>
      <c r="AJ93" s="1" t="n"/>
      <c r="AK93" s="1" t="n"/>
    </row>
    <row r="94" ht="15" customHeight="1" s="311">
      <c r="A94" s="41">
        <f>IF($C94="","",ROW()-5)</f>
        <v/>
      </c>
      <c r="B94" s="146" t="n"/>
      <c r="C94" s="146" t="n"/>
      <c r="D94" s="146" t="n"/>
      <c r="E94" s="146" t="n"/>
      <c r="F94" s="146" t="n"/>
      <c r="G94" s="136" t="n"/>
      <c r="H94" s="136" t="n"/>
      <c r="I94" s="76" t="n"/>
      <c r="J94" s="76" t="n"/>
      <c r="K94" s="57">
        <f>IF($C94="","",IF($B94="Pagada",0,ROUND(MAX(0,N($I94)+N($T94)-N($J94)-N($AD94)),2)))</f>
        <v/>
      </c>
      <c r="L94" s="146" t="n"/>
      <c r="M94" s="59">
        <f>IF(OR($C94="",$AE94="",$K94=0),"",$AE94-TODAY())</f>
        <v/>
      </c>
      <c r="N94" s="62">
        <f>IF($C94="","",IF($K94=0,"✅ Saldada",IF($M94="","",IF($M94&lt;0,IF(N($R94)&gt;0,"🔴 APLAZADA VENCIDA","🔴 VENCIDA"),IF(N($R94)&gt;0,"🕓 Aplazada",IF($M94&lt;=3,"🟠 ≤3 días",IF($M94&lt;=7,"🟡 ≤7 días",IF($M94&lt;=30,"🔵 ≤30 días","⚪ &gt;30 días"))))))))</f>
        <v/>
      </c>
      <c r="O94" s="64">
        <f>IF($AE94="","",TEXT($AE94,"YYYY-MM"))</f>
        <v/>
      </c>
      <c r="P94" s="83" t="n"/>
      <c r="Q94" s="145" t="n"/>
      <c r="R94" s="136" t="n"/>
      <c r="S94" s="145" t="n"/>
      <c r="T94" s="76" t="n"/>
      <c r="U94" s="145" t="n"/>
      <c r="V94" s="145" t="n"/>
      <c r="W94" s="1" t="n"/>
      <c r="X94" s="1" t="n"/>
      <c r="Y94" s="1" t="n"/>
      <c r="Z94" s="1" t="n"/>
      <c r="AA94" s="67">
        <f>IF(OR($C94="",$K94=0,$P94=""),"",VALUE(LEFT($P94,1))*100000+N($M94)+ROW()/100000)</f>
        <v/>
      </c>
      <c r="AB94" s="67">
        <f>IF(OR($C94="",$K94=0,$AE94=""),"",$M94+ROW()/100000)</f>
        <v/>
      </c>
      <c r="AC94" s="41">
        <f t="array" ref="AC94">IF($C94="","",IFERROR(INDEX(Disponibilidad!$O$6:$O$18,MATCH($L94,Disponibilidad!$B$6:$B$18,0)),"Hogar"))</f>
        <v/>
      </c>
      <c r="AD94" s="74">
        <f>IF($C94="","",SUMIFS(Caja!$H$6:$H$505,Caja!$J$6:$J$505,$A94,Caja!$C$6:$C$505,"Pago"))</f>
        <v/>
      </c>
      <c r="AE94" s="136">
        <f>IF($C94="","",IF(N($R94)&gt;0,$R94,$H94))</f>
        <v/>
      </c>
      <c r="AF94" s="1" t="n"/>
      <c r="AG94" s="1" t="n"/>
      <c r="AH94" s="1" t="n"/>
      <c r="AI94" s="1" t="n"/>
      <c r="AJ94" s="1" t="n"/>
      <c r="AK94" s="1" t="n"/>
    </row>
    <row r="95" ht="15" customHeight="1" s="311">
      <c r="A95" s="41">
        <f>IF($C95="","",ROW()-5)</f>
        <v/>
      </c>
      <c r="B95" s="146" t="n"/>
      <c r="C95" s="146" t="n"/>
      <c r="D95" s="146" t="n"/>
      <c r="E95" s="146" t="n"/>
      <c r="F95" s="146" t="n"/>
      <c r="G95" s="136" t="n"/>
      <c r="H95" s="136" t="n"/>
      <c r="I95" s="76" t="n"/>
      <c r="J95" s="76" t="n"/>
      <c r="K95" s="57">
        <f>IF($C95="","",IF($B95="Pagada",0,ROUND(MAX(0,N($I95)+N($T95)-N($J95)-N($AD95)),2)))</f>
        <v/>
      </c>
      <c r="L95" s="146" t="n"/>
      <c r="M95" s="59">
        <f>IF(OR($C95="",$AE95="",$K95=0),"",$AE95-TODAY())</f>
        <v/>
      </c>
      <c r="N95" s="62">
        <f>IF($C95="","",IF($K95=0,"✅ Saldada",IF($M95="","",IF($M95&lt;0,IF(N($R95)&gt;0,"🔴 APLAZADA VENCIDA","🔴 VENCIDA"),IF(N($R95)&gt;0,"🕓 Aplazada",IF($M95&lt;=3,"🟠 ≤3 días",IF($M95&lt;=7,"🟡 ≤7 días",IF($M95&lt;=30,"🔵 ≤30 días","⚪ &gt;30 días"))))))))</f>
        <v/>
      </c>
      <c r="O95" s="64">
        <f>IF($AE95="","",TEXT($AE95,"YYYY-MM"))</f>
        <v/>
      </c>
      <c r="P95" s="83" t="n"/>
      <c r="Q95" s="145" t="n"/>
      <c r="R95" s="136" t="n"/>
      <c r="S95" s="145" t="n"/>
      <c r="T95" s="76" t="n"/>
      <c r="U95" s="145" t="n"/>
      <c r="V95" s="145" t="n"/>
      <c r="W95" s="1" t="n"/>
      <c r="X95" s="1" t="n"/>
      <c r="Y95" s="1" t="n"/>
      <c r="Z95" s="1" t="n"/>
      <c r="AA95" s="67">
        <f>IF(OR($C95="",$K95=0,$P95=""),"",VALUE(LEFT($P95,1))*100000+N($M95)+ROW()/100000)</f>
        <v/>
      </c>
      <c r="AB95" s="67">
        <f>IF(OR($C95="",$K95=0,$AE95=""),"",$M95+ROW()/100000)</f>
        <v/>
      </c>
      <c r="AC95" s="41">
        <f t="array" ref="AC95">IF($C95="","",IFERROR(INDEX(Disponibilidad!$O$6:$O$18,MATCH($L95,Disponibilidad!$B$6:$B$18,0)),"Hogar"))</f>
        <v/>
      </c>
      <c r="AD95" s="74">
        <f>IF($C95="","",SUMIFS(Caja!$H$6:$H$505,Caja!$J$6:$J$505,$A95,Caja!$C$6:$C$505,"Pago"))</f>
        <v/>
      </c>
      <c r="AE95" s="136">
        <f>IF($C95="","",IF(N($R95)&gt;0,$R95,$H95))</f>
        <v/>
      </c>
      <c r="AF95" s="1" t="n"/>
      <c r="AG95" s="1" t="n"/>
      <c r="AH95" s="1" t="n"/>
      <c r="AI95" s="1" t="n"/>
      <c r="AJ95" s="1" t="n"/>
      <c r="AK95" s="1" t="n"/>
    </row>
    <row r="96" ht="15" customHeight="1" s="311">
      <c r="A96" s="41">
        <f>IF($C96="","",ROW()-5)</f>
        <v/>
      </c>
      <c r="B96" s="146" t="n"/>
      <c r="C96" s="146" t="n"/>
      <c r="D96" s="146" t="n"/>
      <c r="E96" s="146" t="n"/>
      <c r="F96" s="146" t="n"/>
      <c r="G96" s="136" t="n"/>
      <c r="H96" s="136" t="n"/>
      <c r="I96" s="76" t="n"/>
      <c r="J96" s="76" t="n"/>
      <c r="K96" s="57">
        <f>IF($C96="","",IF($B96="Pagada",0,ROUND(MAX(0,N($I96)+N($T96)-N($J96)-N($AD96)),2)))</f>
        <v/>
      </c>
      <c r="L96" s="146" t="n"/>
      <c r="M96" s="59">
        <f>IF(OR($C96="",$AE96="",$K96=0),"",$AE96-TODAY())</f>
        <v/>
      </c>
      <c r="N96" s="62">
        <f>IF($C96="","",IF($K96=0,"✅ Saldada",IF($M96="","",IF($M96&lt;0,IF(N($R96)&gt;0,"🔴 APLAZADA VENCIDA","🔴 VENCIDA"),IF(N($R96)&gt;0,"🕓 Aplazada",IF($M96&lt;=3,"🟠 ≤3 días",IF($M96&lt;=7,"🟡 ≤7 días",IF($M96&lt;=30,"🔵 ≤30 días","⚪ &gt;30 días"))))))))</f>
        <v/>
      </c>
      <c r="O96" s="64">
        <f>IF($AE96="","",TEXT($AE96,"YYYY-MM"))</f>
        <v/>
      </c>
      <c r="P96" s="83" t="n"/>
      <c r="Q96" s="145" t="n"/>
      <c r="R96" s="136" t="n"/>
      <c r="S96" s="145" t="n"/>
      <c r="T96" s="76" t="n"/>
      <c r="U96" s="145" t="n"/>
      <c r="V96" s="145" t="n"/>
      <c r="W96" s="1" t="n"/>
      <c r="X96" s="1" t="n"/>
      <c r="Y96" s="1" t="n"/>
      <c r="Z96" s="1" t="n"/>
      <c r="AA96" s="67">
        <f>IF(OR($C96="",$K96=0,$P96=""),"",VALUE(LEFT($P96,1))*100000+N($M96)+ROW()/100000)</f>
        <v/>
      </c>
      <c r="AB96" s="67">
        <f>IF(OR($C96="",$K96=0,$AE96=""),"",$M96+ROW()/100000)</f>
        <v/>
      </c>
      <c r="AC96" s="41">
        <f t="array" ref="AC96">IF($C96="","",IFERROR(INDEX(Disponibilidad!$O$6:$O$18,MATCH($L96,Disponibilidad!$B$6:$B$18,0)),"Hogar"))</f>
        <v/>
      </c>
      <c r="AD96" s="74">
        <f>IF($C96="","",SUMIFS(Caja!$H$6:$H$505,Caja!$J$6:$J$505,$A96,Caja!$C$6:$C$505,"Pago"))</f>
        <v/>
      </c>
      <c r="AE96" s="136">
        <f>IF($C96="","",IF(N($R96)&gt;0,$R96,$H96))</f>
        <v/>
      </c>
      <c r="AF96" s="1" t="n"/>
      <c r="AG96" s="1" t="n"/>
      <c r="AH96" s="1" t="n"/>
      <c r="AI96" s="1" t="n"/>
      <c r="AJ96" s="1" t="n"/>
      <c r="AK96" s="1" t="n"/>
    </row>
    <row r="97" ht="15" customHeight="1" s="311">
      <c r="A97" s="41">
        <f>IF($C97="","",ROW()-5)</f>
        <v/>
      </c>
      <c r="B97" s="146" t="n"/>
      <c r="C97" s="146" t="n"/>
      <c r="D97" s="146" t="n"/>
      <c r="E97" s="146" t="n"/>
      <c r="F97" s="146" t="n"/>
      <c r="G97" s="136" t="n"/>
      <c r="H97" s="136" t="n"/>
      <c r="I97" s="76" t="n"/>
      <c r="J97" s="76" t="n"/>
      <c r="K97" s="57">
        <f>IF($C97="","",IF($B97="Pagada",0,ROUND(MAX(0,N($I97)+N($T97)-N($J97)-N($AD97)),2)))</f>
        <v/>
      </c>
      <c r="L97" s="146" t="n"/>
      <c r="M97" s="59">
        <f>IF(OR($C97="",$AE97="",$K97=0),"",$AE97-TODAY())</f>
        <v/>
      </c>
      <c r="N97" s="62">
        <f>IF($C97="","",IF($K97=0,"✅ Saldada",IF($M97="","",IF($M97&lt;0,IF(N($R97)&gt;0,"🔴 APLAZADA VENCIDA","🔴 VENCIDA"),IF(N($R97)&gt;0,"🕓 Aplazada",IF($M97&lt;=3,"🟠 ≤3 días",IF($M97&lt;=7,"🟡 ≤7 días",IF($M97&lt;=30,"🔵 ≤30 días","⚪ &gt;30 días"))))))))</f>
        <v/>
      </c>
      <c r="O97" s="64">
        <f>IF($AE97="","",TEXT($AE97,"YYYY-MM"))</f>
        <v/>
      </c>
      <c r="P97" s="83" t="n"/>
      <c r="Q97" s="145" t="n"/>
      <c r="R97" s="136" t="n"/>
      <c r="S97" s="145" t="n"/>
      <c r="T97" s="76" t="n"/>
      <c r="U97" s="145" t="n"/>
      <c r="V97" s="145" t="n"/>
      <c r="W97" s="1" t="n"/>
      <c r="X97" s="1" t="n"/>
      <c r="Y97" s="1" t="n"/>
      <c r="Z97" s="1" t="n"/>
      <c r="AA97" s="67">
        <f>IF(OR($C97="",$K97=0,$P97=""),"",VALUE(LEFT($P97,1))*100000+N($M97)+ROW()/100000)</f>
        <v/>
      </c>
      <c r="AB97" s="67">
        <f>IF(OR($C97="",$K97=0,$AE97=""),"",$M97+ROW()/100000)</f>
        <v/>
      </c>
      <c r="AC97" s="41">
        <f t="array" ref="AC97">IF($C97="","",IFERROR(INDEX(Disponibilidad!$O$6:$O$18,MATCH($L97,Disponibilidad!$B$6:$B$18,0)),"Hogar"))</f>
        <v/>
      </c>
      <c r="AD97" s="74">
        <f>IF($C97="","",SUMIFS(Caja!$H$6:$H$505,Caja!$J$6:$J$505,$A97,Caja!$C$6:$C$505,"Pago"))</f>
        <v/>
      </c>
      <c r="AE97" s="136">
        <f>IF($C97="","",IF(N($R97)&gt;0,$R97,$H97))</f>
        <v/>
      </c>
      <c r="AF97" s="1" t="n"/>
      <c r="AG97" s="1" t="n"/>
      <c r="AH97" s="1" t="n"/>
      <c r="AI97" s="1" t="n"/>
      <c r="AJ97" s="1" t="n"/>
      <c r="AK97" s="1" t="n"/>
    </row>
    <row r="98" ht="15" customHeight="1" s="311">
      <c r="A98" s="41">
        <f>IF($C98="","",ROW()-5)</f>
        <v/>
      </c>
      <c r="B98" s="146" t="n"/>
      <c r="C98" s="146" t="n"/>
      <c r="D98" s="146" t="n"/>
      <c r="E98" s="146" t="n"/>
      <c r="F98" s="146" t="n"/>
      <c r="G98" s="136" t="n"/>
      <c r="H98" s="136" t="n"/>
      <c r="I98" s="76" t="n"/>
      <c r="J98" s="76" t="n"/>
      <c r="K98" s="57">
        <f>IF($C98="","",IF($B98="Pagada",0,ROUND(MAX(0,N($I98)+N($T98)-N($J98)-N($AD98)),2)))</f>
        <v/>
      </c>
      <c r="L98" s="146" t="n"/>
      <c r="M98" s="59">
        <f>IF(OR($C98="",$AE98="",$K98=0),"",$AE98-TODAY())</f>
        <v/>
      </c>
      <c r="N98" s="62">
        <f>IF($C98="","",IF($K98=0,"✅ Saldada",IF($M98="","",IF($M98&lt;0,IF(N($R98)&gt;0,"🔴 APLAZADA VENCIDA","🔴 VENCIDA"),IF(N($R98)&gt;0,"🕓 Aplazada",IF($M98&lt;=3,"🟠 ≤3 días",IF($M98&lt;=7,"🟡 ≤7 días",IF($M98&lt;=30,"🔵 ≤30 días","⚪ &gt;30 días"))))))))</f>
        <v/>
      </c>
      <c r="O98" s="64">
        <f>IF($AE98="","",TEXT($AE98,"YYYY-MM"))</f>
        <v/>
      </c>
      <c r="P98" s="83" t="n"/>
      <c r="Q98" s="145" t="n"/>
      <c r="R98" s="136" t="n"/>
      <c r="S98" s="145" t="n"/>
      <c r="T98" s="76" t="n"/>
      <c r="U98" s="145" t="n"/>
      <c r="V98" s="145" t="n"/>
      <c r="W98" s="1" t="n"/>
      <c r="X98" s="1" t="n"/>
      <c r="Y98" s="1" t="n"/>
      <c r="Z98" s="1" t="n"/>
      <c r="AA98" s="67">
        <f>IF(OR($C98="",$K98=0,$P98=""),"",VALUE(LEFT($P98,1))*100000+N($M98)+ROW()/100000)</f>
        <v/>
      </c>
      <c r="AB98" s="67">
        <f>IF(OR($C98="",$K98=0,$AE98=""),"",$M98+ROW()/100000)</f>
        <v/>
      </c>
      <c r="AC98" s="41">
        <f t="array" ref="AC98">IF($C98="","",IFERROR(INDEX(Disponibilidad!$O$6:$O$18,MATCH($L98,Disponibilidad!$B$6:$B$18,0)),"Hogar"))</f>
        <v/>
      </c>
      <c r="AD98" s="74">
        <f>IF($C98="","",SUMIFS(Caja!$H$6:$H$505,Caja!$J$6:$J$505,$A98,Caja!$C$6:$C$505,"Pago"))</f>
        <v/>
      </c>
      <c r="AE98" s="136">
        <f>IF($C98="","",IF(N($R98)&gt;0,$R98,$H98))</f>
        <v/>
      </c>
      <c r="AF98" s="1" t="n"/>
      <c r="AG98" s="1" t="n"/>
      <c r="AH98" s="1" t="n"/>
      <c r="AI98" s="1" t="n"/>
      <c r="AJ98" s="1" t="n"/>
      <c r="AK98" s="1" t="n"/>
    </row>
    <row r="99" ht="15" customHeight="1" s="311">
      <c r="A99" s="41">
        <f>IF($C99="","",ROW()-5)</f>
        <v/>
      </c>
      <c r="B99" s="146" t="n"/>
      <c r="C99" s="146" t="n"/>
      <c r="D99" s="146" t="n"/>
      <c r="E99" s="146" t="n"/>
      <c r="F99" s="146" t="n"/>
      <c r="G99" s="136" t="n"/>
      <c r="H99" s="136" t="n"/>
      <c r="I99" s="76" t="n"/>
      <c r="J99" s="76" t="n"/>
      <c r="K99" s="57">
        <f>IF($C99="","",IF($B99="Pagada",0,ROUND(MAX(0,N($I99)+N($T99)-N($J99)-N($AD99)),2)))</f>
        <v/>
      </c>
      <c r="L99" s="146" t="n"/>
      <c r="M99" s="59">
        <f>IF(OR($C99="",$AE99="",$K99=0),"",$AE99-TODAY())</f>
        <v/>
      </c>
      <c r="N99" s="62">
        <f>IF($C99="","",IF($K99=0,"✅ Saldada",IF($M99="","",IF($M99&lt;0,IF(N($R99)&gt;0,"🔴 APLAZADA VENCIDA","🔴 VENCIDA"),IF(N($R99)&gt;0,"🕓 Aplazada",IF($M99&lt;=3,"🟠 ≤3 días",IF($M99&lt;=7,"🟡 ≤7 días",IF($M99&lt;=30,"🔵 ≤30 días","⚪ &gt;30 días"))))))))</f>
        <v/>
      </c>
      <c r="O99" s="64">
        <f>IF($AE99="","",TEXT($AE99,"YYYY-MM"))</f>
        <v/>
      </c>
      <c r="P99" s="83" t="n"/>
      <c r="Q99" s="145" t="n"/>
      <c r="R99" s="136" t="n"/>
      <c r="S99" s="145" t="n"/>
      <c r="T99" s="76" t="n"/>
      <c r="U99" s="145" t="n"/>
      <c r="V99" s="145" t="n"/>
      <c r="W99" s="1" t="n"/>
      <c r="X99" s="1" t="n"/>
      <c r="Y99" s="1" t="n"/>
      <c r="Z99" s="1" t="n"/>
      <c r="AA99" s="67">
        <f>IF(OR($C99="",$K99=0,$P99=""),"",VALUE(LEFT($P99,1))*100000+N($M99)+ROW()/100000)</f>
        <v/>
      </c>
      <c r="AB99" s="67">
        <f>IF(OR($C99="",$K99=0,$AE99=""),"",$M99+ROW()/100000)</f>
        <v/>
      </c>
      <c r="AC99" s="41">
        <f t="array" ref="AC99">IF($C99="","",IFERROR(INDEX(Disponibilidad!$O$6:$O$18,MATCH($L99,Disponibilidad!$B$6:$B$18,0)),"Hogar"))</f>
        <v/>
      </c>
      <c r="AD99" s="74">
        <f>IF($C99="","",SUMIFS(Caja!$H$6:$H$505,Caja!$J$6:$J$505,$A99,Caja!$C$6:$C$505,"Pago"))</f>
        <v/>
      </c>
      <c r="AE99" s="136">
        <f>IF($C99="","",IF(N($R99)&gt;0,$R99,$H99))</f>
        <v/>
      </c>
      <c r="AF99" s="1" t="n"/>
      <c r="AG99" s="1" t="n"/>
      <c r="AH99" s="1" t="n"/>
      <c r="AI99" s="1" t="n"/>
      <c r="AJ99" s="1" t="n"/>
      <c r="AK99" s="1" t="n"/>
    </row>
    <row r="100" ht="15" customHeight="1" s="311">
      <c r="A100" s="41">
        <f>IF($C100="","",ROW()-5)</f>
        <v/>
      </c>
      <c r="B100" s="146" t="n"/>
      <c r="C100" s="146" t="n"/>
      <c r="D100" s="146" t="n"/>
      <c r="E100" s="146" t="n"/>
      <c r="F100" s="146" t="n"/>
      <c r="G100" s="136" t="n"/>
      <c r="H100" s="136" t="n"/>
      <c r="I100" s="76" t="n"/>
      <c r="J100" s="76" t="n"/>
      <c r="K100" s="57">
        <f>IF($C100="","",IF($B100="Pagada",0,ROUND(MAX(0,N($I100)+N($T100)-N($J100)-N($AD100)),2)))</f>
        <v/>
      </c>
      <c r="L100" s="146" t="n"/>
      <c r="M100" s="59">
        <f>IF(OR($C100="",$AE100="",$K100=0),"",$AE100-TODAY())</f>
        <v/>
      </c>
      <c r="N100" s="62">
        <f>IF($C100="","",IF($K100=0,"✅ Saldada",IF($M100="","",IF($M100&lt;0,IF(N($R100)&gt;0,"🔴 APLAZADA VENCIDA","🔴 VENCIDA"),IF(N($R100)&gt;0,"🕓 Aplazada",IF($M100&lt;=3,"🟠 ≤3 días",IF($M100&lt;=7,"🟡 ≤7 días",IF($M100&lt;=30,"🔵 ≤30 días","⚪ &gt;30 días"))))))))</f>
        <v/>
      </c>
      <c r="O100" s="64">
        <f>IF($AE100="","",TEXT($AE100,"YYYY-MM"))</f>
        <v/>
      </c>
      <c r="P100" s="83" t="n"/>
      <c r="Q100" s="145" t="n"/>
      <c r="R100" s="136" t="n"/>
      <c r="S100" s="145" t="n"/>
      <c r="T100" s="76" t="n"/>
      <c r="U100" s="145" t="n"/>
      <c r="V100" s="145" t="n"/>
      <c r="W100" s="1" t="n"/>
      <c r="X100" s="1" t="n"/>
      <c r="Y100" s="1" t="n"/>
      <c r="Z100" s="1" t="n"/>
      <c r="AA100" s="67">
        <f>IF(OR($C100="",$K100=0,$P100=""),"",VALUE(LEFT($P100,1))*100000+N($M100)+ROW()/100000)</f>
        <v/>
      </c>
      <c r="AB100" s="67">
        <f>IF(OR($C100="",$K100=0,$AE100=""),"",$M100+ROW()/100000)</f>
        <v/>
      </c>
      <c r="AC100" s="41">
        <f t="array" ref="AC100">IF($C100="","",IFERROR(INDEX(Disponibilidad!$O$6:$O$18,MATCH($L100,Disponibilidad!$B$6:$B$18,0)),"Hogar"))</f>
        <v/>
      </c>
      <c r="AD100" s="74">
        <f>IF($C100="","",SUMIFS(Caja!$H$6:$H$505,Caja!$J$6:$J$505,$A100,Caja!$C$6:$C$505,"Pago"))</f>
        <v/>
      </c>
      <c r="AE100" s="136">
        <f>IF($C100="","",IF(N($R100)&gt;0,$R100,$H100))</f>
        <v/>
      </c>
      <c r="AF100" s="1" t="n"/>
      <c r="AG100" s="1" t="n"/>
      <c r="AH100" s="1" t="n"/>
      <c r="AI100" s="1" t="n"/>
      <c r="AJ100" s="1" t="n"/>
      <c r="AK100" s="1" t="n"/>
    </row>
    <row r="101" ht="15" customHeight="1" s="311">
      <c r="A101" s="41">
        <f>IF($C101="","",ROW()-5)</f>
        <v/>
      </c>
      <c r="B101" s="146" t="n"/>
      <c r="C101" s="146" t="n"/>
      <c r="D101" s="146" t="n"/>
      <c r="E101" s="146" t="n"/>
      <c r="F101" s="146" t="n"/>
      <c r="G101" s="136" t="n"/>
      <c r="H101" s="136" t="n"/>
      <c r="I101" s="76" t="n"/>
      <c r="J101" s="76" t="n"/>
      <c r="K101" s="57">
        <f>IF($C101="","",IF($B101="Pagada",0,ROUND(MAX(0,N($I101)+N($T101)-N($J101)-N($AD101)),2)))</f>
        <v/>
      </c>
      <c r="L101" s="146" t="n"/>
      <c r="M101" s="59">
        <f>IF(OR($C101="",$AE101="",$K101=0),"",$AE101-TODAY())</f>
        <v/>
      </c>
      <c r="N101" s="62">
        <f>IF($C101="","",IF($K101=0,"✅ Saldada",IF($M101="","",IF($M101&lt;0,IF(N($R101)&gt;0,"🔴 APLAZADA VENCIDA","🔴 VENCIDA"),IF(N($R101)&gt;0,"🕓 Aplazada",IF($M101&lt;=3,"🟠 ≤3 días",IF($M101&lt;=7,"🟡 ≤7 días",IF($M101&lt;=30,"🔵 ≤30 días","⚪ &gt;30 días"))))))))</f>
        <v/>
      </c>
      <c r="O101" s="64">
        <f>IF($AE101="","",TEXT($AE101,"YYYY-MM"))</f>
        <v/>
      </c>
      <c r="P101" s="83" t="n"/>
      <c r="Q101" s="145" t="n"/>
      <c r="R101" s="136" t="n"/>
      <c r="S101" s="145" t="n"/>
      <c r="T101" s="76" t="n"/>
      <c r="U101" s="145" t="n"/>
      <c r="V101" s="145" t="n"/>
      <c r="W101" s="1" t="n"/>
      <c r="X101" s="1" t="n"/>
      <c r="Y101" s="1" t="n"/>
      <c r="Z101" s="1" t="n"/>
      <c r="AA101" s="67">
        <f>IF(OR($C101="",$K101=0,$P101=""),"",VALUE(LEFT($P101,1))*100000+N($M101)+ROW()/100000)</f>
        <v/>
      </c>
      <c r="AB101" s="67">
        <f>IF(OR($C101="",$K101=0,$AE101=""),"",$M101+ROW()/100000)</f>
        <v/>
      </c>
      <c r="AC101" s="41">
        <f t="array" ref="AC101">IF($C101="","",IFERROR(INDEX(Disponibilidad!$O$6:$O$18,MATCH($L101,Disponibilidad!$B$6:$B$18,0)),"Hogar"))</f>
        <v/>
      </c>
      <c r="AD101" s="74">
        <f>IF($C101="","",SUMIFS(Caja!$H$6:$H$505,Caja!$J$6:$J$505,$A101,Caja!$C$6:$C$505,"Pago"))</f>
        <v/>
      </c>
      <c r="AE101" s="136">
        <f>IF($C101="","",IF(N($R101)&gt;0,$R101,$H101))</f>
        <v/>
      </c>
      <c r="AF101" s="1" t="n"/>
      <c r="AG101" s="1" t="n"/>
      <c r="AH101" s="1" t="n"/>
      <c r="AI101" s="1" t="n"/>
      <c r="AJ101" s="1" t="n"/>
      <c r="AK101" s="1" t="n"/>
    </row>
    <row r="102" ht="15" customHeight="1" s="311">
      <c r="A102" s="41">
        <f>IF($C102="","",ROW()-5)</f>
        <v/>
      </c>
      <c r="B102" s="146" t="n"/>
      <c r="C102" s="146" t="n"/>
      <c r="D102" s="146" t="n"/>
      <c r="E102" s="146" t="n"/>
      <c r="F102" s="146" t="n"/>
      <c r="G102" s="136" t="n"/>
      <c r="H102" s="136" t="n"/>
      <c r="I102" s="76" t="n"/>
      <c r="J102" s="76" t="n"/>
      <c r="K102" s="57">
        <f>IF($C102="","",IF($B102="Pagada",0,ROUND(MAX(0,N($I102)+N($T102)-N($J102)-N($AD102)),2)))</f>
        <v/>
      </c>
      <c r="L102" s="146" t="n"/>
      <c r="M102" s="59">
        <f>IF(OR($C102="",$AE102="",$K102=0),"",$AE102-TODAY())</f>
        <v/>
      </c>
      <c r="N102" s="62">
        <f>IF($C102="","",IF($K102=0,"✅ Saldada",IF($M102="","",IF($M102&lt;0,IF(N($R102)&gt;0,"🔴 APLAZADA VENCIDA","🔴 VENCIDA"),IF(N($R102)&gt;0,"🕓 Aplazada",IF($M102&lt;=3,"🟠 ≤3 días",IF($M102&lt;=7,"🟡 ≤7 días",IF($M102&lt;=30,"🔵 ≤30 días","⚪ &gt;30 días"))))))))</f>
        <v/>
      </c>
      <c r="O102" s="64">
        <f>IF($AE102="","",TEXT($AE102,"YYYY-MM"))</f>
        <v/>
      </c>
      <c r="P102" s="83" t="n"/>
      <c r="Q102" s="145" t="n"/>
      <c r="R102" s="136" t="n"/>
      <c r="S102" s="145" t="n"/>
      <c r="T102" s="76" t="n"/>
      <c r="U102" s="145" t="n"/>
      <c r="V102" s="145" t="n"/>
      <c r="W102" s="1" t="n"/>
      <c r="X102" s="1" t="n"/>
      <c r="Y102" s="1" t="n"/>
      <c r="Z102" s="1" t="n"/>
      <c r="AA102" s="67">
        <f>IF(OR($C102="",$K102=0,$P102=""),"",VALUE(LEFT($P102,1))*100000+N($M102)+ROW()/100000)</f>
        <v/>
      </c>
      <c r="AB102" s="67">
        <f>IF(OR($C102="",$K102=0,$AE102=""),"",$M102+ROW()/100000)</f>
        <v/>
      </c>
      <c r="AC102" s="41">
        <f t="array" ref="AC102">IF($C102="","",IFERROR(INDEX(Disponibilidad!$O$6:$O$18,MATCH($L102,Disponibilidad!$B$6:$B$18,0)),"Hogar"))</f>
        <v/>
      </c>
      <c r="AD102" s="74">
        <f>IF($C102="","",SUMIFS(Caja!$H$6:$H$505,Caja!$J$6:$J$505,$A102,Caja!$C$6:$C$505,"Pago"))</f>
        <v/>
      </c>
      <c r="AE102" s="136">
        <f>IF($C102="","",IF(N($R102)&gt;0,$R102,$H102))</f>
        <v/>
      </c>
      <c r="AF102" s="1" t="n"/>
      <c r="AG102" s="1" t="n"/>
      <c r="AH102" s="1" t="n"/>
      <c r="AI102" s="1" t="n"/>
      <c r="AJ102" s="1" t="n"/>
      <c r="AK102" s="1" t="n"/>
    </row>
    <row r="103" ht="15" customHeight="1" s="311">
      <c r="A103" s="41">
        <f>IF($C103="","",ROW()-5)</f>
        <v/>
      </c>
      <c r="B103" s="146" t="n"/>
      <c r="C103" s="146" t="n"/>
      <c r="D103" s="146" t="n"/>
      <c r="E103" s="146" t="n"/>
      <c r="F103" s="146" t="n"/>
      <c r="G103" s="136" t="n"/>
      <c r="H103" s="136" t="n"/>
      <c r="I103" s="76" t="n"/>
      <c r="J103" s="76" t="n"/>
      <c r="K103" s="57">
        <f>IF($C103="","",IF($B103="Pagada",0,ROUND(MAX(0,N($I103)+N($T103)-N($J103)-N($AD103)),2)))</f>
        <v/>
      </c>
      <c r="L103" s="146" t="n"/>
      <c r="M103" s="59">
        <f>IF(OR($C103="",$AE103="",$K103=0),"",$AE103-TODAY())</f>
        <v/>
      </c>
      <c r="N103" s="62">
        <f>IF($C103="","",IF($K103=0,"✅ Saldada",IF($M103="","",IF($M103&lt;0,IF(N($R103)&gt;0,"🔴 APLAZADA VENCIDA","🔴 VENCIDA"),IF(N($R103)&gt;0,"🕓 Aplazada",IF($M103&lt;=3,"🟠 ≤3 días",IF($M103&lt;=7,"🟡 ≤7 días",IF($M103&lt;=30,"🔵 ≤30 días","⚪ &gt;30 días"))))))))</f>
        <v/>
      </c>
      <c r="O103" s="64">
        <f>IF($AE103="","",TEXT($AE103,"YYYY-MM"))</f>
        <v/>
      </c>
      <c r="P103" s="83" t="n"/>
      <c r="Q103" s="145" t="n"/>
      <c r="R103" s="136" t="n"/>
      <c r="S103" s="145" t="n"/>
      <c r="T103" s="76" t="n"/>
      <c r="U103" s="145" t="n"/>
      <c r="V103" s="145" t="n"/>
      <c r="W103" s="1" t="n"/>
      <c r="X103" s="1" t="n"/>
      <c r="Y103" s="1" t="n"/>
      <c r="Z103" s="1" t="n"/>
      <c r="AA103" s="67">
        <f>IF(OR($C103="",$K103=0,$P103=""),"",VALUE(LEFT($P103,1))*100000+N($M103)+ROW()/100000)</f>
        <v/>
      </c>
      <c r="AB103" s="67">
        <f>IF(OR($C103="",$K103=0,$AE103=""),"",$M103+ROW()/100000)</f>
        <v/>
      </c>
      <c r="AC103" s="41">
        <f t="array" ref="AC103">IF($C103="","",IFERROR(INDEX(Disponibilidad!$O$6:$O$18,MATCH($L103,Disponibilidad!$B$6:$B$18,0)),"Hogar"))</f>
        <v/>
      </c>
      <c r="AD103" s="74">
        <f>IF($C103="","",SUMIFS(Caja!$H$6:$H$505,Caja!$J$6:$J$505,$A103,Caja!$C$6:$C$505,"Pago"))</f>
        <v/>
      </c>
      <c r="AE103" s="136">
        <f>IF($C103="","",IF(N($R103)&gt;0,$R103,$H103))</f>
        <v/>
      </c>
      <c r="AF103" s="1" t="n"/>
      <c r="AG103" s="1" t="n"/>
      <c r="AH103" s="1" t="n"/>
      <c r="AI103" s="1" t="n"/>
      <c r="AJ103" s="1" t="n"/>
      <c r="AK103" s="1" t="n"/>
    </row>
    <row r="104" ht="15" customHeight="1" s="311">
      <c r="A104" s="41">
        <f>IF($C104="","",ROW()-5)</f>
        <v/>
      </c>
      <c r="B104" s="146" t="n"/>
      <c r="C104" s="146" t="n"/>
      <c r="D104" s="146" t="n"/>
      <c r="E104" s="146" t="n"/>
      <c r="F104" s="146" t="n"/>
      <c r="G104" s="136" t="n"/>
      <c r="H104" s="136" t="n"/>
      <c r="I104" s="76" t="n"/>
      <c r="J104" s="76" t="n"/>
      <c r="K104" s="57">
        <f>IF($C104="","",IF($B104="Pagada",0,ROUND(MAX(0,N($I104)+N($T104)-N($J104)-N($AD104)),2)))</f>
        <v/>
      </c>
      <c r="L104" s="146" t="n"/>
      <c r="M104" s="59">
        <f>IF(OR($C104="",$AE104="",$K104=0),"",$AE104-TODAY())</f>
        <v/>
      </c>
      <c r="N104" s="62">
        <f>IF($C104="","",IF($K104=0,"✅ Saldada",IF($M104="","",IF($M104&lt;0,IF(N($R104)&gt;0,"🔴 APLAZADA VENCIDA","🔴 VENCIDA"),IF(N($R104)&gt;0,"🕓 Aplazada",IF($M104&lt;=3,"🟠 ≤3 días",IF($M104&lt;=7,"🟡 ≤7 días",IF($M104&lt;=30,"🔵 ≤30 días","⚪ &gt;30 días"))))))))</f>
        <v/>
      </c>
      <c r="O104" s="64">
        <f>IF($AE104="","",TEXT($AE104,"YYYY-MM"))</f>
        <v/>
      </c>
      <c r="P104" s="83" t="n"/>
      <c r="Q104" s="145" t="n"/>
      <c r="R104" s="136" t="n"/>
      <c r="S104" s="145" t="n"/>
      <c r="T104" s="76" t="n"/>
      <c r="U104" s="145" t="n"/>
      <c r="V104" s="145" t="n"/>
      <c r="W104" s="1" t="n"/>
      <c r="X104" s="1" t="n"/>
      <c r="Y104" s="1" t="n"/>
      <c r="Z104" s="1" t="n"/>
      <c r="AA104" s="67">
        <f>IF(OR($C104="",$K104=0,$P104=""),"",VALUE(LEFT($P104,1))*100000+N($M104)+ROW()/100000)</f>
        <v/>
      </c>
      <c r="AB104" s="67">
        <f>IF(OR($C104="",$K104=0,$AE104=""),"",$M104+ROW()/100000)</f>
        <v/>
      </c>
      <c r="AC104" s="41">
        <f t="array" ref="AC104">IF($C104="","",IFERROR(INDEX(Disponibilidad!$O$6:$O$18,MATCH($L104,Disponibilidad!$B$6:$B$18,0)),"Hogar"))</f>
        <v/>
      </c>
      <c r="AD104" s="74">
        <f>IF($C104="","",SUMIFS(Caja!$H$6:$H$505,Caja!$J$6:$J$505,$A104,Caja!$C$6:$C$505,"Pago"))</f>
        <v/>
      </c>
      <c r="AE104" s="136">
        <f>IF($C104="","",IF(N($R104)&gt;0,$R104,$H104))</f>
        <v/>
      </c>
      <c r="AF104" s="1" t="n"/>
      <c r="AG104" s="1" t="n"/>
      <c r="AH104" s="1" t="n"/>
      <c r="AI104" s="1" t="n"/>
      <c r="AJ104" s="1" t="n"/>
      <c r="AK104" s="1" t="n"/>
    </row>
    <row r="105" ht="15" customHeight="1" s="311">
      <c r="A105" s="41">
        <f>IF($C105="","",ROW()-5)</f>
        <v/>
      </c>
      <c r="B105" s="146" t="n"/>
      <c r="C105" s="146" t="n"/>
      <c r="D105" s="146" t="n"/>
      <c r="E105" s="146" t="n"/>
      <c r="F105" s="146" t="n"/>
      <c r="G105" s="136" t="n"/>
      <c r="H105" s="136" t="n"/>
      <c r="I105" s="76" t="n"/>
      <c r="J105" s="76" t="n"/>
      <c r="K105" s="57">
        <f>IF($C105="","",IF($B105="Pagada",0,ROUND(MAX(0,N($I105)+N($T105)-N($J105)-N($AD105)),2)))</f>
        <v/>
      </c>
      <c r="L105" s="146" t="n"/>
      <c r="M105" s="59">
        <f>IF(OR($C105="",$AE105="",$K105=0),"",$AE105-TODAY())</f>
        <v/>
      </c>
      <c r="N105" s="62">
        <f>IF($C105="","",IF($K105=0,"✅ Saldada",IF($M105="","",IF($M105&lt;0,IF(N($R105)&gt;0,"🔴 APLAZADA VENCIDA","🔴 VENCIDA"),IF(N($R105)&gt;0,"🕓 Aplazada",IF($M105&lt;=3,"🟠 ≤3 días",IF($M105&lt;=7,"🟡 ≤7 días",IF($M105&lt;=30,"🔵 ≤30 días","⚪ &gt;30 días"))))))))</f>
        <v/>
      </c>
      <c r="O105" s="64">
        <f>IF($AE105="","",TEXT($AE105,"YYYY-MM"))</f>
        <v/>
      </c>
      <c r="P105" s="83" t="n"/>
      <c r="Q105" s="145" t="n"/>
      <c r="R105" s="136" t="n"/>
      <c r="S105" s="145" t="n"/>
      <c r="T105" s="76" t="n"/>
      <c r="U105" s="145" t="n"/>
      <c r="V105" s="145" t="n"/>
      <c r="W105" s="1" t="n"/>
      <c r="X105" s="1" t="n"/>
      <c r="Y105" s="1" t="n"/>
      <c r="Z105" s="1" t="n"/>
      <c r="AA105" s="67">
        <f>IF(OR($C105="",$K105=0,$P105=""),"",VALUE(LEFT($P105,1))*100000+N($M105)+ROW()/100000)</f>
        <v/>
      </c>
      <c r="AB105" s="67">
        <f>IF(OR($C105="",$K105=0,$AE105=""),"",$M105+ROW()/100000)</f>
        <v/>
      </c>
      <c r="AC105" s="41">
        <f t="array" ref="AC105">IF($C105="","",IFERROR(INDEX(Disponibilidad!$O$6:$O$18,MATCH($L105,Disponibilidad!$B$6:$B$18,0)),"Hogar"))</f>
        <v/>
      </c>
      <c r="AD105" s="74">
        <f>IF($C105="","",SUMIFS(Caja!$H$6:$H$505,Caja!$J$6:$J$505,$A105,Caja!$C$6:$C$505,"Pago"))</f>
        <v/>
      </c>
      <c r="AE105" s="136">
        <f>IF($C105="","",IF(N($R105)&gt;0,$R105,$H105))</f>
        <v/>
      </c>
      <c r="AF105" s="1" t="n"/>
      <c r="AG105" s="1" t="n"/>
      <c r="AH105" s="1" t="n"/>
      <c r="AI105" s="1" t="n"/>
      <c r="AJ105" s="1" t="n"/>
      <c r="AK105" s="1" t="n"/>
    </row>
    <row r="106" ht="15" customHeight="1" s="311">
      <c r="A106" s="41">
        <f>IF($C106="","",ROW()-5)</f>
        <v/>
      </c>
      <c r="B106" s="146" t="n"/>
      <c r="C106" s="146" t="n"/>
      <c r="D106" s="146" t="n"/>
      <c r="E106" s="146" t="n"/>
      <c r="F106" s="146" t="n"/>
      <c r="G106" s="136" t="n"/>
      <c r="H106" s="136" t="n"/>
      <c r="I106" s="76" t="n"/>
      <c r="J106" s="76" t="n"/>
      <c r="K106" s="57">
        <f>IF($C106="","",IF($B106="Pagada",0,ROUND(MAX(0,N($I106)+N($T106)-N($J106)-N($AD106)),2)))</f>
        <v/>
      </c>
      <c r="L106" s="146" t="n"/>
      <c r="M106" s="59">
        <f>IF(OR($C106="",$AE106="",$K106=0),"",$AE106-TODAY())</f>
        <v/>
      </c>
      <c r="N106" s="62">
        <f>IF($C106="","",IF($K106=0,"✅ Saldada",IF($M106="","",IF($M106&lt;0,IF(N($R106)&gt;0,"🔴 APLAZADA VENCIDA","🔴 VENCIDA"),IF(N($R106)&gt;0,"🕓 Aplazada",IF($M106&lt;=3,"🟠 ≤3 días",IF($M106&lt;=7,"🟡 ≤7 días",IF($M106&lt;=30,"🔵 ≤30 días","⚪ &gt;30 días"))))))))</f>
        <v/>
      </c>
      <c r="O106" s="64">
        <f>IF($AE106="","",TEXT($AE106,"YYYY-MM"))</f>
        <v/>
      </c>
      <c r="P106" s="83" t="n"/>
      <c r="Q106" s="145" t="n"/>
      <c r="R106" s="136" t="n"/>
      <c r="S106" s="145" t="n"/>
      <c r="T106" s="76" t="n"/>
      <c r="U106" s="145" t="n"/>
      <c r="V106" s="145" t="n"/>
      <c r="W106" s="1" t="n"/>
      <c r="X106" s="1" t="n"/>
      <c r="Y106" s="1" t="n"/>
      <c r="Z106" s="1" t="n"/>
      <c r="AA106" s="67">
        <f>IF(OR($C106="",$K106=0,$P106=""),"",VALUE(LEFT($P106,1))*100000+N($M106)+ROW()/100000)</f>
        <v/>
      </c>
      <c r="AB106" s="67">
        <f>IF(OR($C106="",$K106=0,$AE106=""),"",$M106+ROW()/100000)</f>
        <v/>
      </c>
      <c r="AC106" s="41">
        <f t="array" ref="AC106">IF($C106="","",IFERROR(INDEX(Disponibilidad!$O$6:$O$18,MATCH($L106,Disponibilidad!$B$6:$B$18,0)),"Hogar"))</f>
        <v/>
      </c>
      <c r="AD106" s="74">
        <f>IF($C106="","",SUMIFS(Caja!$H$6:$H$505,Caja!$J$6:$J$505,$A106,Caja!$C$6:$C$505,"Pago"))</f>
        <v/>
      </c>
      <c r="AE106" s="136">
        <f>IF($C106="","",IF(N($R106)&gt;0,$R106,$H106))</f>
        <v/>
      </c>
      <c r="AF106" s="1" t="n"/>
      <c r="AG106" s="1" t="n"/>
      <c r="AH106" s="1" t="n"/>
      <c r="AI106" s="1" t="n"/>
      <c r="AJ106" s="1" t="n"/>
      <c r="AK106" s="1" t="n"/>
    </row>
    <row r="107" ht="15" customHeight="1" s="311">
      <c r="A107" s="41">
        <f>IF($C107="","",ROW()-5)</f>
        <v/>
      </c>
      <c r="B107" s="146" t="n"/>
      <c r="C107" s="146" t="n"/>
      <c r="D107" s="146" t="n"/>
      <c r="E107" s="146" t="n"/>
      <c r="F107" s="146" t="n"/>
      <c r="G107" s="136" t="n"/>
      <c r="H107" s="136" t="n"/>
      <c r="I107" s="76" t="n"/>
      <c r="J107" s="76" t="n"/>
      <c r="K107" s="57">
        <f>IF($C107="","",IF($B107="Pagada",0,ROUND(MAX(0,N($I107)+N($T107)-N($J107)-N($AD107)),2)))</f>
        <v/>
      </c>
      <c r="L107" s="146" t="n"/>
      <c r="M107" s="59">
        <f>IF(OR($C107="",$AE107="",$K107=0),"",$AE107-TODAY())</f>
        <v/>
      </c>
      <c r="N107" s="62">
        <f>IF($C107="","",IF($K107=0,"✅ Saldada",IF($M107="","",IF($M107&lt;0,IF(N($R107)&gt;0,"🔴 APLAZADA VENCIDA","🔴 VENCIDA"),IF(N($R107)&gt;0,"🕓 Aplazada",IF($M107&lt;=3,"🟠 ≤3 días",IF($M107&lt;=7,"🟡 ≤7 días",IF($M107&lt;=30,"🔵 ≤30 días","⚪ &gt;30 días"))))))))</f>
        <v/>
      </c>
      <c r="O107" s="64">
        <f>IF($AE107="","",TEXT($AE107,"YYYY-MM"))</f>
        <v/>
      </c>
      <c r="P107" s="83" t="n"/>
      <c r="Q107" s="145" t="n"/>
      <c r="R107" s="136" t="n"/>
      <c r="S107" s="145" t="n"/>
      <c r="T107" s="76" t="n"/>
      <c r="U107" s="145" t="n"/>
      <c r="V107" s="145" t="n"/>
      <c r="W107" s="1" t="n"/>
      <c r="X107" s="1" t="n"/>
      <c r="Y107" s="1" t="n"/>
      <c r="Z107" s="1" t="n"/>
      <c r="AA107" s="67">
        <f>IF(OR($C107="",$K107=0,$P107=""),"",VALUE(LEFT($P107,1))*100000+N($M107)+ROW()/100000)</f>
        <v/>
      </c>
      <c r="AB107" s="67">
        <f>IF(OR($C107="",$K107=0,$AE107=""),"",$M107+ROW()/100000)</f>
        <v/>
      </c>
      <c r="AC107" s="41">
        <f t="array" ref="AC107">IF($C107="","",IFERROR(INDEX(Disponibilidad!$O$6:$O$18,MATCH($L107,Disponibilidad!$B$6:$B$18,0)),"Hogar"))</f>
        <v/>
      </c>
      <c r="AD107" s="74">
        <f>IF($C107="","",SUMIFS(Caja!$H$6:$H$505,Caja!$J$6:$J$505,$A107,Caja!$C$6:$C$505,"Pago"))</f>
        <v/>
      </c>
      <c r="AE107" s="136">
        <f>IF($C107="","",IF(N($R107)&gt;0,$R107,$H107))</f>
        <v/>
      </c>
      <c r="AF107" s="1" t="n"/>
      <c r="AG107" s="1" t="n"/>
      <c r="AH107" s="1" t="n"/>
      <c r="AI107" s="1" t="n"/>
      <c r="AJ107" s="1" t="n"/>
      <c r="AK107" s="1" t="n"/>
    </row>
    <row r="108" ht="15" customHeight="1" s="311">
      <c r="A108" s="41">
        <f>IF($C108="","",ROW()-5)</f>
        <v/>
      </c>
      <c r="B108" s="146" t="n"/>
      <c r="C108" s="146" t="n"/>
      <c r="D108" s="146" t="n"/>
      <c r="E108" s="146" t="n"/>
      <c r="F108" s="146" t="n"/>
      <c r="G108" s="136" t="n"/>
      <c r="H108" s="136" t="n"/>
      <c r="I108" s="76" t="n"/>
      <c r="J108" s="76" t="n"/>
      <c r="K108" s="57">
        <f>IF($C108="","",IF($B108="Pagada",0,ROUND(MAX(0,N($I108)+N($T108)-N($J108)-N($AD108)),2)))</f>
        <v/>
      </c>
      <c r="L108" s="146" t="n"/>
      <c r="M108" s="59">
        <f>IF(OR($C108="",$AE108="",$K108=0),"",$AE108-TODAY())</f>
        <v/>
      </c>
      <c r="N108" s="62">
        <f>IF($C108="","",IF($K108=0,"✅ Saldada",IF($M108="","",IF($M108&lt;0,IF(N($R108)&gt;0,"🔴 APLAZADA VENCIDA","🔴 VENCIDA"),IF(N($R108)&gt;0,"🕓 Aplazada",IF($M108&lt;=3,"🟠 ≤3 días",IF($M108&lt;=7,"🟡 ≤7 días",IF($M108&lt;=30,"🔵 ≤30 días","⚪ &gt;30 días"))))))))</f>
        <v/>
      </c>
      <c r="O108" s="64">
        <f>IF($AE108="","",TEXT($AE108,"YYYY-MM"))</f>
        <v/>
      </c>
      <c r="P108" s="83" t="n"/>
      <c r="Q108" s="145" t="n"/>
      <c r="R108" s="136" t="n"/>
      <c r="S108" s="145" t="n"/>
      <c r="T108" s="76" t="n"/>
      <c r="U108" s="145" t="n"/>
      <c r="V108" s="145" t="n"/>
      <c r="W108" s="1" t="n"/>
      <c r="X108" s="1" t="n"/>
      <c r="Y108" s="1" t="n"/>
      <c r="Z108" s="1" t="n"/>
      <c r="AA108" s="67">
        <f>IF(OR($C108="",$K108=0,$P108=""),"",VALUE(LEFT($P108,1))*100000+N($M108)+ROW()/100000)</f>
        <v/>
      </c>
      <c r="AB108" s="67">
        <f>IF(OR($C108="",$K108=0,$AE108=""),"",$M108+ROW()/100000)</f>
        <v/>
      </c>
      <c r="AC108" s="41">
        <f t="array" ref="AC108">IF($C108="","",IFERROR(INDEX(Disponibilidad!$O$6:$O$18,MATCH($L108,Disponibilidad!$B$6:$B$18,0)),"Hogar"))</f>
        <v/>
      </c>
      <c r="AD108" s="74">
        <f>IF($C108="","",SUMIFS(Caja!$H$6:$H$505,Caja!$J$6:$J$505,$A108,Caja!$C$6:$C$505,"Pago"))</f>
        <v/>
      </c>
      <c r="AE108" s="136">
        <f>IF($C108="","",IF(N($R108)&gt;0,$R108,$H108))</f>
        <v/>
      </c>
      <c r="AF108" s="1" t="n"/>
      <c r="AG108" s="1" t="n"/>
      <c r="AH108" s="1" t="n"/>
      <c r="AI108" s="1" t="n"/>
      <c r="AJ108" s="1" t="n"/>
      <c r="AK108" s="1" t="n"/>
    </row>
    <row r="109" ht="15" customHeight="1" s="311">
      <c r="A109" s="41">
        <f>IF($C109="","",ROW()-5)</f>
        <v/>
      </c>
      <c r="B109" s="146" t="n"/>
      <c r="C109" s="146" t="n"/>
      <c r="D109" s="146" t="n"/>
      <c r="E109" s="146" t="n"/>
      <c r="F109" s="146" t="n"/>
      <c r="G109" s="136" t="n"/>
      <c r="H109" s="136" t="n"/>
      <c r="I109" s="76" t="n"/>
      <c r="J109" s="76" t="n"/>
      <c r="K109" s="57">
        <f>IF($C109="","",IF($B109="Pagada",0,ROUND(MAX(0,N($I109)+N($T109)-N($J109)-N($AD109)),2)))</f>
        <v/>
      </c>
      <c r="L109" s="146" t="n"/>
      <c r="M109" s="59">
        <f>IF(OR($C109="",$AE109="",$K109=0),"",$AE109-TODAY())</f>
        <v/>
      </c>
      <c r="N109" s="62">
        <f>IF($C109="","",IF($K109=0,"✅ Saldada",IF($M109="","",IF($M109&lt;0,IF(N($R109)&gt;0,"🔴 APLAZADA VENCIDA","🔴 VENCIDA"),IF(N($R109)&gt;0,"🕓 Aplazada",IF($M109&lt;=3,"🟠 ≤3 días",IF($M109&lt;=7,"🟡 ≤7 días",IF($M109&lt;=30,"🔵 ≤30 días","⚪ &gt;30 días"))))))))</f>
        <v/>
      </c>
      <c r="O109" s="64">
        <f>IF($AE109="","",TEXT($AE109,"YYYY-MM"))</f>
        <v/>
      </c>
      <c r="P109" s="83" t="n"/>
      <c r="Q109" s="145" t="n"/>
      <c r="R109" s="136" t="n"/>
      <c r="S109" s="145" t="n"/>
      <c r="T109" s="76" t="n"/>
      <c r="U109" s="145" t="n"/>
      <c r="V109" s="145" t="n"/>
      <c r="W109" s="1" t="n"/>
      <c r="X109" s="1" t="n"/>
      <c r="Y109" s="1" t="n"/>
      <c r="Z109" s="1" t="n"/>
      <c r="AA109" s="67">
        <f>IF(OR($C109="",$K109=0,$P109=""),"",VALUE(LEFT($P109,1))*100000+N($M109)+ROW()/100000)</f>
        <v/>
      </c>
      <c r="AB109" s="67">
        <f>IF(OR($C109="",$K109=0,$AE109=""),"",$M109+ROW()/100000)</f>
        <v/>
      </c>
      <c r="AC109" s="41">
        <f t="array" ref="AC109">IF($C109="","",IFERROR(INDEX(Disponibilidad!$O$6:$O$18,MATCH($L109,Disponibilidad!$B$6:$B$18,0)),"Hogar"))</f>
        <v/>
      </c>
      <c r="AD109" s="74">
        <f>IF($C109="","",SUMIFS(Caja!$H$6:$H$505,Caja!$J$6:$J$505,$A109,Caja!$C$6:$C$505,"Pago"))</f>
        <v/>
      </c>
      <c r="AE109" s="136">
        <f>IF($C109="","",IF(N($R109)&gt;0,$R109,$H109))</f>
        <v/>
      </c>
      <c r="AF109" s="1" t="n"/>
      <c r="AG109" s="1" t="n"/>
      <c r="AH109" s="1" t="n"/>
      <c r="AI109" s="1" t="n"/>
      <c r="AJ109" s="1" t="n"/>
      <c r="AK109" s="1" t="n"/>
    </row>
    <row r="110" ht="15" customHeight="1" s="311">
      <c r="A110" s="41">
        <f>IF($C110="","",ROW()-5)</f>
        <v/>
      </c>
      <c r="B110" s="146" t="n"/>
      <c r="C110" s="146" t="n"/>
      <c r="D110" s="146" t="n"/>
      <c r="E110" s="146" t="n"/>
      <c r="F110" s="146" t="n"/>
      <c r="G110" s="136" t="n"/>
      <c r="H110" s="136" t="n"/>
      <c r="I110" s="76" t="n"/>
      <c r="J110" s="76" t="n"/>
      <c r="K110" s="57">
        <f>IF($C110="","",IF($B110="Pagada",0,ROUND(MAX(0,N($I110)+N($T110)-N($J110)-N($AD110)),2)))</f>
        <v/>
      </c>
      <c r="L110" s="146" t="n"/>
      <c r="M110" s="59">
        <f>IF(OR($C110="",$AE110="",$K110=0),"",$AE110-TODAY())</f>
        <v/>
      </c>
      <c r="N110" s="62">
        <f>IF($C110="","",IF($K110=0,"✅ Saldada",IF($M110="","",IF($M110&lt;0,IF(N($R110)&gt;0,"🔴 APLAZADA VENCIDA","🔴 VENCIDA"),IF(N($R110)&gt;0,"🕓 Aplazada",IF($M110&lt;=3,"🟠 ≤3 días",IF($M110&lt;=7,"🟡 ≤7 días",IF($M110&lt;=30,"🔵 ≤30 días","⚪ &gt;30 días"))))))))</f>
        <v/>
      </c>
      <c r="O110" s="64">
        <f>IF($AE110="","",TEXT($AE110,"YYYY-MM"))</f>
        <v/>
      </c>
      <c r="P110" s="83" t="n"/>
      <c r="Q110" s="145" t="n"/>
      <c r="R110" s="136" t="n"/>
      <c r="S110" s="145" t="n"/>
      <c r="T110" s="76" t="n"/>
      <c r="U110" s="145" t="n"/>
      <c r="V110" s="145" t="n"/>
      <c r="W110" s="1" t="n"/>
      <c r="X110" s="1" t="n"/>
      <c r="Y110" s="1" t="n"/>
      <c r="Z110" s="1" t="n"/>
      <c r="AA110" s="67">
        <f>IF(OR($C110="",$K110=0,$P110=""),"",VALUE(LEFT($P110,1))*100000+N($M110)+ROW()/100000)</f>
        <v/>
      </c>
      <c r="AB110" s="67">
        <f>IF(OR($C110="",$K110=0,$AE110=""),"",$M110+ROW()/100000)</f>
        <v/>
      </c>
      <c r="AC110" s="41">
        <f t="array" ref="AC110">IF($C110="","",IFERROR(INDEX(Disponibilidad!$O$6:$O$18,MATCH($L110,Disponibilidad!$B$6:$B$18,0)),"Hogar"))</f>
        <v/>
      </c>
      <c r="AD110" s="74">
        <f>IF($C110="","",SUMIFS(Caja!$H$6:$H$505,Caja!$J$6:$J$505,$A110,Caja!$C$6:$C$505,"Pago"))</f>
        <v/>
      </c>
      <c r="AE110" s="136">
        <f>IF($C110="","",IF(N($R110)&gt;0,$R110,$H110))</f>
        <v/>
      </c>
      <c r="AF110" s="1" t="n"/>
      <c r="AG110" s="1" t="n"/>
      <c r="AH110" s="1" t="n"/>
      <c r="AI110" s="1" t="n"/>
      <c r="AJ110" s="1" t="n"/>
      <c r="AK110" s="1" t="n"/>
    </row>
    <row r="111" ht="15" customHeight="1" s="311">
      <c r="A111" s="41">
        <f>IF($C111="","",ROW()-5)</f>
        <v/>
      </c>
      <c r="B111" s="146" t="n"/>
      <c r="C111" s="146" t="n"/>
      <c r="D111" s="146" t="n"/>
      <c r="E111" s="146" t="n"/>
      <c r="F111" s="146" t="n"/>
      <c r="G111" s="136" t="n"/>
      <c r="H111" s="136" t="n"/>
      <c r="I111" s="76" t="n"/>
      <c r="J111" s="76" t="n"/>
      <c r="K111" s="57">
        <f>IF($C111="","",IF($B111="Pagada",0,ROUND(MAX(0,N($I111)+N($T111)-N($J111)-N($AD111)),2)))</f>
        <v/>
      </c>
      <c r="L111" s="146" t="n"/>
      <c r="M111" s="59">
        <f>IF(OR($C111="",$AE111="",$K111=0),"",$AE111-TODAY())</f>
        <v/>
      </c>
      <c r="N111" s="62">
        <f>IF($C111="","",IF($K111=0,"✅ Saldada",IF($M111="","",IF($M111&lt;0,IF(N($R111)&gt;0,"🔴 APLAZADA VENCIDA","🔴 VENCIDA"),IF(N($R111)&gt;0,"🕓 Aplazada",IF($M111&lt;=3,"🟠 ≤3 días",IF($M111&lt;=7,"🟡 ≤7 días",IF($M111&lt;=30,"🔵 ≤30 días","⚪ &gt;30 días"))))))))</f>
        <v/>
      </c>
      <c r="O111" s="64">
        <f>IF($AE111="","",TEXT($AE111,"YYYY-MM"))</f>
        <v/>
      </c>
      <c r="P111" s="83" t="n"/>
      <c r="Q111" s="145" t="n"/>
      <c r="R111" s="136" t="n"/>
      <c r="S111" s="145" t="n"/>
      <c r="T111" s="76" t="n"/>
      <c r="U111" s="145" t="n"/>
      <c r="V111" s="145" t="n"/>
      <c r="W111" s="1" t="n"/>
      <c r="X111" s="1" t="n"/>
      <c r="Y111" s="1" t="n"/>
      <c r="Z111" s="1" t="n"/>
      <c r="AA111" s="67">
        <f>IF(OR($C111="",$K111=0,$P111=""),"",VALUE(LEFT($P111,1))*100000+N($M111)+ROW()/100000)</f>
        <v/>
      </c>
      <c r="AB111" s="67">
        <f>IF(OR($C111="",$K111=0,$AE111=""),"",$M111+ROW()/100000)</f>
        <v/>
      </c>
      <c r="AC111" s="41">
        <f t="array" ref="AC111">IF($C111="","",IFERROR(INDEX(Disponibilidad!$O$6:$O$18,MATCH($L111,Disponibilidad!$B$6:$B$18,0)),"Hogar"))</f>
        <v/>
      </c>
      <c r="AD111" s="74">
        <f>IF($C111="","",SUMIFS(Caja!$H$6:$H$505,Caja!$J$6:$J$505,$A111,Caja!$C$6:$C$505,"Pago"))</f>
        <v/>
      </c>
      <c r="AE111" s="136">
        <f>IF($C111="","",IF(N($R111)&gt;0,$R111,$H111))</f>
        <v/>
      </c>
      <c r="AF111" s="1" t="n"/>
      <c r="AG111" s="1" t="n"/>
      <c r="AH111" s="1" t="n"/>
      <c r="AI111" s="1" t="n"/>
      <c r="AJ111" s="1" t="n"/>
      <c r="AK111" s="1" t="n"/>
    </row>
    <row r="112" ht="15" customHeight="1" s="311">
      <c r="A112" s="41">
        <f>IF($C112="","",ROW()-5)</f>
        <v/>
      </c>
      <c r="B112" s="146" t="n"/>
      <c r="C112" s="146" t="n"/>
      <c r="D112" s="146" t="n"/>
      <c r="E112" s="146" t="n"/>
      <c r="F112" s="146" t="n"/>
      <c r="G112" s="136" t="n"/>
      <c r="H112" s="136" t="n"/>
      <c r="I112" s="76" t="n"/>
      <c r="J112" s="76" t="n"/>
      <c r="K112" s="57">
        <f>IF($C112="","",IF($B112="Pagada",0,ROUND(MAX(0,N($I112)+N($T112)-N($J112)-N($AD112)),2)))</f>
        <v/>
      </c>
      <c r="L112" s="146" t="n"/>
      <c r="M112" s="59">
        <f>IF(OR($C112="",$AE112="",$K112=0),"",$AE112-TODAY())</f>
        <v/>
      </c>
      <c r="N112" s="62">
        <f>IF($C112="","",IF($K112=0,"✅ Saldada",IF($M112="","",IF($M112&lt;0,IF(N($R112)&gt;0,"🔴 APLAZADA VENCIDA","🔴 VENCIDA"),IF(N($R112)&gt;0,"🕓 Aplazada",IF($M112&lt;=3,"🟠 ≤3 días",IF($M112&lt;=7,"🟡 ≤7 días",IF($M112&lt;=30,"🔵 ≤30 días","⚪ &gt;30 días"))))))))</f>
        <v/>
      </c>
      <c r="O112" s="64">
        <f>IF($AE112="","",TEXT($AE112,"YYYY-MM"))</f>
        <v/>
      </c>
      <c r="P112" s="83" t="n"/>
      <c r="Q112" s="145" t="n"/>
      <c r="R112" s="136" t="n"/>
      <c r="S112" s="145" t="n"/>
      <c r="T112" s="76" t="n"/>
      <c r="U112" s="145" t="n"/>
      <c r="V112" s="145" t="n"/>
      <c r="W112" s="1" t="n"/>
      <c r="X112" s="1" t="n"/>
      <c r="Y112" s="1" t="n"/>
      <c r="Z112" s="1" t="n"/>
      <c r="AA112" s="67">
        <f>IF(OR($C112="",$K112=0,$P112=""),"",VALUE(LEFT($P112,1))*100000+N($M112)+ROW()/100000)</f>
        <v/>
      </c>
      <c r="AB112" s="67">
        <f>IF(OR($C112="",$K112=0,$AE112=""),"",$M112+ROW()/100000)</f>
        <v/>
      </c>
      <c r="AC112" s="41">
        <f t="array" ref="AC112">IF($C112="","",IFERROR(INDEX(Disponibilidad!$O$6:$O$18,MATCH($L112,Disponibilidad!$B$6:$B$18,0)),"Hogar"))</f>
        <v/>
      </c>
      <c r="AD112" s="74">
        <f>IF($C112="","",SUMIFS(Caja!$H$6:$H$505,Caja!$J$6:$J$505,$A112,Caja!$C$6:$C$505,"Pago"))</f>
        <v/>
      </c>
      <c r="AE112" s="136">
        <f>IF($C112="","",IF(N($R112)&gt;0,$R112,$H112))</f>
        <v/>
      </c>
      <c r="AF112" s="1" t="n"/>
      <c r="AG112" s="1" t="n"/>
      <c r="AH112" s="1" t="n"/>
      <c r="AI112" s="1" t="n"/>
      <c r="AJ112" s="1" t="n"/>
      <c r="AK112" s="1" t="n"/>
    </row>
    <row r="113" ht="15" customHeight="1" s="311">
      <c r="A113" s="41">
        <f>IF($C113="","",ROW()-5)</f>
        <v/>
      </c>
      <c r="B113" s="146" t="n"/>
      <c r="C113" s="146" t="n"/>
      <c r="D113" s="146" t="n"/>
      <c r="E113" s="146" t="n"/>
      <c r="F113" s="146" t="n"/>
      <c r="G113" s="136" t="n"/>
      <c r="H113" s="136" t="n"/>
      <c r="I113" s="76" t="n"/>
      <c r="J113" s="76" t="n"/>
      <c r="K113" s="57">
        <f>IF($C113="","",IF($B113="Pagada",0,ROUND(MAX(0,N($I113)+N($T113)-N($J113)-N($AD113)),2)))</f>
        <v/>
      </c>
      <c r="L113" s="146" t="n"/>
      <c r="M113" s="59">
        <f>IF(OR($C113="",$AE113="",$K113=0),"",$AE113-TODAY())</f>
        <v/>
      </c>
      <c r="N113" s="62">
        <f>IF($C113="","",IF($K113=0,"✅ Saldada",IF($M113="","",IF($M113&lt;0,IF(N($R113)&gt;0,"🔴 APLAZADA VENCIDA","🔴 VENCIDA"),IF(N($R113)&gt;0,"🕓 Aplazada",IF($M113&lt;=3,"🟠 ≤3 días",IF($M113&lt;=7,"🟡 ≤7 días",IF($M113&lt;=30,"🔵 ≤30 días","⚪ &gt;30 días"))))))))</f>
        <v/>
      </c>
      <c r="O113" s="64">
        <f>IF($AE113="","",TEXT($AE113,"YYYY-MM"))</f>
        <v/>
      </c>
      <c r="P113" s="83" t="n"/>
      <c r="Q113" s="145" t="n"/>
      <c r="R113" s="136" t="n"/>
      <c r="S113" s="145" t="n"/>
      <c r="T113" s="76" t="n"/>
      <c r="U113" s="145" t="n"/>
      <c r="V113" s="145" t="n"/>
      <c r="W113" s="1" t="n"/>
      <c r="X113" s="1" t="n"/>
      <c r="Y113" s="1" t="n"/>
      <c r="Z113" s="1" t="n"/>
      <c r="AA113" s="67">
        <f>IF(OR($C113="",$K113=0,$P113=""),"",VALUE(LEFT($P113,1))*100000+N($M113)+ROW()/100000)</f>
        <v/>
      </c>
      <c r="AB113" s="67">
        <f>IF(OR($C113="",$K113=0,$AE113=""),"",$M113+ROW()/100000)</f>
        <v/>
      </c>
      <c r="AC113" s="41">
        <f t="array" ref="AC113">IF($C113="","",IFERROR(INDEX(Disponibilidad!$O$6:$O$18,MATCH($L113,Disponibilidad!$B$6:$B$18,0)),"Hogar"))</f>
        <v/>
      </c>
      <c r="AD113" s="74">
        <f>IF($C113="","",SUMIFS(Caja!$H$6:$H$505,Caja!$J$6:$J$505,$A113,Caja!$C$6:$C$505,"Pago"))</f>
        <v/>
      </c>
      <c r="AE113" s="136">
        <f>IF($C113="","",IF(N($R113)&gt;0,$R113,$H113))</f>
        <v/>
      </c>
      <c r="AF113" s="1" t="n"/>
      <c r="AG113" s="1" t="n"/>
      <c r="AH113" s="1" t="n"/>
      <c r="AI113" s="1" t="n"/>
      <c r="AJ113" s="1" t="n"/>
      <c r="AK113" s="1" t="n"/>
    </row>
    <row r="114" ht="15" customHeight="1" s="311">
      <c r="A114" s="41">
        <f>IF($C114="","",ROW()-5)</f>
        <v/>
      </c>
      <c r="B114" s="146" t="n"/>
      <c r="C114" s="146" t="n"/>
      <c r="D114" s="146" t="n"/>
      <c r="E114" s="146" t="n"/>
      <c r="F114" s="146" t="n"/>
      <c r="G114" s="136" t="n"/>
      <c r="H114" s="136" t="n"/>
      <c r="I114" s="76" t="n"/>
      <c r="J114" s="76" t="n"/>
      <c r="K114" s="57">
        <f>IF($C114="","",IF($B114="Pagada",0,ROUND(MAX(0,N($I114)+N($T114)-N($J114)-N($AD114)),2)))</f>
        <v/>
      </c>
      <c r="L114" s="146" t="n"/>
      <c r="M114" s="59">
        <f>IF(OR($C114="",$AE114="",$K114=0),"",$AE114-TODAY())</f>
        <v/>
      </c>
      <c r="N114" s="62">
        <f>IF($C114="","",IF($K114=0,"✅ Saldada",IF($M114="","",IF($M114&lt;0,IF(N($R114)&gt;0,"🔴 APLAZADA VENCIDA","🔴 VENCIDA"),IF(N($R114)&gt;0,"🕓 Aplazada",IF($M114&lt;=3,"🟠 ≤3 días",IF($M114&lt;=7,"🟡 ≤7 días",IF($M114&lt;=30,"🔵 ≤30 días","⚪ &gt;30 días"))))))))</f>
        <v/>
      </c>
      <c r="O114" s="64">
        <f>IF($AE114="","",TEXT($AE114,"YYYY-MM"))</f>
        <v/>
      </c>
      <c r="P114" s="83" t="n"/>
      <c r="Q114" s="145" t="n"/>
      <c r="R114" s="136" t="n"/>
      <c r="S114" s="145" t="n"/>
      <c r="T114" s="76" t="n"/>
      <c r="U114" s="145" t="n"/>
      <c r="V114" s="145" t="n"/>
      <c r="W114" s="1" t="n"/>
      <c r="X114" s="1" t="n"/>
      <c r="Y114" s="1" t="n"/>
      <c r="Z114" s="1" t="n"/>
      <c r="AA114" s="67">
        <f>IF(OR($C114="",$K114=0,$P114=""),"",VALUE(LEFT($P114,1))*100000+N($M114)+ROW()/100000)</f>
        <v/>
      </c>
      <c r="AB114" s="67">
        <f>IF(OR($C114="",$K114=0,$AE114=""),"",$M114+ROW()/100000)</f>
        <v/>
      </c>
      <c r="AC114" s="41">
        <f t="array" ref="AC114">IF($C114="","",IFERROR(INDEX(Disponibilidad!$O$6:$O$18,MATCH($L114,Disponibilidad!$B$6:$B$18,0)),"Hogar"))</f>
        <v/>
      </c>
      <c r="AD114" s="74">
        <f>IF($C114="","",SUMIFS(Caja!$H$6:$H$505,Caja!$J$6:$J$505,$A114,Caja!$C$6:$C$505,"Pago"))</f>
        <v/>
      </c>
      <c r="AE114" s="136">
        <f>IF($C114="","",IF(N($R114)&gt;0,$R114,$H114))</f>
        <v/>
      </c>
      <c r="AF114" s="1" t="n"/>
      <c r="AG114" s="1" t="n"/>
      <c r="AH114" s="1" t="n"/>
      <c r="AI114" s="1" t="n"/>
      <c r="AJ114" s="1" t="n"/>
      <c r="AK114" s="1" t="n"/>
    </row>
    <row r="115" ht="15" customHeight="1" s="311">
      <c r="A115" s="41">
        <f>IF($C115="","",ROW()-5)</f>
        <v/>
      </c>
      <c r="B115" s="146" t="n"/>
      <c r="C115" s="146" t="n"/>
      <c r="D115" s="146" t="n"/>
      <c r="E115" s="146" t="n"/>
      <c r="F115" s="146" t="n"/>
      <c r="G115" s="136" t="n"/>
      <c r="H115" s="136" t="n"/>
      <c r="I115" s="76" t="n"/>
      <c r="J115" s="76" t="n"/>
      <c r="K115" s="57">
        <f>IF($C115="","",IF($B115="Pagada",0,ROUND(MAX(0,N($I115)+N($T115)-N($J115)-N($AD115)),2)))</f>
        <v/>
      </c>
      <c r="L115" s="146" t="n"/>
      <c r="M115" s="59">
        <f>IF(OR($C115="",$AE115="",$K115=0),"",$AE115-TODAY())</f>
        <v/>
      </c>
      <c r="N115" s="62">
        <f>IF($C115="","",IF($K115=0,"✅ Saldada",IF($M115="","",IF($M115&lt;0,IF(N($R115)&gt;0,"🔴 APLAZADA VENCIDA","🔴 VENCIDA"),IF(N($R115)&gt;0,"🕓 Aplazada",IF($M115&lt;=3,"🟠 ≤3 días",IF($M115&lt;=7,"🟡 ≤7 días",IF($M115&lt;=30,"🔵 ≤30 días","⚪ &gt;30 días"))))))))</f>
        <v/>
      </c>
      <c r="O115" s="64">
        <f>IF($AE115="","",TEXT($AE115,"YYYY-MM"))</f>
        <v/>
      </c>
      <c r="P115" s="83" t="n"/>
      <c r="Q115" s="145" t="n"/>
      <c r="R115" s="136" t="n"/>
      <c r="S115" s="145" t="n"/>
      <c r="T115" s="76" t="n"/>
      <c r="U115" s="145" t="n"/>
      <c r="V115" s="145" t="n"/>
      <c r="W115" s="1" t="n"/>
      <c r="X115" s="1" t="n"/>
      <c r="Y115" s="1" t="n"/>
      <c r="Z115" s="1" t="n"/>
      <c r="AA115" s="67">
        <f>IF(OR($C115="",$K115=0,$P115=""),"",VALUE(LEFT($P115,1))*100000+N($M115)+ROW()/100000)</f>
        <v/>
      </c>
      <c r="AB115" s="67">
        <f>IF(OR($C115="",$K115=0,$AE115=""),"",$M115+ROW()/100000)</f>
        <v/>
      </c>
      <c r="AC115" s="41">
        <f t="array" ref="AC115">IF($C115="","",IFERROR(INDEX(Disponibilidad!$O$6:$O$18,MATCH($L115,Disponibilidad!$B$6:$B$18,0)),"Hogar"))</f>
        <v/>
      </c>
      <c r="AD115" s="74">
        <f>IF($C115="","",SUMIFS(Caja!$H$6:$H$505,Caja!$J$6:$J$505,$A115,Caja!$C$6:$C$505,"Pago"))</f>
        <v/>
      </c>
      <c r="AE115" s="136">
        <f>IF($C115="","",IF(N($R115)&gt;0,$R115,$H115))</f>
        <v/>
      </c>
      <c r="AF115" s="1" t="n"/>
      <c r="AG115" s="1" t="n"/>
      <c r="AH115" s="1" t="n"/>
      <c r="AI115" s="1" t="n"/>
      <c r="AJ115" s="1" t="n"/>
      <c r="AK115" s="1" t="n"/>
    </row>
    <row r="116" ht="15" customHeight="1" s="311">
      <c r="A116" s="41">
        <f>IF($C116="","",ROW()-5)</f>
        <v/>
      </c>
      <c r="B116" s="146" t="n"/>
      <c r="C116" s="146" t="n"/>
      <c r="D116" s="146" t="n"/>
      <c r="E116" s="146" t="n"/>
      <c r="F116" s="146" t="n"/>
      <c r="G116" s="136" t="n"/>
      <c r="H116" s="136" t="n"/>
      <c r="I116" s="76" t="n"/>
      <c r="J116" s="76" t="n"/>
      <c r="K116" s="57">
        <f>IF($C116="","",IF($B116="Pagada",0,ROUND(MAX(0,N($I116)+N($T116)-N($J116)-N($AD116)),2)))</f>
        <v/>
      </c>
      <c r="L116" s="146" t="n"/>
      <c r="M116" s="59">
        <f>IF(OR($C116="",$AE116="",$K116=0),"",$AE116-TODAY())</f>
        <v/>
      </c>
      <c r="N116" s="62">
        <f>IF($C116="","",IF($K116=0,"✅ Saldada",IF($M116="","",IF($M116&lt;0,IF(N($R116)&gt;0,"🔴 APLAZADA VENCIDA","🔴 VENCIDA"),IF(N($R116)&gt;0,"🕓 Aplazada",IF($M116&lt;=3,"🟠 ≤3 días",IF($M116&lt;=7,"🟡 ≤7 días",IF($M116&lt;=30,"🔵 ≤30 días","⚪ &gt;30 días"))))))))</f>
        <v/>
      </c>
      <c r="O116" s="64">
        <f>IF($AE116="","",TEXT($AE116,"YYYY-MM"))</f>
        <v/>
      </c>
      <c r="P116" s="83" t="n"/>
      <c r="Q116" s="145" t="n"/>
      <c r="R116" s="136" t="n"/>
      <c r="S116" s="145" t="n"/>
      <c r="T116" s="76" t="n"/>
      <c r="U116" s="145" t="n"/>
      <c r="V116" s="145" t="n"/>
      <c r="W116" s="1" t="n"/>
      <c r="X116" s="1" t="n"/>
      <c r="Y116" s="1" t="n"/>
      <c r="Z116" s="1" t="n"/>
      <c r="AA116" s="67">
        <f>IF(OR($C116="",$K116=0,$P116=""),"",VALUE(LEFT($P116,1))*100000+N($M116)+ROW()/100000)</f>
        <v/>
      </c>
      <c r="AB116" s="67">
        <f>IF(OR($C116="",$K116=0,$AE116=""),"",$M116+ROW()/100000)</f>
        <v/>
      </c>
      <c r="AC116" s="41">
        <f t="array" ref="AC116">IF($C116="","",IFERROR(INDEX(Disponibilidad!$O$6:$O$18,MATCH($L116,Disponibilidad!$B$6:$B$18,0)),"Hogar"))</f>
        <v/>
      </c>
      <c r="AD116" s="74">
        <f>IF($C116="","",SUMIFS(Caja!$H$6:$H$505,Caja!$J$6:$J$505,$A116,Caja!$C$6:$C$505,"Pago"))</f>
        <v/>
      </c>
      <c r="AE116" s="136">
        <f>IF($C116="","",IF(N($R116)&gt;0,$R116,$H116))</f>
        <v/>
      </c>
      <c r="AF116" s="1" t="n"/>
      <c r="AG116" s="1" t="n"/>
      <c r="AH116" s="1" t="n"/>
      <c r="AI116" s="1" t="n"/>
      <c r="AJ116" s="1" t="n"/>
      <c r="AK116" s="1" t="n"/>
    </row>
    <row r="117" ht="15" customHeight="1" s="311">
      <c r="A117" s="41">
        <f>IF($C117="","",ROW()-5)</f>
        <v/>
      </c>
      <c r="B117" s="146" t="n"/>
      <c r="C117" s="146" t="n"/>
      <c r="D117" s="146" t="n"/>
      <c r="E117" s="146" t="n"/>
      <c r="F117" s="146" t="n"/>
      <c r="G117" s="136" t="n"/>
      <c r="H117" s="136" t="n"/>
      <c r="I117" s="76" t="n"/>
      <c r="J117" s="76" t="n"/>
      <c r="K117" s="57">
        <f>IF($C117="","",IF($B117="Pagada",0,ROUND(MAX(0,N($I117)+N($T117)-N($J117)-N($AD117)),2)))</f>
        <v/>
      </c>
      <c r="L117" s="146" t="n"/>
      <c r="M117" s="59">
        <f>IF(OR($C117="",$AE117="",$K117=0),"",$AE117-TODAY())</f>
        <v/>
      </c>
      <c r="N117" s="62">
        <f>IF($C117="","",IF($K117=0,"✅ Saldada",IF($M117="","",IF($M117&lt;0,IF(N($R117)&gt;0,"🔴 APLAZADA VENCIDA","🔴 VENCIDA"),IF(N($R117)&gt;0,"🕓 Aplazada",IF($M117&lt;=3,"🟠 ≤3 días",IF($M117&lt;=7,"🟡 ≤7 días",IF($M117&lt;=30,"🔵 ≤30 días","⚪ &gt;30 días"))))))))</f>
        <v/>
      </c>
      <c r="O117" s="64">
        <f>IF($AE117="","",TEXT($AE117,"YYYY-MM"))</f>
        <v/>
      </c>
      <c r="P117" s="83" t="n"/>
      <c r="Q117" s="145" t="n"/>
      <c r="R117" s="136" t="n"/>
      <c r="S117" s="145" t="n"/>
      <c r="T117" s="76" t="n"/>
      <c r="U117" s="145" t="n"/>
      <c r="V117" s="145" t="n"/>
      <c r="W117" s="1" t="n"/>
      <c r="X117" s="1" t="n"/>
      <c r="Y117" s="1" t="n"/>
      <c r="Z117" s="1" t="n"/>
      <c r="AA117" s="67">
        <f>IF(OR($C117="",$K117=0,$P117=""),"",VALUE(LEFT($P117,1))*100000+N($M117)+ROW()/100000)</f>
        <v/>
      </c>
      <c r="AB117" s="67">
        <f>IF(OR($C117="",$K117=0,$AE117=""),"",$M117+ROW()/100000)</f>
        <v/>
      </c>
      <c r="AC117" s="41">
        <f t="array" ref="AC117">IF($C117="","",IFERROR(INDEX(Disponibilidad!$O$6:$O$18,MATCH($L117,Disponibilidad!$B$6:$B$18,0)),"Hogar"))</f>
        <v/>
      </c>
      <c r="AD117" s="74">
        <f>IF($C117="","",SUMIFS(Caja!$H$6:$H$505,Caja!$J$6:$J$505,$A117,Caja!$C$6:$C$505,"Pago"))</f>
        <v/>
      </c>
      <c r="AE117" s="136">
        <f>IF($C117="","",IF(N($R117)&gt;0,$R117,$H117))</f>
        <v/>
      </c>
      <c r="AF117" s="1" t="n"/>
      <c r="AG117" s="1" t="n"/>
      <c r="AH117" s="1" t="n"/>
      <c r="AI117" s="1" t="n"/>
      <c r="AJ117" s="1" t="n"/>
      <c r="AK117" s="1" t="n"/>
    </row>
    <row r="118" ht="15" customHeight="1" s="311">
      <c r="A118" s="41">
        <f>IF($C118="","",ROW()-5)</f>
        <v/>
      </c>
      <c r="B118" s="146" t="n"/>
      <c r="C118" s="146" t="n"/>
      <c r="D118" s="146" t="n"/>
      <c r="E118" s="146" t="n"/>
      <c r="F118" s="146" t="n"/>
      <c r="G118" s="136" t="n"/>
      <c r="H118" s="136" t="n"/>
      <c r="I118" s="76" t="n"/>
      <c r="J118" s="76" t="n"/>
      <c r="K118" s="57">
        <f>IF($C118="","",IF($B118="Pagada",0,ROUND(MAX(0,N($I118)+N($T118)-N($J118)-N($AD118)),2)))</f>
        <v/>
      </c>
      <c r="L118" s="146" t="n"/>
      <c r="M118" s="59">
        <f>IF(OR($C118="",$AE118="",$K118=0),"",$AE118-TODAY())</f>
        <v/>
      </c>
      <c r="N118" s="62">
        <f>IF($C118="","",IF($K118=0,"✅ Saldada",IF($M118="","",IF($M118&lt;0,IF(N($R118)&gt;0,"🔴 APLAZADA VENCIDA","🔴 VENCIDA"),IF(N($R118)&gt;0,"🕓 Aplazada",IF($M118&lt;=3,"🟠 ≤3 días",IF($M118&lt;=7,"🟡 ≤7 días",IF($M118&lt;=30,"🔵 ≤30 días","⚪ &gt;30 días"))))))))</f>
        <v/>
      </c>
      <c r="O118" s="64">
        <f>IF($AE118="","",TEXT($AE118,"YYYY-MM"))</f>
        <v/>
      </c>
      <c r="P118" s="83" t="n"/>
      <c r="Q118" s="145" t="n"/>
      <c r="R118" s="136" t="n"/>
      <c r="S118" s="145" t="n"/>
      <c r="T118" s="76" t="n"/>
      <c r="U118" s="145" t="n"/>
      <c r="V118" s="145" t="n"/>
      <c r="W118" s="1" t="n"/>
      <c r="X118" s="1" t="n"/>
      <c r="Y118" s="1" t="n"/>
      <c r="Z118" s="1" t="n"/>
      <c r="AA118" s="67">
        <f>IF(OR($C118="",$K118=0,$P118=""),"",VALUE(LEFT($P118,1))*100000+N($M118)+ROW()/100000)</f>
        <v/>
      </c>
      <c r="AB118" s="67">
        <f>IF(OR($C118="",$K118=0,$AE118=""),"",$M118+ROW()/100000)</f>
        <v/>
      </c>
      <c r="AC118" s="41">
        <f t="array" ref="AC118">IF($C118="","",IFERROR(INDEX(Disponibilidad!$O$6:$O$18,MATCH($L118,Disponibilidad!$B$6:$B$18,0)),"Hogar"))</f>
        <v/>
      </c>
      <c r="AD118" s="74">
        <f>IF($C118="","",SUMIFS(Caja!$H$6:$H$505,Caja!$J$6:$J$505,$A118,Caja!$C$6:$C$505,"Pago"))</f>
        <v/>
      </c>
      <c r="AE118" s="136">
        <f>IF($C118="","",IF(N($R118)&gt;0,$R118,$H118))</f>
        <v/>
      </c>
      <c r="AF118" s="1" t="n"/>
      <c r="AG118" s="1" t="n"/>
      <c r="AH118" s="1" t="n"/>
      <c r="AI118" s="1" t="n"/>
      <c r="AJ118" s="1" t="n"/>
      <c r="AK118" s="1" t="n"/>
    </row>
    <row r="119" ht="15" customHeight="1" s="311">
      <c r="A119" s="41">
        <f>IF($C119="","",ROW()-5)</f>
        <v/>
      </c>
      <c r="B119" s="146" t="n"/>
      <c r="C119" s="146" t="n"/>
      <c r="D119" s="146" t="n"/>
      <c r="E119" s="146" t="n"/>
      <c r="F119" s="146" t="n"/>
      <c r="G119" s="136" t="n"/>
      <c r="H119" s="136" t="n"/>
      <c r="I119" s="76" t="n"/>
      <c r="J119" s="76" t="n"/>
      <c r="K119" s="57">
        <f>IF($C119="","",IF($B119="Pagada",0,ROUND(MAX(0,N($I119)+N($T119)-N($J119)-N($AD119)),2)))</f>
        <v/>
      </c>
      <c r="L119" s="146" t="n"/>
      <c r="M119" s="59">
        <f>IF(OR($C119="",$AE119="",$K119=0),"",$AE119-TODAY())</f>
        <v/>
      </c>
      <c r="N119" s="62">
        <f>IF($C119="","",IF($K119=0,"✅ Saldada",IF($M119="","",IF($M119&lt;0,IF(N($R119)&gt;0,"🔴 APLAZADA VENCIDA","🔴 VENCIDA"),IF(N($R119)&gt;0,"🕓 Aplazada",IF($M119&lt;=3,"🟠 ≤3 días",IF($M119&lt;=7,"🟡 ≤7 días",IF($M119&lt;=30,"🔵 ≤30 días","⚪ &gt;30 días"))))))))</f>
        <v/>
      </c>
      <c r="O119" s="64">
        <f>IF($AE119="","",TEXT($AE119,"YYYY-MM"))</f>
        <v/>
      </c>
      <c r="P119" s="83" t="n"/>
      <c r="Q119" s="145" t="n"/>
      <c r="R119" s="136" t="n"/>
      <c r="S119" s="145" t="n"/>
      <c r="T119" s="76" t="n"/>
      <c r="U119" s="145" t="n"/>
      <c r="V119" s="145" t="n"/>
      <c r="W119" s="1" t="n"/>
      <c r="X119" s="1" t="n"/>
      <c r="Y119" s="1" t="n"/>
      <c r="Z119" s="1" t="n"/>
      <c r="AA119" s="67">
        <f>IF(OR($C119="",$K119=0,$P119=""),"",VALUE(LEFT($P119,1))*100000+N($M119)+ROW()/100000)</f>
        <v/>
      </c>
      <c r="AB119" s="67">
        <f>IF(OR($C119="",$K119=0,$AE119=""),"",$M119+ROW()/100000)</f>
        <v/>
      </c>
      <c r="AC119" s="41">
        <f t="array" ref="AC119">IF($C119="","",IFERROR(INDEX(Disponibilidad!$O$6:$O$18,MATCH($L119,Disponibilidad!$B$6:$B$18,0)),"Hogar"))</f>
        <v/>
      </c>
      <c r="AD119" s="74">
        <f>IF($C119="","",SUMIFS(Caja!$H$6:$H$505,Caja!$J$6:$J$505,$A119,Caja!$C$6:$C$505,"Pago"))</f>
        <v/>
      </c>
      <c r="AE119" s="136">
        <f>IF($C119="","",IF(N($R119)&gt;0,$R119,$H119))</f>
        <v/>
      </c>
      <c r="AF119" s="1" t="n"/>
      <c r="AG119" s="1" t="n"/>
      <c r="AH119" s="1" t="n"/>
      <c r="AI119" s="1" t="n"/>
      <c r="AJ119" s="1" t="n"/>
      <c r="AK119" s="1" t="n"/>
    </row>
    <row r="120" ht="15" customHeight="1" s="311">
      <c r="A120" s="41">
        <f>IF($C120="","",ROW()-5)</f>
        <v/>
      </c>
      <c r="B120" s="146" t="n"/>
      <c r="C120" s="146" t="n"/>
      <c r="D120" s="146" t="n"/>
      <c r="E120" s="146" t="n"/>
      <c r="F120" s="146" t="n"/>
      <c r="G120" s="136" t="n"/>
      <c r="H120" s="136" t="n"/>
      <c r="I120" s="76" t="n"/>
      <c r="J120" s="76" t="n"/>
      <c r="K120" s="57">
        <f>IF($C120="","",IF($B120="Pagada",0,ROUND(MAX(0,N($I120)+N($T120)-N($J120)-N($AD120)),2)))</f>
        <v/>
      </c>
      <c r="L120" s="146" t="n"/>
      <c r="M120" s="59">
        <f>IF(OR($C120="",$AE120="",$K120=0),"",$AE120-TODAY())</f>
        <v/>
      </c>
      <c r="N120" s="62">
        <f>IF($C120="","",IF($K120=0,"✅ Saldada",IF($M120="","",IF($M120&lt;0,IF(N($R120)&gt;0,"🔴 APLAZADA VENCIDA","🔴 VENCIDA"),IF(N($R120)&gt;0,"🕓 Aplazada",IF($M120&lt;=3,"🟠 ≤3 días",IF($M120&lt;=7,"🟡 ≤7 días",IF($M120&lt;=30,"🔵 ≤30 días","⚪ &gt;30 días"))))))))</f>
        <v/>
      </c>
      <c r="O120" s="64">
        <f>IF($AE120="","",TEXT($AE120,"YYYY-MM"))</f>
        <v/>
      </c>
      <c r="P120" s="83" t="n"/>
      <c r="Q120" s="145" t="n"/>
      <c r="R120" s="136" t="n"/>
      <c r="S120" s="145" t="n"/>
      <c r="T120" s="76" t="n"/>
      <c r="U120" s="145" t="n"/>
      <c r="V120" s="145" t="n"/>
      <c r="W120" s="1" t="n"/>
      <c r="X120" s="1" t="n"/>
      <c r="Y120" s="1" t="n"/>
      <c r="Z120" s="1" t="n"/>
      <c r="AA120" s="67">
        <f>IF(OR($C120="",$K120=0,$P120=""),"",VALUE(LEFT($P120,1))*100000+N($M120)+ROW()/100000)</f>
        <v/>
      </c>
      <c r="AB120" s="67">
        <f>IF(OR($C120="",$K120=0,$AE120=""),"",$M120+ROW()/100000)</f>
        <v/>
      </c>
      <c r="AC120" s="41">
        <f t="array" ref="AC120">IF($C120="","",IFERROR(INDEX(Disponibilidad!$O$6:$O$18,MATCH($L120,Disponibilidad!$B$6:$B$18,0)),"Hogar"))</f>
        <v/>
      </c>
      <c r="AD120" s="74">
        <f>IF($C120="","",SUMIFS(Caja!$H$6:$H$505,Caja!$J$6:$J$505,$A120,Caja!$C$6:$C$505,"Pago"))</f>
        <v/>
      </c>
      <c r="AE120" s="136">
        <f>IF($C120="","",IF(N($R120)&gt;0,$R120,$H120))</f>
        <v/>
      </c>
      <c r="AF120" s="1" t="n"/>
      <c r="AG120" s="1" t="n"/>
      <c r="AH120" s="1" t="n"/>
      <c r="AI120" s="1" t="n"/>
      <c r="AJ120" s="1" t="n"/>
      <c r="AK120" s="1" t="n"/>
    </row>
    <row r="121" ht="15" customHeight="1" s="311">
      <c r="A121" s="41">
        <f>IF($C121="","",ROW()-5)</f>
        <v/>
      </c>
      <c r="B121" s="146" t="n"/>
      <c r="C121" s="146" t="n"/>
      <c r="D121" s="146" t="n"/>
      <c r="E121" s="146" t="n"/>
      <c r="F121" s="146" t="n"/>
      <c r="G121" s="136" t="n"/>
      <c r="H121" s="136" t="n"/>
      <c r="I121" s="76" t="n"/>
      <c r="J121" s="76" t="n"/>
      <c r="K121" s="57">
        <f>IF($C121="","",IF($B121="Pagada",0,ROUND(MAX(0,N($I121)+N($T121)-N($J121)-N($AD121)),2)))</f>
        <v/>
      </c>
      <c r="L121" s="146" t="n"/>
      <c r="M121" s="59">
        <f>IF(OR($C121="",$AE121="",$K121=0),"",$AE121-TODAY())</f>
        <v/>
      </c>
      <c r="N121" s="62">
        <f>IF($C121="","",IF($K121=0,"✅ Saldada",IF($M121="","",IF($M121&lt;0,IF(N($R121)&gt;0,"🔴 APLAZADA VENCIDA","🔴 VENCIDA"),IF(N($R121)&gt;0,"🕓 Aplazada",IF($M121&lt;=3,"🟠 ≤3 días",IF($M121&lt;=7,"🟡 ≤7 días",IF($M121&lt;=30,"🔵 ≤30 días","⚪ &gt;30 días"))))))))</f>
        <v/>
      </c>
      <c r="O121" s="64">
        <f>IF($AE121="","",TEXT($AE121,"YYYY-MM"))</f>
        <v/>
      </c>
      <c r="P121" s="83" t="n"/>
      <c r="Q121" s="145" t="n"/>
      <c r="R121" s="136" t="n"/>
      <c r="S121" s="145" t="n"/>
      <c r="T121" s="76" t="n"/>
      <c r="U121" s="145" t="n"/>
      <c r="V121" s="145" t="n"/>
      <c r="W121" s="1" t="n"/>
      <c r="X121" s="1" t="n"/>
      <c r="Y121" s="1" t="n"/>
      <c r="Z121" s="1" t="n"/>
      <c r="AA121" s="67">
        <f>IF(OR($C121="",$K121=0,$P121=""),"",VALUE(LEFT($P121,1))*100000+N($M121)+ROW()/100000)</f>
        <v/>
      </c>
      <c r="AB121" s="67">
        <f>IF(OR($C121="",$K121=0,$AE121=""),"",$M121+ROW()/100000)</f>
        <v/>
      </c>
      <c r="AC121" s="41">
        <f t="array" ref="AC121">IF($C121="","",IFERROR(INDEX(Disponibilidad!$O$6:$O$18,MATCH($L121,Disponibilidad!$B$6:$B$18,0)),"Hogar"))</f>
        <v/>
      </c>
      <c r="AD121" s="74">
        <f>IF($C121="","",SUMIFS(Caja!$H$6:$H$505,Caja!$J$6:$J$505,$A121,Caja!$C$6:$C$505,"Pago"))</f>
        <v/>
      </c>
      <c r="AE121" s="136">
        <f>IF($C121="","",IF(N($R121)&gt;0,$R121,$H121))</f>
        <v/>
      </c>
      <c r="AF121" s="1" t="n"/>
      <c r="AG121" s="1" t="n"/>
      <c r="AH121" s="1" t="n"/>
      <c r="AI121" s="1" t="n"/>
      <c r="AJ121" s="1" t="n"/>
      <c r="AK121" s="1" t="n"/>
    </row>
    <row r="122" ht="15" customHeight="1" s="311">
      <c r="A122" s="41">
        <f>IF($C122="","",ROW()-5)</f>
        <v/>
      </c>
      <c r="B122" s="146" t="n"/>
      <c r="C122" s="146" t="n"/>
      <c r="D122" s="146" t="n"/>
      <c r="E122" s="146" t="n"/>
      <c r="F122" s="146" t="n"/>
      <c r="G122" s="136" t="n"/>
      <c r="H122" s="136" t="n"/>
      <c r="I122" s="76" t="n"/>
      <c r="J122" s="76" t="n"/>
      <c r="K122" s="57">
        <f>IF($C122="","",IF($B122="Pagada",0,ROUND(MAX(0,N($I122)+N($T122)-N($J122)-N($AD122)),2)))</f>
        <v/>
      </c>
      <c r="L122" s="146" t="n"/>
      <c r="M122" s="59">
        <f>IF(OR($C122="",$AE122="",$K122=0),"",$AE122-TODAY())</f>
        <v/>
      </c>
      <c r="N122" s="62">
        <f>IF($C122="","",IF($K122=0,"✅ Saldada",IF($M122="","",IF($M122&lt;0,IF(N($R122)&gt;0,"🔴 APLAZADA VENCIDA","🔴 VENCIDA"),IF(N($R122)&gt;0,"🕓 Aplazada",IF($M122&lt;=3,"🟠 ≤3 días",IF($M122&lt;=7,"🟡 ≤7 días",IF($M122&lt;=30,"🔵 ≤30 días","⚪ &gt;30 días"))))))))</f>
        <v/>
      </c>
      <c r="O122" s="64">
        <f>IF($AE122="","",TEXT($AE122,"YYYY-MM"))</f>
        <v/>
      </c>
      <c r="P122" s="83" t="n"/>
      <c r="Q122" s="145" t="n"/>
      <c r="R122" s="136" t="n"/>
      <c r="S122" s="145" t="n"/>
      <c r="T122" s="76" t="n"/>
      <c r="U122" s="145" t="n"/>
      <c r="V122" s="145" t="n"/>
      <c r="W122" s="1" t="n"/>
      <c r="X122" s="1" t="n"/>
      <c r="Y122" s="1" t="n"/>
      <c r="Z122" s="1" t="n"/>
      <c r="AA122" s="67">
        <f>IF(OR($C122="",$K122=0,$P122=""),"",VALUE(LEFT($P122,1))*100000+N($M122)+ROW()/100000)</f>
        <v/>
      </c>
      <c r="AB122" s="67">
        <f>IF(OR($C122="",$K122=0,$AE122=""),"",$M122+ROW()/100000)</f>
        <v/>
      </c>
      <c r="AC122" s="41">
        <f t="array" ref="AC122">IF($C122="","",IFERROR(INDEX(Disponibilidad!$O$6:$O$18,MATCH($L122,Disponibilidad!$B$6:$B$18,0)),"Hogar"))</f>
        <v/>
      </c>
      <c r="AD122" s="74">
        <f>IF($C122="","",SUMIFS(Caja!$H$6:$H$505,Caja!$J$6:$J$505,$A122,Caja!$C$6:$C$505,"Pago"))</f>
        <v/>
      </c>
      <c r="AE122" s="136">
        <f>IF($C122="","",IF(N($R122)&gt;0,$R122,$H122))</f>
        <v/>
      </c>
      <c r="AF122" s="1" t="n"/>
      <c r="AG122" s="1" t="n"/>
      <c r="AH122" s="1" t="n"/>
      <c r="AI122" s="1" t="n"/>
      <c r="AJ122" s="1" t="n"/>
      <c r="AK122" s="1" t="n"/>
    </row>
    <row r="123" ht="15" customHeight="1" s="311">
      <c r="A123" s="41">
        <f>IF($C123="","",ROW()-5)</f>
        <v/>
      </c>
      <c r="B123" s="146" t="n"/>
      <c r="C123" s="146" t="n"/>
      <c r="D123" s="146" t="n"/>
      <c r="E123" s="146" t="n"/>
      <c r="F123" s="146" t="n"/>
      <c r="G123" s="136" t="n"/>
      <c r="H123" s="136" t="n"/>
      <c r="I123" s="76" t="n"/>
      <c r="J123" s="76" t="n"/>
      <c r="K123" s="57">
        <f>IF($C123="","",IF($B123="Pagada",0,ROUND(MAX(0,N($I123)+N($T123)-N($J123)-N($AD123)),2)))</f>
        <v/>
      </c>
      <c r="L123" s="146" t="n"/>
      <c r="M123" s="59">
        <f>IF(OR($C123="",$AE123="",$K123=0),"",$AE123-TODAY())</f>
        <v/>
      </c>
      <c r="N123" s="62">
        <f>IF($C123="","",IF($K123=0,"✅ Saldada",IF($M123="","",IF($M123&lt;0,IF(N($R123)&gt;0,"🔴 APLAZADA VENCIDA","🔴 VENCIDA"),IF(N($R123)&gt;0,"🕓 Aplazada",IF($M123&lt;=3,"🟠 ≤3 días",IF($M123&lt;=7,"🟡 ≤7 días",IF($M123&lt;=30,"🔵 ≤30 días","⚪ &gt;30 días"))))))))</f>
        <v/>
      </c>
      <c r="O123" s="64">
        <f>IF($AE123="","",TEXT($AE123,"YYYY-MM"))</f>
        <v/>
      </c>
      <c r="P123" s="83" t="n"/>
      <c r="Q123" s="145" t="n"/>
      <c r="R123" s="136" t="n"/>
      <c r="S123" s="145" t="n"/>
      <c r="T123" s="76" t="n"/>
      <c r="U123" s="145" t="n"/>
      <c r="V123" s="145" t="n"/>
      <c r="W123" s="1" t="n"/>
      <c r="X123" s="1" t="n"/>
      <c r="Y123" s="1" t="n"/>
      <c r="Z123" s="1" t="n"/>
      <c r="AA123" s="67">
        <f>IF(OR($C123="",$K123=0,$P123=""),"",VALUE(LEFT($P123,1))*100000+N($M123)+ROW()/100000)</f>
        <v/>
      </c>
      <c r="AB123" s="67">
        <f>IF(OR($C123="",$K123=0,$AE123=""),"",$M123+ROW()/100000)</f>
        <v/>
      </c>
      <c r="AC123" s="41">
        <f t="array" ref="AC123">IF($C123="","",IFERROR(INDEX(Disponibilidad!$O$6:$O$18,MATCH($L123,Disponibilidad!$B$6:$B$18,0)),"Hogar"))</f>
        <v/>
      </c>
      <c r="AD123" s="74">
        <f>IF($C123="","",SUMIFS(Caja!$H$6:$H$505,Caja!$J$6:$J$505,$A123,Caja!$C$6:$C$505,"Pago"))</f>
        <v/>
      </c>
      <c r="AE123" s="136">
        <f>IF($C123="","",IF(N($R123)&gt;0,$R123,$H123))</f>
        <v/>
      </c>
      <c r="AF123" s="1" t="n"/>
      <c r="AG123" s="1" t="n"/>
      <c r="AH123" s="1" t="n"/>
      <c r="AI123" s="1" t="n"/>
      <c r="AJ123" s="1" t="n"/>
      <c r="AK123" s="1" t="n"/>
    </row>
    <row r="124" ht="15" customHeight="1" s="311">
      <c r="A124" s="41">
        <f>IF($C124="","",ROW()-5)</f>
        <v/>
      </c>
      <c r="B124" s="146" t="n"/>
      <c r="C124" s="146" t="n"/>
      <c r="D124" s="146" t="n"/>
      <c r="E124" s="146" t="n"/>
      <c r="F124" s="146" t="n"/>
      <c r="G124" s="136" t="n"/>
      <c r="H124" s="136" t="n"/>
      <c r="I124" s="76" t="n"/>
      <c r="J124" s="76" t="n"/>
      <c r="K124" s="57">
        <f>IF($C124="","",IF($B124="Pagada",0,ROUND(MAX(0,N($I124)+N($T124)-N($J124)-N($AD124)),2)))</f>
        <v/>
      </c>
      <c r="L124" s="146" t="n"/>
      <c r="M124" s="59">
        <f>IF(OR($C124="",$AE124="",$K124=0),"",$AE124-TODAY())</f>
        <v/>
      </c>
      <c r="N124" s="62">
        <f>IF($C124="","",IF($K124=0,"✅ Saldada",IF($M124="","",IF($M124&lt;0,IF(N($R124)&gt;0,"🔴 APLAZADA VENCIDA","🔴 VENCIDA"),IF(N($R124)&gt;0,"🕓 Aplazada",IF($M124&lt;=3,"🟠 ≤3 días",IF($M124&lt;=7,"🟡 ≤7 días",IF($M124&lt;=30,"🔵 ≤30 días","⚪ &gt;30 días"))))))))</f>
        <v/>
      </c>
      <c r="O124" s="64">
        <f>IF($AE124="","",TEXT($AE124,"YYYY-MM"))</f>
        <v/>
      </c>
      <c r="P124" s="83" t="n"/>
      <c r="Q124" s="145" t="n"/>
      <c r="R124" s="136" t="n"/>
      <c r="S124" s="145" t="n"/>
      <c r="T124" s="76" t="n"/>
      <c r="U124" s="145" t="n"/>
      <c r="V124" s="145" t="n"/>
      <c r="W124" s="1" t="n"/>
      <c r="X124" s="1" t="n"/>
      <c r="Y124" s="1" t="n"/>
      <c r="Z124" s="1" t="n"/>
      <c r="AA124" s="67">
        <f>IF(OR($C124="",$K124=0,$P124=""),"",VALUE(LEFT($P124,1))*100000+N($M124)+ROW()/100000)</f>
        <v/>
      </c>
      <c r="AB124" s="67">
        <f>IF(OR($C124="",$K124=0,$AE124=""),"",$M124+ROW()/100000)</f>
        <v/>
      </c>
      <c r="AC124" s="41">
        <f t="array" ref="AC124">IF($C124="","",IFERROR(INDEX(Disponibilidad!$O$6:$O$18,MATCH($L124,Disponibilidad!$B$6:$B$18,0)),"Hogar"))</f>
        <v/>
      </c>
      <c r="AD124" s="74">
        <f>IF($C124="","",SUMIFS(Caja!$H$6:$H$505,Caja!$J$6:$J$505,$A124,Caja!$C$6:$C$505,"Pago"))</f>
        <v/>
      </c>
      <c r="AE124" s="136">
        <f>IF($C124="","",IF(N($R124)&gt;0,$R124,$H124))</f>
        <v/>
      </c>
      <c r="AF124" s="1" t="n"/>
      <c r="AG124" s="1" t="n"/>
      <c r="AH124" s="1" t="n"/>
      <c r="AI124" s="1" t="n"/>
      <c r="AJ124" s="1" t="n"/>
      <c r="AK124" s="1" t="n"/>
    </row>
    <row r="125" ht="15" customHeight="1" s="311">
      <c r="A125" s="41">
        <f>IF($C125="","",ROW()-5)</f>
        <v/>
      </c>
      <c r="B125" s="146" t="n"/>
      <c r="C125" s="146" t="n"/>
      <c r="D125" s="146" t="n"/>
      <c r="E125" s="146" t="n"/>
      <c r="F125" s="146" t="n"/>
      <c r="G125" s="136" t="n"/>
      <c r="H125" s="136" t="n"/>
      <c r="I125" s="76" t="n"/>
      <c r="J125" s="76" t="n"/>
      <c r="K125" s="57">
        <f>IF($C125="","",IF($B125="Pagada",0,ROUND(MAX(0,N($I125)+N($T125)-N($J125)-N($AD125)),2)))</f>
        <v/>
      </c>
      <c r="L125" s="146" t="n"/>
      <c r="M125" s="59">
        <f>IF(OR($C125="",$AE125="",$K125=0),"",$AE125-TODAY())</f>
        <v/>
      </c>
      <c r="N125" s="62">
        <f>IF($C125="","",IF($K125=0,"✅ Saldada",IF($M125="","",IF($M125&lt;0,IF(N($R125)&gt;0,"🔴 APLAZADA VENCIDA","🔴 VENCIDA"),IF(N($R125)&gt;0,"🕓 Aplazada",IF($M125&lt;=3,"🟠 ≤3 días",IF($M125&lt;=7,"🟡 ≤7 días",IF($M125&lt;=30,"🔵 ≤30 días","⚪ &gt;30 días"))))))))</f>
        <v/>
      </c>
      <c r="O125" s="64">
        <f>IF($AE125="","",TEXT($AE125,"YYYY-MM"))</f>
        <v/>
      </c>
      <c r="P125" s="83" t="n"/>
      <c r="Q125" s="145" t="n"/>
      <c r="R125" s="136" t="n"/>
      <c r="S125" s="145" t="n"/>
      <c r="T125" s="76" t="n"/>
      <c r="U125" s="145" t="n"/>
      <c r="V125" s="145" t="n"/>
      <c r="W125" s="1" t="n"/>
      <c r="X125" s="1" t="n"/>
      <c r="Y125" s="1" t="n"/>
      <c r="Z125" s="1" t="n"/>
      <c r="AA125" s="67">
        <f>IF(OR($C125="",$K125=0,$P125=""),"",VALUE(LEFT($P125,1))*100000+N($M125)+ROW()/100000)</f>
        <v/>
      </c>
      <c r="AB125" s="67">
        <f>IF(OR($C125="",$K125=0,$AE125=""),"",$M125+ROW()/100000)</f>
        <v/>
      </c>
      <c r="AC125" s="41">
        <f t="array" ref="AC125">IF($C125="","",IFERROR(INDEX(Disponibilidad!$O$6:$O$18,MATCH($L125,Disponibilidad!$B$6:$B$18,0)),"Hogar"))</f>
        <v/>
      </c>
      <c r="AD125" s="74">
        <f>IF($C125="","",SUMIFS(Caja!$H$6:$H$505,Caja!$J$6:$J$505,$A125,Caja!$C$6:$C$505,"Pago"))</f>
        <v/>
      </c>
      <c r="AE125" s="136">
        <f>IF($C125="","",IF(N($R125)&gt;0,$R125,$H125))</f>
        <v/>
      </c>
      <c r="AF125" s="1" t="n"/>
      <c r="AG125" s="1" t="n"/>
      <c r="AH125" s="1" t="n"/>
      <c r="AI125" s="1" t="n"/>
      <c r="AJ125" s="1" t="n"/>
      <c r="AK125" s="1" t="n"/>
    </row>
    <row r="126" ht="15" customHeight="1" s="311">
      <c r="A126" s="41">
        <f>IF($C126="","",ROW()-5)</f>
        <v/>
      </c>
      <c r="B126" s="146" t="n"/>
      <c r="C126" s="146" t="n"/>
      <c r="D126" s="146" t="n"/>
      <c r="E126" s="146" t="n"/>
      <c r="F126" s="146" t="n"/>
      <c r="G126" s="136" t="n"/>
      <c r="H126" s="136" t="n"/>
      <c r="I126" s="76" t="n"/>
      <c r="J126" s="76" t="n"/>
      <c r="K126" s="57">
        <f>IF($C126="","",IF($B126="Pagada",0,ROUND(MAX(0,N($I126)+N($T126)-N($J126)-N($AD126)),2)))</f>
        <v/>
      </c>
      <c r="L126" s="146" t="n"/>
      <c r="M126" s="59">
        <f>IF(OR($C126="",$AE126="",$K126=0),"",$AE126-TODAY())</f>
        <v/>
      </c>
      <c r="N126" s="62">
        <f>IF($C126="","",IF($K126=0,"✅ Saldada",IF($M126="","",IF($M126&lt;0,IF(N($R126)&gt;0,"🔴 APLAZADA VENCIDA","🔴 VENCIDA"),IF(N($R126)&gt;0,"🕓 Aplazada",IF($M126&lt;=3,"🟠 ≤3 días",IF($M126&lt;=7,"🟡 ≤7 días",IF($M126&lt;=30,"🔵 ≤30 días","⚪ &gt;30 días"))))))))</f>
        <v/>
      </c>
      <c r="O126" s="64">
        <f>IF($AE126="","",TEXT($AE126,"YYYY-MM"))</f>
        <v/>
      </c>
      <c r="P126" s="83" t="n"/>
      <c r="Q126" s="145" t="n"/>
      <c r="R126" s="136" t="n"/>
      <c r="S126" s="145" t="n"/>
      <c r="T126" s="76" t="n"/>
      <c r="U126" s="145" t="n"/>
      <c r="V126" s="145" t="n"/>
      <c r="W126" s="1" t="n"/>
      <c r="X126" s="1" t="n"/>
      <c r="Y126" s="1" t="n"/>
      <c r="Z126" s="1" t="n"/>
      <c r="AA126" s="67">
        <f>IF(OR($C126="",$K126=0,$P126=""),"",VALUE(LEFT($P126,1))*100000+N($M126)+ROW()/100000)</f>
        <v/>
      </c>
      <c r="AB126" s="67">
        <f>IF(OR($C126="",$K126=0,$AE126=""),"",$M126+ROW()/100000)</f>
        <v/>
      </c>
      <c r="AC126" s="41">
        <f t="array" ref="AC126">IF($C126="","",IFERROR(INDEX(Disponibilidad!$O$6:$O$18,MATCH($L126,Disponibilidad!$B$6:$B$18,0)),"Hogar"))</f>
        <v/>
      </c>
      <c r="AD126" s="74">
        <f>IF($C126="","",SUMIFS(Caja!$H$6:$H$505,Caja!$J$6:$J$505,$A126,Caja!$C$6:$C$505,"Pago"))</f>
        <v/>
      </c>
      <c r="AE126" s="136">
        <f>IF($C126="","",IF(N($R126)&gt;0,$R126,$H126))</f>
        <v/>
      </c>
      <c r="AF126" s="1" t="n"/>
      <c r="AG126" s="1" t="n"/>
      <c r="AH126" s="1" t="n"/>
      <c r="AI126" s="1" t="n"/>
      <c r="AJ126" s="1" t="n"/>
      <c r="AK126" s="1" t="n"/>
    </row>
    <row r="127" ht="15" customHeight="1" s="311">
      <c r="A127" s="41">
        <f>IF($C127="","",ROW()-5)</f>
        <v/>
      </c>
      <c r="B127" s="146" t="n"/>
      <c r="C127" s="146" t="n"/>
      <c r="D127" s="146" t="n"/>
      <c r="E127" s="146" t="n"/>
      <c r="F127" s="146" t="n"/>
      <c r="G127" s="136" t="n"/>
      <c r="H127" s="136" t="n"/>
      <c r="I127" s="76" t="n"/>
      <c r="J127" s="76" t="n"/>
      <c r="K127" s="57">
        <f>IF($C127="","",IF($B127="Pagada",0,ROUND(MAX(0,N($I127)+N($T127)-N($J127)-N($AD127)),2)))</f>
        <v/>
      </c>
      <c r="L127" s="146" t="n"/>
      <c r="M127" s="59">
        <f>IF(OR($C127="",$AE127="",$K127=0),"",$AE127-TODAY())</f>
        <v/>
      </c>
      <c r="N127" s="62">
        <f>IF($C127="","",IF($K127=0,"✅ Saldada",IF($M127="","",IF($M127&lt;0,IF(N($R127)&gt;0,"🔴 APLAZADA VENCIDA","🔴 VENCIDA"),IF(N($R127)&gt;0,"🕓 Aplazada",IF($M127&lt;=3,"🟠 ≤3 días",IF($M127&lt;=7,"🟡 ≤7 días",IF($M127&lt;=30,"🔵 ≤30 días","⚪ &gt;30 días"))))))))</f>
        <v/>
      </c>
      <c r="O127" s="64">
        <f>IF($AE127="","",TEXT($AE127,"YYYY-MM"))</f>
        <v/>
      </c>
      <c r="P127" s="83" t="n"/>
      <c r="Q127" s="145" t="n"/>
      <c r="R127" s="136" t="n"/>
      <c r="S127" s="145" t="n"/>
      <c r="T127" s="76" t="n"/>
      <c r="U127" s="145" t="n"/>
      <c r="V127" s="145" t="n"/>
      <c r="W127" s="1" t="n"/>
      <c r="X127" s="1" t="n"/>
      <c r="Y127" s="1" t="n"/>
      <c r="Z127" s="1" t="n"/>
      <c r="AA127" s="67">
        <f>IF(OR($C127="",$K127=0,$P127=""),"",VALUE(LEFT($P127,1))*100000+N($M127)+ROW()/100000)</f>
        <v/>
      </c>
      <c r="AB127" s="67">
        <f>IF(OR($C127="",$K127=0,$AE127=""),"",$M127+ROW()/100000)</f>
        <v/>
      </c>
      <c r="AC127" s="41">
        <f t="array" ref="AC127">IF($C127="","",IFERROR(INDEX(Disponibilidad!$O$6:$O$18,MATCH($L127,Disponibilidad!$B$6:$B$18,0)),"Hogar"))</f>
        <v/>
      </c>
      <c r="AD127" s="74">
        <f>IF($C127="","",SUMIFS(Caja!$H$6:$H$505,Caja!$J$6:$J$505,$A127,Caja!$C$6:$C$505,"Pago"))</f>
        <v/>
      </c>
      <c r="AE127" s="136">
        <f>IF($C127="","",IF(N($R127)&gt;0,$R127,$H127))</f>
        <v/>
      </c>
      <c r="AF127" s="1" t="n"/>
      <c r="AG127" s="1" t="n"/>
      <c r="AH127" s="1" t="n"/>
      <c r="AI127" s="1" t="n"/>
      <c r="AJ127" s="1" t="n"/>
      <c r="AK127" s="1" t="n"/>
    </row>
    <row r="128" ht="15" customHeight="1" s="311">
      <c r="A128" s="41">
        <f>IF($C128="","",ROW()-5)</f>
        <v/>
      </c>
      <c r="B128" s="146" t="n"/>
      <c r="C128" s="146" t="n"/>
      <c r="D128" s="146" t="n"/>
      <c r="E128" s="146" t="n"/>
      <c r="F128" s="146" t="n"/>
      <c r="G128" s="136" t="n"/>
      <c r="H128" s="136" t="n"/>
      <c r="I128" s="76" t="n"/>
      <c r="J128" s="76" t="n"/>
      <c r="K128" s="57">
        <f>IF($C128="","",IF($B128="Pagada",0,ROUND(MAX(0,N($I128)+N($T128)-N($J128)-N($AD128)),2)))</f>
        <v/>
      </c>
      <c r="L128" s="146" t="n"/>
      <c r="M128" s="59">
        <f>IF(OR($C128="",$AE128="",$K128=0),"",$AE128-TODAY())</f>
        <v/>
      </c>
      <c r="N128" s="62">
        <f>IF($C128="","",IF($K128=0,"✅ Saldada",IF($M128="","",IF($M128&lt;0,IF(N($R128)&gt;0,"🔴 APLAZADA VENCIDA","🔴 VENCIDA"),IF(N($R128)&gt;0,"🕓 Aplazada",IF($M128&lt;=3,"🟠 ≤3 días",IF($M128&lt;=7,"🟡 ≤7 días",IF($M128&lt;=30,"🔵 ≤30 días","⚪ &gt;30 días"))))))))</f>
        <v/>
      </c>
      <c r="O128" s="64">
        <f>IF($AE128="","",TEXT($AE128,"YYYY-MM"))</f>
        <v/>
      </c>
      <c r="P128" s="83" t="n"/>
      <c r="Q128" s="145" t="n"/>
      <c r="R128" s="136" t="n"/>
      <c r="S128" s="145" t="n"/>
      <c r="T128" s="76" t="n"/>
      <c r="U128" s="145" t="n"/>
      <c r="V128" s="145" t="n"/>
      <c r="W128" s="1" t="n"/>
      <c r="X128" s="1" t="n"/>
      <c r="Y128" s="1" t="n"/>
      <c r="Z128" s="1" t="n"/>
      <c r="AA128" s="67">
        <f>IF(OR($C128="",$K128=0,$P128=""),"",VALUE(LEFT($P128,1))*100000+N($M128)+ROW()/100000)</f>
        <v/>
      </c>
      <c r="AB128" s="67">
        <f>IF(OR($C128="",$K128=0,$AE128=""),"",$M128+ROW()/100000)</f>
        <v/>
      </c>
      <c r="AC128" s="41">
        <f t="array" ref="AC128">IF($C128="","",IFERROR(INDEX(Disponibilidad!$O$6:$O$18,MATCH($L128,Disponibilidad!$B$6:$B$18,0)),"Hogar"))</f>
        <v/>
      </c>
      <c r="AD128" s="74">
        <f>IF($C128="","",SUMIFS(Caja!$H$6:$H$505,Caja!$J$6:$J$505,$A128,Caja!$C$6:$C$505,"Pago"))</f>
        <v/>
      </c>
      <c r="AE128" s="136">
        <f>IF($C128="","",IF(N($R128)&gt;0,$R128,$H128))</f>
        <v/>
      </c>
      <c r="AF128" s="1" t="n"/>
      <c r="AG128" s="1" t="n"/>
      <c r="AH128" s="1" t="n"/>
      <c r="AI128" s="1" t="n"/>
      <c r="AJ128" s="1" t="n"/>
      <c r="AK128" s="1" t="n"/>
    </row>
    <row r="129" ht="15" customHeight="1" s="311">
      <c r="A129" s="41">
        <f>IF($C129="","",ROW()-5)</f>
        <v/>
      </c>
      <c r="B129" s="146" t="n"/>
      <c r="C129" s="146" t="n"/>
      <c r="D129" s="146" t="n"/>
      <c r="E129" s="146" t="n"/>
      <c r="F129" s="146" t="n"/>
      <c r="G129" s="136" t="n"/>
      <c r="H129" s="136" t="n"/>
      <c r="I129" s="76" t="n"/>
      <c r="J129" s="76" t="n"/>
      <c r="K129" s="57">
        <f>IF($C129="","",IF($B129="Pagada",0,ROUND(MAX(0,N($I129)+N($T129)-N($J129)-N($AD129)),2)))</f>
        <v/>
      </c>
      <c r="L129" s="146" t="n"/>
      <c r="M129" s="59">
        <f>IF(OR($C129="",$AE129="",$K129=0),"",$AE129-TODAY())</f>
        <v/>
      </c>
      <c r="N129" s="62">
        <f>IF($C129="","",IF($K129=0,"✅ Saldada",IF($M129="","",IF($M129&lt;0,IF(N($R129)&gt;0,"🔴 APLAZADA VENCIDA","🔴 VENCIDA"),IF(N($R129)&gt;0,"🕓 Aplazada",IF($M129&lt;=3,"🟠 ≤3 días",IF($M129&lt;=7,"🟡 ≤7 días",IF($M129&lt;=30,"🔵 ≤30 días","⚪ &gt;30 días"))))))))</f>
        <v/>
      </c>
      <c r="O129" s="64">
        <f>IF($AE129="","",TEXT($AE129,"YYYY-MM"))</f>
        <v/>
      </c>
      <c r="P129" s="83" t="n"/>
      <c r="Q129" s="145" t="n"/>
      <c r="R129" s="136" t="n"/>
      <c r="S129" s="145" t="n"/>
      <c r="T129" s="76" t="n"/>
      <c r="U129" s="145" t="n"/>
      <c r="V129" s="145" t="n"/>
      <c r="W129" s="1" t="n"/>
      <c r="X129" s="1" t="n"/>
      <c r="Y129" s="1" t="n"/>
      <c r="Z129" s="1" t="n"/>
      <c r="AA129" s="67">
        <f>IF(OR($C129="",$K129=0,$P129=""),"",VALUE(LEFT($P129,1))*100000+N($M129)+ROW()/100000)</f>
        <v/>
      </c>
      <c r="AB129" s="67">
        <f>IF(OR($C129="",$K129=0,$AE129=""),"",$M129+ROW()/100000)</f>
        <v/>
      </c>
      <c r="AC129" s="41">
        <f t="array" ref="AC129">IF($C129="","",IFERROR(INDEX(Disponibilidad!$O$6:$O$18,MATCH($L129,Disponibilidad!$B$6:$B$18,0)),"Hogar"))</f>
        <v/>
      </c>
      <c r="AD129" s="74">
        <f>IF($C129="","",SUMIFS(Caja!$H$6:$H$505,Caja!$J$6:$J$505,$A129,Caja!$C$6:$C$505,"Pago"))</f>
        <v/>
      </c>
      <c r="AE129" s="136">
        <f>IF($C129="","",IF(N($R129)&gt;0,$R129,$H129))</f>
        <v/>
      </c>
      <c r="AF129" s="1" t="n"/>
      <c r="AG129" s="1" t="n"/>
      <c r="AH129" s="1" t="n"/>
      <c r="AI129" s="1" t="n"/>
      <c r="AJ129" s="1" t="n"/>
      <c r="AK129" s="1" t="n"/>
    </row>
    <row r="130" ht="15" customHeight="1" s="311">
      <c r="A130" s="41">
        <f>IF($C130="","",ROW()-5)</f>
        <v/>
      </c>
      <c r="B130" s="146" t="n"/>
      <c r="C130" s="146" t="n"/>
      <c r="D130" s="146" t="n"/>
      <c r="E130" s="146" t="n"/>
      <c r="F130" s="146" t="n"/>
      <c r="G130" s="136" t="n"/>
      <c r="H130" s="136" t="n"/>
      <c r="I130" s="76" t="n"/>
      <c r="J130" s="76" t="n"/>
      <c r="K130" s="57">
        <f>IF($C130="","",IF($B130="Pagada",0,ROUND(MAX(0,N($I130)+N($T130)-N($J130)-N($AD130)),2)))</f>
        <v/>
      </c>
      <c r="L130" s="146" t="n"/>
      <c r="M130" s="59">
        <f>IF(OR($C130="",$AE130="",$K130=0),"",$AE130-TODAY())</f>
        <v/>
      </c>
      <c r="N130" s="62">
        <f>IF($C130="","",IF($K130=0,"✅ Saldada",IF($M130="","",IF($M130&lt;0,IF(N($R130)&gt;0,"🔴 APLAZADA VENCIDA","🔴 VENCIDA"),IF(N($R130)&gt;0,"🕓 Aplazada",IF($M130&lt;=3,"🟠 ≤3 días",IF($M130&lt;=7,"🟡 ≤7 días",IF($M130&lt;=30,"🔵 ≤30 días","⚪ &gt;30 días"))))))))</f>
        <v/>
      </c>
      <c r="O130" s="64">
        <f>IF($AE130="","",TEXT($AE130,"YYYY-MM"))</f>
        <v/>
      </c>
      <c r="P130" s="83" t="n"/>
      <c r="Q130" s="145" t="n"/>
      <c r="R130" s="136" t="n"/>
      <c r="S130" s="145" t="n"/>
      <c r="T130" s="76" t="n"/>
      <c r="U130" s="145" t="n"/>
      <c r="V130" s="145" t="n"/>
      <c r="W130" s="1" t="n"/>
      <c r="X130" s="1" t="n"/>
      <c r="Y130" s="1" t="n"/>
      <c r="Z130" s="1" t="n"/>
      <c r="AA130" s="67">
        <f>IF(OR($C130="",$K130=0,$P130=""),"",VALUE(LEFT($P130,1))*100000+N($M130)+ROW()/100000)</f>
        <v/>
      </c>
      <c r="AB130" s="67">
        <f>IF(OR($C130="",$K130=0,$AE130=""),"",$M130+ROW()/100000)</f>
        <v/>
      </c>
      <c r="AC130" s="41">
        <f t="array" ref="AC130">IF($C130="","",IFERROR(INDEX(Disponibilidad!$O$6:$O$18,MATCH($L130,Disponibilidad!$B$6:$B$18,0)),"Hogar"))</f>
        <v/>
      </c>
      <c r="AD130" s="74">
        <f>IF($C130="","",SUMIFS(Caja!$H$6:$H$505,Caja!$J$6:$J$505,$A130,Caja!$C$6:$C$505,"Pago"))</f>
        <v/>
      </c>
      <c r="AE130" s="136">
        <f>IF($C130="","",IF(N($R130)&gt;0,$R130,$H130))</f>
        <v/>
      </c>
      <c r="AF130" s="1" t="n"/>
      <c r="AG130" s="1" t="n"/>
      <c r="AH130" s="1" t="n"/>
      <c r="AI130" s="1" t="n"/>
      <c r="AJ130" s="1" t="n"/>
      <c r="AK130" s="1" t="n"/>
    </row>
    <row r="131" ht="15" customHeight="1" s="311">
      <c r="A131" s="41">
        <f>IF($C131="","",ROW()-5)</f>
        <v/>
      </c>
      <c r="B131" s="146" t="n"/>
      <c r="C131" s="146" t="n"/>
      <c r="D131" s="146" t="n"/>
      <c r="E131" s="146" t="n"/>
      <c r="F131" s="146" t="n"/>
      <c r="G131" s="136" t="n"/>
      <c r="H131" s="136" t="n"/>
      <c r="I131" s="76" t="n"/>
      <c r="J131" s="76" t="n"/>
      <c r="K131" s="57">
        <f>IF($C131="","",IF($B131="Pagada",0,ROUND(MAX(0,N($I131)+N($T131)-N($J131)-N($AD131)),2)))</f>
        <v/>
      </c>
      <c r="L131" s="146" t="n"/>
      <c r="M131" s="59">
        <f>IF(OR($C131="",$AE131="",$K131=0),"",$AE131-TODAY())</f>
        <v/>
      </c>
      <c r="N131" s="62">
        <f>IF($C131="","",IF($K131=0,"✅ Saldada",IF($M131="","",IF($M131&lt;0,IF(N($R131)&gt;0,"🔴 APLAZADA VENCIDA","🔴 VENCIDA"),IF(N($R131)&gt;0,"🕓 Aplazada",IF($M131&lt;=3,"🟠 ≤3 días",IF($M131&lt;=7,"🟡 ≤7 días",IF($M131&lt;=30,"🔵 ≤30 días","⚪ &gt;30 días"))))))))</f>
        <v/>
      </c>
      <c r="O131" s="64">
        <f>IF($AE131="","",TEXT($AE131,"YYYY-MM"))</f>
        <v/>
      </c>
      <c r="P131" s="83" t="n"/>
      <c r="Q131" s="145" t="n"/>
      <c r="R131" s="136" t="n"/>
      <c r="S131" s="145" t="n"/>
      <c r="T131" s="76" t="n"/>
      <c r="U131" s="145" t="n"/>
      <c r="V131" s="145" t="n"/>
      <c r="W131" s="1" t="n"/>
      <c r="X131" s="1" t="n"/>
      <c r="Y131" s="1" t="n"/>
      <c r="Z131" s="1" t="n"/>
      <c r="AA131" s="67">
        <f>IF(OR($C131="",$K131=0,$P131=""),"",VALUE(LEFT($P131,1))*100000+N($M131)+ROW()/100000)</f>
        <v/>
      </c>
      <c r="AB131" s="67">
        <f>IF(OR($C131="",$K131=0,$AE131=""),"",$M131+ROW()/100000)</f>
        <v/>
      </c>
      <c r="AC131" s="41">
        <f t="array" ref="AC131">IF($C131="","",IFERROR(INDEX(Disponibilidad!$O$6:$O$18,MATCH($L131,Disponibilidad!$B$6:$B$18,0)),"Hogar"))</f>
        <v/>
      </c>
      <c r="AD131" s="74">
        <f>IF($C131="","",SUMIFS(Caja!$H$6:$H$505,Caja!$J$6:$J$505,$A131,Caja!$C$6:$C$505,"Pago"))</f>
        <v/>
      </c>
      <c r="AE131" s="136">
        <f>IF($C131="","",IF(N($R131)&gt;0,$R131,$H131))</f>
        <v/>
      </c>
      <c r="AF131" s="1" t="n"/>
      <c r="AG131" s="1" t="n"/>
      <c r="AH131" s="1" t="n"/>
      <c r="AI131" s="1" t="n"/>
      <c r="AJ131" s="1" t="n"/>
      <c r="AK131" s="1" t="n"/>
    </row>
    <row r="132" ht="15" customHeight="1" s="311">
      <c r="A132" s="41">
        <f>IF($C132="","",ROW()-5)</f>
        <v/>
      </c>
      <c r="B132" s="146" t="n"/>
      <c r="C132" s="146" t="n"/>
      <c r="D132" s="146" t="n"/>
      <c r="E132" s="146" t="n"/>
      <c r="F132" s="146" t="n"/>
      <c r="G132" s="136" t="n"/>
      <c r="H132" s="136" t="n"/>
      <c r="I132" s="76" t="n"/>
      <c r="J132" s="76" t="n"/>
      <c r="K132" s="57">
        <f>IF($C132="","",IF($B132="Pagada",0,ROUND(MAX(0,N($I132)+N($T132)-N($J132)-N($AD132)),2)))</f>
        <v/>
      </c>
      <c r="L132" s="146" t="n"/>
      <c r="M132" s="59">
        <f>IF(OR($C132="",$AE132="",$K132=0),"",$AE132-TODAY())</f>
        <v/>
      </c>
      <c r="N132" s="62">
        <f>IF($C132="","",IF($K132=0,"✅ Saldada",IF($M132="","",IF($M132&lt;0,IF(N($R132)&gt;0,"🔴 APLAZADA VENCIDA","🔴 VENCIDA"),IF(N($R132)&gt;0,"🕓 Aplazada",IF($M132&lt;=3,"🟠 ≤3 días",IF($M132&lt;=7,"🟡 ≤7 días",IF($M132&lt;=30,"🔵 ≤30 días","⚪ &gt;30 días"))))))))</f>
        <v/>
      </c>
      <c r="O132" s="64">
        <f>IF($AE132="","",TEXT($AE132,"YYYY-MM"))</f>
        <v/>
      </c>
      <c r="P132" s="83" t="n"/>
      <c r="Q132" s="145" t="n"/>
      <c r="R132" s="136" t="n"/>
      <c r="S132" s="145" t="n"/>
      <c r="T132" s="76" t="n"/>
      <c r="U132" s="145" t="n"/>
      <c r="V132" s="145" t="n"/>
      <c r="W132" s="1" t="n"/>
      <c r="X132" s="1" t="n"/>
      <c r="Y132" s="1" t="n"/>
      <c r="Z132" s="1" t="n"/>
      <c r="AA132" s="67">
        <f>IF(OR($C132="",$K132=0,$P132=""),"",VALUE(LEFT($P132,1))*100000+N($M132)+ROW()/100000)</f>
        <v/>
      </c>
      <c r="AB132" s="67">
        <f>IF(OR($C132="",$K132=0,$AE132=""),"",$M132+ROW()/100000)</f>
        <v/>
      </c>
      <c r="AC132" s="41">
        <f t="array" ref="AC132">IF($C132="","",IFERROR(INDEX(Disponibilidad!$O$6:$O$18,MATCH($L132,Disponibilidad!$B$6:$B$18,0)),"Hogar"))</f>
        <v/>
      </c>
      <c r="AD132" s="74">
        <f>IF($C132="","",SUMIFS(Caja!$H$6:$H$505,Caja!$J$6:$J$505,$A132,Caja!$C$6:$C$505,"Pago"))</f>
        <v/>
      </c>
      <c r="AE132" s="136">
        <f>IF($C132="","",IF(N($R132)&gt;0,$R132,$H132))</f>
        <v/>
      </c>
      <c r="AF132" s="1" t="n"/>
      <c r="AG132" s="1" t="n"/>
      <c r="AH132" s="1" t="n"/>
      <c r="AI132" s="1" t="n"/>
      <c r="AJ132" s="1" t="n"/>
      <c r="AK132" s="1" t="n"/>
    </row>
    <row r="133" ht="15" customHeight="1" s="311">
      <c r="A133" s="41">
        <f>IF($C133="","",ROW()-5)</f>
        <v/>
      </c>
      <c r="B133" s="146" t="n"/>
      <c r="C133" s="146" t="n"/>
      <c r="D133" s="146" t="n"/>
      <c r="E133" s="146" t="n"/>
      <c r="F133" s="146" t="n"/>
      <c r="G133" s="136" t="n"/>
      <c r="H133" s="136" t="n"/>
      <c r="I133" s="76" t="n"/>
      <c r="J133" s="76" t="n"/>
      <c r="K133" s="57">
        <f>IF($C133="","",IF($B133="Pagada",0,ROUND(MAX(0,N($I133)+N($T133)-N($J133)-N($AD133)),2)))</f>
        <v/>
      </c>
      <c r="L133" s="146" t="n"/>
      <c r="M133" s="59">
        <f>IF(OR($C133="",$AE133="",$K133=0),"",$AE133-TODAY())</f>
        <v/>
      </c>
      <c r="N133" s="62">
        <f>IF($C133="","",IF($K133=0,"✅ Saldada",IF($M133="","",IF($M133&lt;0,IF(N($R133)&gt;0,"🔴 APLAZADA VENCIDA","🔴 VENCIDA"),IF(N($R133)&gt;0,"🕓 Aplazada",IF($M133&lt;=3,"🟠 ≤3 días",IF($M133&lt;=7,"🟡 ≤7 días",IF($M133&lt;=30,"🔵 ≤30 días","⚪ &gt;30 días"))))))))</f>
        <v/>
      </c>
      <c r="O133" s="64">
        <f>IF($AE133="","",TEXT($AE133,"YYYY-MM"))</f>
        <v/>
      </c>
      <c r="P133" s="83" t="n"/>
      <c r="Q133" s="145" t="n"/>
      <c r="R133" s="136" t="n"/>
      <c r="S133" s="145" t="n"/>
      <c r="T133" s="76" t="n"/>
      <c r="U133" s="145" t="n"/>
      <c r="V133" s="145" t="n"/>
      <c r="W133" s="1" t="n"/>
      <c r="X133" s="1" t="n"/>
      <c r="Y133" s="1" t="n"/>
      <c r="Z133" s="1" t="n"/>
      <c r="AA133" s="67">
        <f>IF(OR($C133="",$K133=0,$P133=""),"",VALUE(LEFT($P133,1))*100000+N($M133)+ROW()/100000)</f>
        <v/>
      </c>
      <c r="AB133" s="67">
        <f>IF(OR($C133="",$K133=0,$AE133=""),"",$M133+ROW()/100000)</f>
        <v/>
      </c>
      <c r="AC133" s="41">
        <f t="array" ref="AC133">IF($C133="","",IFERROR(INDEX(Disponibilidad!$O$6:$O$18,MATCH($L133,Disponibilidad!$B$6:$B$18,0)),"Hogar"))</f>
        <v/>
      </c>
      <c r="AD133" s="74">
        <f>IF($C133="","",SUMIFS(Caja!$H$6:$H$505,Caja!$J$6:$J$505,$A133,Caja!$C$6:$C$505,"Pago"))</f>
        <v/>
      </c>
      <c r="AE133" s="136">
        <f>IF($C133="","",IF(N($R133)&gt;0,$R133,$H133))</f>
        <v/>
      </c>
      <c r="AF133" s="1" t="n"/>
      <c r="AG133" s="1" t="n"/>
      <c r="AH133" s="1" t="n"/>
      <c r="AI133" s="1" t="n"/>
      <c r="AJ133" s="1" t="n"/>
      <c r="AK133" s="1" t="n"/>
    </row>
    <row r="134" ht="15" customHeight="1" s="311">
      <c r="A134" s="41">
        <f>IF($C134="","",ROW()-5)</f>
        <v/>
      </c>
      <c r="B134" s="146" t="n"/>
      <c r="C134" s="146" t="n"/>
      <c r="D134" s="146" t="n"/>
      <c r="E134" s="146" t="n"/>
      <c r="F134" s="146" t="n"/>
      <c r="G134" s="136" t="n"/>
      <c r="H134" s="136" t="n"/>
      <c r="I134" s="76" t="n"/>
      <c r="J134" s="76" t="n"/>
      <c r="K134" s="57">
        <f>IF($C134="","",IF($B134="Pagada",0,ROUND(MAX(0,N($I134)+N($T134)-N($J134)-N($AD134)),2)))</f>
        <v/>
      </c>
      <c r="L134" s="146" t="n"/>
      <c r="M134" s="59">
        <f>IF(OR($C134="",$AE134="",$K134=0),"",$AE134-TODAY())</f>
        <v/>
      </c>
      <c r="N134" s="62">
        <f>IF($C134="","",IF($K134=0,"✅ Saldada",IF($M134="","",IF($M134&lt;0,IF(N($R134)&gt;0,"🔴 APLAZADA VENCIDA","🔴 VENCIDA"),IF(N($R134)&gt;0,"🕓 Aplazada",IF($M134&lt;=3,"🟠 ≤3 días",IF($M134&lt;=7,"🟡 ≤7 días",IF($M134&lt;=30,"🔵 ≤30 días","⚪ &gt;30 días"))))))))</f>
        <v/>
      </c>
      <c r="O134" s="64">
        <f>IF($AE134="","",TEXT($AE134,"YYYY-MM"))</f>
        <v/>
      </c>
      <c r="P134" s="83" t="n"/>
      <c r="Q134" s="145" t="n"/>
      <c r="R134" s="136" t="n"/>
      <c r="S134" s="145" t="n"/>
      <c r="T134" s="76" t="n"/>
      <c r="U134" s="145" t="n"/>
      <c r="V134" s="145" t="n"/>
      <c r="W134" s="1" t="n"/>
      <c r="X134" s="1" t="n"/>
      <c r="Y134" s="1" t="n"/>
      <c r="Z134" s="1" t="n"/>
      <c r="AA134" s="67">
        <f>IF(OR($C134="",$K134=0,$P134=""),"",VALUE(LEFT($P134,1))*100000+N($M134)+ROW()/100000)</f>
        <v/>
      </c>
      <c r="AB134" s="67">
        <f>IF(OR($C134="",$K134=0,$AE134=""),"",$M134+ROW()/100000)</f>
        <v/>
      </c>
      <c r="AC134" s="41">
        <f t="array" ref="AC134">IF($C134="","",IFERROR(INDEX(Disponibilidad!$O$6:$O$18,MATCH($L134,Disponibilidad!$B$6:$B$18,0)),"Hogar"))</f>
        <v/>
      </c>
      <c r="AD134" s="74">
        <f>IF($C134="","",SUMIFS(Caja!$H$6:$H$505,Caja!$J$6:$J$505,$A134,Caja!$C$6:$C$505,"Pago"))</f>
        <v/>
      </c>
      <c r="AE134" s="136">
        <f>IF($C134="","",IF(N($R134)&gt;0,$R134,$H134))</f>
        <v/>
      </c>
      <c r="AF134" s="1" t="n"/>
      <c r="AG134" s="1" t="n"/>
      <c r="AH134" s="1" t="n"/>
      <c r="AI134" s="1" t="n"/>
      <c r="AJ134" s="1" t="n"/>
      <c r="AK134" s="1" t="n"/>
    </row>
    <row r="135" ht="15" customHeight="1" s="311">
      <c r="A135" s="41">
        <f>IF($C135="","",ROW()-5)</f>
        <v/>
      </c>
      <c r="B135" s="146" t="n"/>
      <c r="C135" s="146" t="n"/>
      <c r="D135" s="146" t="n"/>
      <c r="E135" s="146" t="n"/>
      <c r="F135" s="146" t="n"/>
      <c r="G135" s="136" t="n"/>
      <c r="H135" s="136" t="n"/>
      <c r="I135" s="76" t="n"/>
      <c r="J135" s="76" t="n"/>
      <c r="K135" s="57">
        <f>IF($C135="","",IF($B135="Pagada",0,ROUND(MAX(0,N($I135)+N($T135)-N($J135)-N($AD135)),2)))</f>
        <v/>
      </c>
      <c r="L135" s="146" t="n"/>
      <c r="M135" s="59">
        <f>IF(OR($C135="",$AE135="",$K135=0),"",$AE135-TODAY())</f>
        <v/>
      </c>
      <c r="N135" s="62">
        <f>IF($C135="","",IF($K135=0,"✅ Saldada",IF($M135="","",IF($M135&lt;0,IF(N($R135)&gt;0,"🔴 APLAZADA VENCIDA","🔴 VENCIDA"),IF(N($R135)&gt;0,"🕓 Aplazada",IF($M135&lt;=3,"🟠 ≤3 días",IF($M135&lt;=7,"🟡 ≤7 días",IF($M135&lt;=30,"🔵 ≤30 días","⚪ &gt;30 días"))))))))</f>
        <v/>
      </c>
      <c r="O135" s="64">
        <f>IF($AE135="","",TEXT($AE135,"YYYY-MM"))</f>
        <v/>
      </c>
      <c r="P135" s="83" t="n"/>
      <c r="Q135" s="145" t="n"/>
      <c r="R135" s="136" t="n"/>
      <c r="S135" s="145" t="n"/>
      <c r="T135" s="76" t="n"/>
      <c r="U135" s="145" t="n"/>
      <c r="V135" s="145" t="n"/>
      <c r="W135" s="1" t="n"/>
      <c r="X135" s="1" t="n"/>
      <c r="Y135" s="1" t="n"/>
      <c r="Z135" s="1" t="n"/>
      <c r="AA135" s="67">
        <f>IF(OR($C135="",$K135=0,$P135=""),"",VALUE(LEFT($P135,1))*100000+N($M135)+ROW()/100000)</f>
        <v/>
      </c>
      <c r="AB135" s="67">
        <f>IF(OR($C135="",$K135=0,$AE135=""),"",$M135+ROW()/100000)</f>
        <v/>
      </c>
      <c r="AC135" s="41">
        <f t="array" ref="AC135">IF($C135="","",IFERROR(INDEX(Disponibilidad!$O$6:$O$18,MATCH($L135,Disponibilidad!$B$6:$B$18,0)),"Hogar"))</f>
        <v/>
      </c>
      <c r="AD135" s="74">
        <f>IF($C135="","",SUMIFS(Caja!$H$6:$H$505,Caja!$J$6:$J$505,$A135,Caja!$C$6:$C$505,"Pago"))</f>
        <v/>
      </c>
      <c r="AE135" s="136">
        <f>IF($C135="","",IF(N($R135)&gt;0,$R135,$H135))</f>
        <v/>
      </c>
      <c r="AF135" s="1" t="n"/>
      <c r="AG135" s="1" t="n"/>
      <c r="AH135" s="1" t="n"/>
      <c r="AI135" s="1" t="n"/>
      <c r="AJ135" s="1" t="n"/>
      <c r="AK135" s="1" t="n"/>
    </row>
    <row r="136" ht="15" customHeight="1" s="311">
      <c r="A136" s="41">
        <f>IF($C136="","",ROW()-5)</f>
        <v/>
      </c>
      <c r="B136" s="146" t="n"/>
      <c r="C136" s="146" t="n"/>
      <c r="D136" s="146" t="n"/>
      <c r="E136" s="146" t="n"/>
      <c r="F136" s="146" t="n"/>
      <c r="G136" s="136" t="n"/>
      <c r="H136" s="136" t="n"/>
      <c r="I136" s="76" t="n"/>
      <c r="J136" s="76" t="n"/>
      <c r="K136" s="57">
        <f>IF($C136="","",IF($B136="Pagada",0,ROUND(MAX(0,N($I136)+N($T136)-N($J136)-N($AD136)),2)))</f>
        <v/>
      </c>
      <c r="L136" s="146" t="n"/>
      <c r="M136" s="59">
        <f>IF(OR($C136="",$AE136="",$K136=0),"",$AE136-TODAY())</f>
        <v/>
      </c>
      <c r="N136" s="62">
        <f>IF($C136="","",IF($K136=0,"✅ Saldada",IF($M136="","",IF($M136&lt;0,IF(N($R136)&gt;0,"🔴 APLAZADA VENCIDA","🔴 VENCIDA"),IF(N($R136)&gt;0,"🕓 Aplazada",IF($M136&lt;=3,"🟠 ≤3 días",IF($M136&lt;=7,"🟡 ≤7 días",IF($M136&lt;=30,"🔵 ≤30 días","⚪ &gt;30 días"))))))))</f>
        <v/>
      </c>
      <c r="O136" s="64">
        <f>IF($AE136="","",TEXT($AE136,"YYYY-MM"))</f>
        <v/>
      </c>
      <c r="P136" s="83" t="n"/>
      <c r="Q136" s="145" t="n"/>
      <c r="R136" s="136" t="n"/>
      <c r="S136" s="145" t="n"/>
      <c r="T136" s="76" t="n"/>
      <c r="U136" s="145" t="n"/>
      <c r="V136" s="145" t="n"/>
      <c r="W136" s="1" t="n"/>
      <c r="X136" s="1" t="n"/>
      <c r="Y136" s="1" t="n"/>
      <c r="Z136" s="1" t="n"/>
      <c r="AA136" s="67">
        <f>IF(OR($C136="",$K136=0,$P136=""),"",VALUE(LEFT($P136,1))*100000+N($M136)+ROW()/100000)</f>
        <v/>
      </c>
      <c r="AB136" s="67">
        <f>IF(OR($C136="",$K136=0,$AE136=""),"",$M136+ROW()/100000)</f>
        <v/>
      </c>
      <c r="AC136" s="41">
        <f t="array" ref="AC136">IF($C136="","",IFERROR(INDEX(Disponibilidad!$O$6:$O$18,MATCH($L136,Disponibilidad!$B$6:$B$18,0)),"Hogar"))</f>
        <v/>
      </c>
      <c r="AD136" s="74">
        <f>IF($C136="","",SUMIFS(Caja!$H$6:$H$505,Caja!$J$6:$J$505,$A136,Caja!$C$6:$C$505,"Pago"))</f>
        <v/>
      </c>
      <c r="AE136" s="136">
        <f>IF($C136="","",IF(N($R136)&gt;0,$R136,$H136))</f>
        <v/>
      </c>
      <c r="AF136" s="1" t="n"/>
      <c r="AG136" s="1" t="n"/>
      <c r="AH136" s="1" t="n"/>
      <c r="AI136" s="1" t="n"/>
      <c r="AJ136" s="1" t="n"/>
      <c r="AK136" s="1" t="n"/>
    </row>
    <row r="137" ht="15" customHeight="1" s="311">
      <c r="A137" s="41">
        <f>IF($C137="","",ROW()-5)</f>
        <v/>
      </c>
      <c r="B137" s="146" t="n"/>
      <c r="C137" s="146" t="n"/>
      <c r="D137" s="146" t="n"/>
      <c r="E137" s="146" t="n"/>
      <c r="F137" s="146" t="n"/>
      <c r="G137" s="136" t="n"/>
      <c r="H137" s="136" t="n"/>
      <c r="I137" s="76" t="n"/>
      <c r="J137" s="76" t="n"/>
      <c r="K137" s="57">
        <f>IF($C137="","",IF($B137="Pagada",0,ROUND(MAX(0,N($I137)+N($T137)-N($J137)-N($AD137)),2)))</f>
        <v/>
      </c>
      <c r="L137" s="146" t="n"/>
      <c r="M137" s="59">
        <f>IF(OR($C137="",$AE137="",$K137=0),"",$AE137-TODAY())</f>
        <v/>
      </c>
      <c r="N137" s="62">
        <f>IF($C137="","",IF($K137=0,"✅ Saldada",IF($M137="","",IF($M137&lt;0,IF(N($R137)&gt;0,"🔴 APLAZADA VENCIDA","🔴 VENCIDA"),IF(N($R137)&gt;0,"🕓 Aplazada",IF($M137&lt;=3,"🟠 ≤3 días",IF($M137&lt;=7,"🟡 ≤7 días",IF($M137&lt;=30,"🔵 ≤30 días","⚪ &gt;30 días"))))))))</f>
        <v/>
      </c>
      <c r="O137" s="64">
        <f>IF($AE137="","",TEXT($AE137,"YYYY-MM"))</f>
        <v/>
      </c>
      <c r="P137" s="83" t="n"/>
      <c r="Q137" s="145" t="n"/>
      <c r="R137" s="136" t="n"/>
      <c r="S137" s="145" t="n"/>
      <c r="T137" s="76" t="n"/>
      <c r="U137" s="145" t="n"/>
      <c r="V137" s="145" t="n"/>
      <c r="W137" s="1" t="n"/>
      <c r="X137" s="1" t="n"/>
      <c r="Y137" s="1" t="n"/>
      <c r="Z137" s="1" t="n"/>
      <c r="AA137" s="67">
        <f>IF(OR($C137="",$K137=0,$P137=""),"",VALUE(LEFT($P137,1))*100000+N($M137)+ROW()/100000)</f>
        <v/>
      </c>
      <c r="AB137" s="67">
        <f>IF(OR($C137="",$K137=0,$AE137=""),"",$M137+ROW()/100000)</f>
        <v/>
      </c>
      <c r="AC137" s="41">
        <f t="array" ref="AC137">IF($C137="","",IFERROR(INDEX(Disponibilidad!$O$6:$O$18,MATCH($L137,Disponibilidad!$B$6:$B$18,0)),"Hogar"))</f>
        <v/>
      </c>
      <c r="AD137" s="74">
        <f>IF($C137="","",SUMIFS(Caja!$H$6:$H$505,Caja!$J$6:$J$505,$A137,Caja!$C$6:$C$505,"Pago"))</f>
        <v/>
      </c>
      <c r="AE137" s="136">
        <f>IF($C137="","",IF(N($R137)&gt;0,$R137,$H137))</f>
        <v/>
      </c>
      <c r="AF137" s="1" t="n"/>
      <c r="AG137" s="1" t="n"/>
      <c r="AH137" s="1" t="n"/>
      <c r="AI137" s="1" t="n"/>
      <c r="AJ137" s="1" t="n"/>
      <c r="AK137" s="1" t="n"/>
    </row>
    <row r="138" ht="15" customHeight="1" s="311">
      <c r="A138" s="41">
        <f>IF($C138="","",ROW()-5)</f>
        <v/>
      </c>
      <c r="B138" s="146" t="n"/>
      <c r="C138" s="146" t="n"/>
      <c r="D138" s="146" t="n"/>
      <c r="E138" s="146" t="n"/>
      <c r="F138" s="146" t="n"/>
      <c r="G138" s="136" t="n"/>
      <c r="H138" s="136" t="n"/>
      <c r="I138" s="76" t="n"/>
      <c r="J138" s="76" t="n"/>
      <c r="K138" s="57">
        <f>IF($C138="","",IF($B138="Pagada",0,ROUND(MAX(0,N($I138)+N($T138)-N($J138)-N($AD138)),2)))</f>
        <v/>
      </c>
      <c r="L138" s="146" t="n"/>
      <c r="M138" s="59">
        <f>IF(OR($C138="",$AE138="",$K138=0),"",$AE138-TODAY())</f>
        <v/>
      </c>
      <c r="N138" s="62">
        <f>IF($C138="","",IF($K138=0,"✅ Saldada",IF($M138="","",IF($M138&lt;0,IF(N($R138)&gt;0,"🔴 APLAZADA VENCIDA","🔴 VENCIDA"),IF(N($R138)&gt;0,"🕓 Aplazada",IF($M138&lt;=3,"🟠 ≤3 días",IF($M138&lt;=7,"🟡 ≤7 días",IF($M138&lt;=30,"🔵 ≤30 días","⚪ &gt;30 días"))))))))</f>
        <v/>
      </c>
      <c r="O138" s="64">
        <f>IF($AE138="","",TEXT($AE138,"YYYY-MM"))</f>
        <v/>
      </c>
      <c r="P138" s="83" t="n"/>
      <c r="Q138" s="145" t="n"/>
      <c r="R138" s="136" t="n"/>
      <c r="S138" s="145" t="n"/>
      <c r="T138" s="76" t="n"/>
      <c r="U138" s="145" t="n"/>
      <c r="V138" s="145" t="n"/>
      <c r="W138" s="1" t="n"/>
      <c r="X138" s="1" t="n"/>
      <c r="Y138" s="1" t="n"/>
      <c r="Z138" s="1" t="n"/>
      <c r="AA138" s="67">
        <f>IF(OR($C138="",$K138=0,$P138=""),"",VALUE(LEFT($P138,1))*100000+N($M138)+ROW()/100000)</f>
        <v/>
      </c>
      <c r="AB138" s="67">
        <f>IF(OR($C138="",$K138=0,$AE138=""),"",$M138+ROW()/100000)</f>
        <v/>
      </c>
      <c r="AC138" s="41">
        <f t="array" ref="AC138">IF($C138="","",IFERROR(INDEX(Disponibilidad!$O$6:$O$18,MATCH($L138,Disponibilidad!$B$6:$B$18,0)),"Hogar"))</f>
        <v/>
      </c>
      <c r="AD138" s="74">
        <f>IF($C138="","",SUMIFS(Caja!$H$6:$H$505,Caja!$J$6:$J$505,$A138,Caja!$C$6:$C$505,"Pago"))</f>
        <v/>
      </c>
      <c r="AE138" s="136">
        <f>IF($C138="","",IF(N($R138)&gt;0,$R138,$H138))</f>
        <v/>
      </c>
      <c r="AF138" s="1" t="n"/>
      <c r="AG138" s="1" t="n"/>
      <c r="AH138" s="1" t="n"/>
      <c r="AI138" s="1" t="n"/>
      <c r="AJ138" s="1" t="n"/>
      <c r="AK138" s="1" t="n"/>
    </row>
    <row r="139" ht="15" customHeight="1" s="311">
      <c r="A139" s="41">
        <f>IF($C139="","",ROW()-5)</f>
        <v/>
      </c>
      <c r="B139" s="146" t="n"/>
      <c r="C139" s="146" t="n"/>
      <c r="D139" s="146" t="n"/>
      <c r="E139" s="146" t="n"/>
      <c r="F139" s="146" t="n"/>
      <c r="G139" s="136" t="n"/>
      <c r="H139" s="136" t="n"/>
      <c r="I139" s="76" t="n"/>
      <c r="J139" s="76" t="n"/>
      <c r="K139" s="57">
        <f>IF($C139="","",IF($B139="Pagada",0,ROUND(MAX(0,N($I139)+N($T139)-N($J139)-N($AD139)),2)))</f>
        <v/>
      </c>
      <c r="L139" s="146" t="n"/>
      <c r="M139" s="59">
        <f>IF(OR($C139="",$AE139="",$K139=0),"",$AE139-TODAY())</f>
        <v/>
      </c>
      <c r="N139" s="62">
        <f>IF($C139="","",IF($K139=0,"✅ Saldada",IF($M139="","",IF($M139&lt;0,IF(N($R139)&gt;0,"🔴 APLAZADA VENCIDA","🔴 VENCIDA"),IF(N($R139)&gt;0,"🕓 Aplazada",IF($M139&lt;=3,"🟠 ≤3 días",IF($M139&lt;=7,"🟡 ≤7 días",IF($M139&lt;=30,"🔵 ≤30 días","⚪ &gt;30 días"))))))))</f>
        <v/>
      </c>
      <c r="O139" s="64">
        <f>IF($AE139="","",TEXT($AE139,"YYYY-MM"))</f>
        <v/>
      </c>
      <c r="P139" s="83" t="n"/>
      <c r="Q139" s="145" t="n"/>
      <c r="R139" s="136" t="n"/>
      <c r="S139" s="145" t="n"/>
      <c r="T139" s="76" t="n"/>
      <c r="U139" s="145" t="n"/>
      <c r="V139" s="145" t="n"/>
      <c r="W139" s="1" t="n"/>
      <c r="X139" s="1" t="n"/>
      <c r="Y139" s="1" t="n"/>
      <c r="Z139" s="1" t="n"/>
      <c r="AA139" s="67">
        <f>IF(OR($C139="",$K139=0,$P139=""),"",VALUE(LEFT($P139,1))*100000+N($M139)+ROW()/100000)</f>
        <v/>
      </c>
      <c r="AB139" s="67">
        <f>IF(OR($C139="",$K139=0,$AE139=""),"",$M139+ROW()/100000)</f>
        <v/>
      </c>
      <c r="AC139" s="41">
        <f t="array" ref="AC139">IF($C139="","",IFERROR(INDEX(Disponibilidad!$O$6:$O$18,MATCH($L139,Disponibilidad!$B$6:$B$18,0)),"Hogar"))</f>
        <v/>
      </c>
      <c r="AD139" s="74">
        <f>IF($C139="","",SUMIFS(Caja!$H$6:$H$505,Caja!$J$6:$J$505,$A139,Caja!$C$6:$C$505,"Pago"))</f>
        <v/>
      </c>
      <c r="AE139" s="136">
        <f>IF($C139="","",IF(N($R139)&gt;0,$R139,$H139))</f>
        <v/>
      </c>
      <c r="AF139" s="1" t="n"/>
      <c r="AG139" s="1" t="n"/>
      <c r="AH139" s="1" t="n"/>
      <c r="AI139" s="1" t="n"/>
      <c r="AJ139" s="1" t="n"/>
      <c r="AK139" s="1" t="n"/>
    </row>
    <row r="140" ht="15" customHeight="1" s="311">
      <c r="A140" s="41">
        <f>IF($C140="","",ROW()-5)</f>
        <v/>
      </c>
      <c r="B140" s="146" t="n"/>
      <c r="C140" s="146" t="n"/>
      <c r="D140" s="146" t="n"/>
      <c r="E140" s="146" t="n"/>
      <c r="F140" s="146" t="n"/>
      <c r="G140" s="136" t="n"/>
      <c r="H140" s="136" t="n"/>
      <c r="I140" s="76" t="n"/>
      <c r="J140" s="76" t="n"/>
      <c r="K140" s="57">
        <f>IF($C140="","",IF($B140="Pagada",0,ROUND(MAX(0,N($I140)+N($T140)-N($J140)-N($AD140)),2)))</f>
        <v/>
      </c>
      <c r="L140" s="146" t="n"/>
      <c r="M140" s="59">
        <f>IF(OR($C140="",$AE140="",$K140=0),"",$AE140-TODAY())</f>
        <v/>
      </c>
      <c r="N140" s="62">
        <f>IF($C140="","",IF($K140=0,"✅ Saldada",IF($M140="","",IF($M140&lt;0,IF(N($R140)&gt;0,"🔴 APLAZADA VENCIDA","🔴 VENCIDA"),IF(N($R140)&gt;0,"🕓 Aplazada",IF($M140&lt;=3,"🟠 ≤3 días",IF($M140&lt;=7,"🟡 ≤7 días",IF($M140&lt;=30,"🔵 ≤30 días","⚪ &gt;30 días"))))))))</f>
        <v/>
      </c>
      <c r="O140" s="64">
        <f>IF($AE140="","",TEXT($AE140,"YYYY-MM"))</f>
        <v/>
      </c>
      <c r="P140" s="83" t="n"/>
      <c r="Q140" s="145" t="n"/>
      <c r="R140" s="136" t="n"/>
      <c r="S140" s="145" t="n"/>
      <c r="T140" s="76" t="n"/>
      <c r="U140" s="145" t="n"/>
      <c r="V140" s="145" t="n"/>
      <c r="W140" s="1" t="n"/>
      <c r="X140" s="1" t="n"/>
      <c r="Y140" s="1" t="n"/>
      <c r="Z140" s="1" t="n"/>
      <c r="AA140" s="67">
        <f>IF(OR($C140="",$K140=0,$P140=""),"",VALUE(LEFT($P140,1))*100000+N($M140)+ROW()/100000)</f>
        <v/>
      </c>
      <c r="AB140" s="67">
        <f>IF(OR($C140="",$K140=0,$AE140=""),"",$M140+ROW()/100000)</f>
        <v/>
      </c>
      <c r="AC140" s="41">
        <f t="array" ref="AC140">IF($C140="","",IFERROR(INDEX(Disponibilidad!$O$6:$O$18,MATCH($L140,Disponibilidad!$B$6:$B$18,0)),"Hogar"))</f>
        <v/>
      </c>
      <c r="AD140" s="74">
        <f>IF($C140="","",SUMIFS(Caja!$H$6:$H$505,Caja!$J$6:$J$505,$A140,Caja!$C$6:$C$505,"Pago"))</f>
        <v/>
      </c>
      <c r="AE140" s="136">
        <f>IF($C140="","",IF(N($R140)&gt;0,$R140,$H140))</f>
        <v/>
      </c>
      <c r="AF140" s="1" t="n"/>
      <c r="AG140" s="1" t="n"/>
      <c r="AH140" s="1" t="n"/>
      <c r="AI140" s="1" t="n"/>
      <c r="AJ140" s="1" t="n"/>
      <c r="AK140" s="1" t="n"/>
    </row>
    <row r="141" ht="15" customHeight="1" s="311">
      <c r="A141" s="41">
        <f>IF($C141="","",ROW()-5)</f>
        <v/>
      </c>
      <c r="B141" s="146" t="n"/>
      <c r="C141" s="146" t="n"/>
      <c r="D141" s="146" t="n"/>
      <c r="E141" s="146" t="n"/>
      <c r="F141" s="146" t="n"/>
      <c r="G141" s="136" t="n"/>
      <c r="H141" s="136" t="n"/>
      <c r="I141" s="76" t="n"/>
      <c r="J141" s="76" t="n"/>
      <c r="K141" s="57">
        <f>IF($C141="","",IF($B141="Pagada",0,ROUND(MAX(0,N($I141)+N($T141)-N($J141)-N($AD141)),2)))</f>
        <v/>
      </c>
      <c r="L141" s="146" t="n"/>
      <c r="M141" s="59">
        <f>IF(OR($C141="",$AE141="",$K141=0),"",$AE141-TODAY())</f>
        <v/>
      </c>
      <c r="N141" s="62">
        <f>IF($C141="","",IF($K141=0,"✅ Saldada",IF($M141="","",IF($M141&lt;0,IF(N($R141)&gt;0,"🔴 APLAZADA VENCIDA","🔴 VENCIDA"),IF(N($R141)&gt;0,"🕓 Aplazada",IF($M141&lt;=3,"🟠 ≤3 días",IF($M141&lt;=7,"🟡 ≤7 días",IF($M141&lt;=30,"🔵 ≤30 días","⚪ &gt;30 días"))))))))</f>
        <v/>
      </c>
      <c r="O141" s="64">
        <f>IF($AE141="","",TEXT($AE141,"YYYY-MM"))</f>
        <v/>
      </c>
      <c r="P141" s="83" t="n"/>
      <c r="Q141" s="145" t="n"/>
      <c r="R141" s="136" t="n"/>
      <c r="S141" s="145" t="n"/>
      <c r="T141" s="76" t="n"/>
      <c r="U141" s="145" t="n"/>
      <c r="V141" s="145" t="n"/>
      <c r="W141" s="1" t="n"/>
      <c r="X141" s="1" t="n"/>
      <c r="Y141" s="1" t="n"/>
      <c r="Z141" s="1" t="n"/>
      <c r="AA141" s="67">
        <f>IF(OR($C141="",$K141=0,$P141=""),"",VALUE(LEFT($P141,1))*100000+N($M141)+ROW()/100000)</f>
        <v/>
      </c>
      <c r="AB141" s="67">
        <f>IF(OR($C141="",$K141=0,$AE141=""),"",$M141+ROW()/100000)</f>
        <v/>
      </c>
      <c r="AC141" s="41">
        <f t="array" ref="AC141">IF($C141="","",IFERROR(INDEX(Disponibilidad!$O$6:$O$18,MATCH($L141,Disponibilidad!$B$6:$B$18,0)),"Hogar"))</f>
        <v/>
      </c>
      <c r="AD141" s="74">
        <f>IF($C141="","",SUMIFS(Caja!$H$6:$H$505,Caja!$J$6:$J$505,$A141,Caja!$C$6:$C$505,"Pago"))</f>
        <v/>
      </c>
      <c r="AE141" s="136">
        <f>IF($C141="","",IF(N($R141)&gt;0,$R141,$H141))</f>
        <v/>
      </c>
      <c r="AF141" s="1" t="n"/>
      <c r="AG141" s="1" t="n"/>
      <c r="AH141" s="1" t="n"/>
      <c r="AI141" s="1" t="n"/>
      <c r="AJ141" s="1" t="n"/>
      <c r="AK141" s="1" t="n"/>
    </row>
    <row r="142" ht="15" customHeight="1" s="311">
      <c r="A142" s="41">
        <f>IF($C142="","",ROW()-5)</f>
        <v/>
      </c>
      <c r="B142" s="146" t="n"/>
      <c r="C142" s="146" t="n"/>
      <c r="D142" s="146" t="n"/>
      <c r="E142" s="146" t="n"/>
      <c r="F142" s="146" t="n"/>
      <c r="G142" s="136" t="n"/>
      <c r="H142" s="136" t="n"/>
      <c r="I142" s="76" t="n"/>
      <c r="J142" s="76" t="n"/>
      <c r="K142" s="57">
        <f>IF($C142="","",IF($B142="Pagada",0,ROUND(MAX(0,N($I142)+N($T142)-N($J142)-N($AD142)),2)))</f>
        <v/>
      </c>
      <c r="L142" s="146" t="n"/>
      <c r="M142" s="59">
        <f>IF(OR($C142="",$AE142="",$K142=0),"",$AE142-TODAY())</f>
        <v/>
      </c>
      <c r="N142" s="62">
        <f>IF($C142="","",IF($K142=0,"✅ Saldada",IF($M142="","",IF($M142&lt;0,IF(N($R142)&gt;0,"🔴 APLAZADA VENCIDA","🔴 VENCIDA"),IF(N($R142)&gt;0,"🕓 Aplazada",IF($M142&lt;=3,"🟠 ≤3 días",IF($M142&lt;=7,"🟡 ≤7 días",IF($M142&lt;=30,"🔵 ≤30 días","⚪ &gt;30 días"))))))))</f>
        <v/>
      </c>
      <c r="O142" s="64">
        <f>IF($AE142="","",TEXT($AE142,"YYYY-MM"))</f>
        <v/>
      </c>
      <c r="P142" s="83" t="n"/>
      <c r="Q142" s="145" t="n"/>
      <c r="R142" s="136" t="n"/>
      <c r="S142" s="145" t="n"/>
      <c r="T142" s="76" t="n"/>
      <c r="U142" s="145" t="n"/>
      <c r="V142" s="145" t="n"/>
      <c r="W142" s="1" t="n"/>
      <c r="X142" s="1" t="n"/>
      <c r="Y142" s="1" t="n"/>
      <c r="Z142" s="1" t="n"/>
      <c r="AA142" s="67">
        <f>IF(OR($C142="",$K142=0,$P142=""),"",VALUE(LEFT($P142,1))*100000+N($M142)+ROW()/100000)</f>
        <v/>
      </c>
      <c r="AB142" s="67">
        <f>IF(OR($C142="",$K142=0,$AE142=""),"",$M142+ROW()/100000)</f>
        <v/>
      </c>
      <c r="AC142" s="41">
        <f t="array" ref="AC142">IF($C142="","",IFERROR(INDEX(Disponibilidad!$O$6:$O$18,MATCH($L142,Disponibilidad!$B$6:$B$18,0)),"Hogar"))</f>
        <v/>
      </c>
      <c r="AD142" s="74">
        <f>IF($C142="","",SUMIFS(Caja!$H$6:$H$505,Caja!$J$6:$J$505,$A142,Caja!$C$6:$C$505,"Pago"))</f>
        <v/>
      </c>
      <c r="AE142" s="136">
        <f>IF($C142="","",IF(N($R142)&gt;0,$R142,$H142))</f>
        <v/>
      </c>
      <c r="AF142" s="1" t="n"/>
      <c r="AG142" s="1" t="n"/>
      <c r="AH142" s="1" t="n"/>
      <c r="AI142" s="1" t="n"/>
      <c r="AJ142" s="1" t="n"/>
      <c r="AK142" s="1" t="n"/>
    </row>
    <row r="143" ht="15" customHeight="1" s="311">
      <c r="A143" s="41">
        <f>IF($C143="","",ROW()-5)</f>
        <v/>
      </c>
      <c r="B143" s="146" t="n"/>
      <c r="C143" s="146" t="n"/>
      <c r="D143" s="146" t="n"/>
      <c r="E143" s="146" t="n"/>
      <c r="F143" s="146" t="n"/>
      <c r="G143" s="136" t="n"/>
      <c r="H143" s="136" t="n"/>
      <c r="I143" s="76" t="n"/>
      <c r="J143" s="76" t="n"/>
      <c r="K143" s="57">
        <f>IF($C143="","",IF($B143="Pagada",0,ROUND(MAX(0,N($I143)+N($T143)-N($J143)-N($AD143)),2)))</f>
        <v/>
      </c>
      <c r="L143" s="146" t="n"/>
      <c r="M143" s="59">
        <f>IF(OR($C143="",$AE143="",$K143=0),"",$AE143-TODAY())</f>
        <v/>
      </c>
      <c r="N143" s="62">
        <f>IF($C143="","",IF($K143=0,"✅ Saldada",IF($M143="","",IF($M143&lt;0,IF(N($R143)&gt;0,"🔴 APLAZADA VENCIDA","🔴 VENCIDA"),IF(N($R143)&gt;0,"🕓 Aplazada",IF($M143&lt;=3,"🟠 ≤3 días",IF($M143&lt;=7,"🟡 ≤7 días",IF($M143&lt;=30,"🔵 ≤30 días","⚪ &gt;30 días"))))))))</f>
        <v/>
      </c>
      <c r="O143" s="64">
        <f>IF($AE143="","",TEXT($AE143,"YYYY-MM"))</f>
        <v/>
      </c>
      <c r="P143" s="83" t="n"/>
      <c r="Q143" s="145" t="n"/>
      <c r="R143" s="136" t="n"/>
      <c r="S143" s="145" t="n"/>
      <c r="T143" s="76" t="n"/>
      <c r="U143" s="145" t="n"/>
      <c r="V143" s="145" t="n"/>
      <c r="W143" s="1" t="n"/>
      <c r="X143" s="1" t="n"/>
      <c r="Y143" s="1" t="n"/>
      <c r="Z143" s="1" t="n"/>
      <c r="AA143" s="67">
        <f>IF(OR($C143="",$K143=0,$P143=""),"",VALUE(LEFT($P143,1))*100000+N($M143)+ROW()/100000)</f>
        <v/>
      </c>
      <c r="AB143" s="67">
        <f>IF(OR($C143="",$K143=0,$AE143=""),"",$M143+ROW()/100000)</f>
        <v/>
      </c>
      <c r="AC143" s="41">
        <f t="array" ref="AC143">IF($C143="","",IFERROR(INDEX(Disponibilidad!$O$6:$O$18,MATCH($L143,Disponibilidad!$B$6:$B$18,0)),"Hogar"))</f>
        <v/>
      </c>
      <c r="AD143" s="74">
        <f>IF($C143="","",SUMIFS(Caja!$H$6:$H$505,Caja!$J$6:$J$505,$A143,Caja!$C$6:$C$505,"Pago"))</f>
        <v/>
      </c>
      <c r="AE143" s="136">
        <f>IF($C143="","",IF(N($R143)&gt;0,$R143,$H143))</f>
        <v/>
      </c>
      <c r="AF143" s="1" t="n"/>
      <c r="AG143" s="1" t="n"/>
      <c r="AH143" s="1" t="n"/>
      <c r="AI143" s="1" t="n"/>
      <c r="AJ143" s="1" t="n"/>
      <c r="AK143" s="1" t="n"/>
    </row>
    <row r="144" ht="15" customHeight="1" s="311">
      <c r="A144" s="41">
        <f>IF($C144="","",ROW()-5)</f>
        <v/>
      </c>
      <c r="B144" s="146" t="n"/>
      <c r="C144" s="146" t="n"/>
      <c r="D144" s="146" t="n"/>
      <c r="E144" s="146" t="n"/>
      <c r="F144" s="146" t="n"/>
      <c r="G144" s="136" t="n"/>
      <c r="H144" s="136" t="n"/>
      <c r="I144" s="76" t="n"/>
      <c r="J144" s="76" t="n"/>
      <c r="K144" s="57">
        <f>IF($C144="","",IF($B144="Pagada",0,ROUND(MAX(0,N($I144)+N($T144)-N($J144)-N($AD144)),2)))</f>
        <v/>
      </c>
      <c r="L144" s="146" t="n"/>
      <c r="M144" s="59">
        <f>IF(OR($C144="",$AE144="",$K144=0),"",$AE144-TODAY())</f>
        <v/>
      </c>
      <c r="N144" s="62">
        <f>IF($C144="","",IF($K144=0,"✅ Saldada",IF($M144="","",IF($M144&lt;0,IF(N($R144)&gt;0,"🔴 APLAZADA VENCIDA","🔴 VENCIDA"),IF(N($R144)&gt;0,"🕓 Aplazada",IF($M144&lt;=3,"🟠 ≤3 días",IF($M144&lt;=7,"🟡 ≤7 días",IF($M144&lt;=30,"🔵 ≤30 días","⚪ &gt;30 días"))))))))</f>
        <v/>
      </c>
      <c r="O144" s="64">
        <f>IF($AE144="","",TEXT($AE144,"YYYY-MM"))</f>
        <v/>
      </c>
      <c r="P144" s="83" t="n"/>
      <c r="Q144" s="145" t="n"/>
      <c r="R144" s="136" t="n"/>
      <c r="S144" s="145" t="n"/>
      <c r="T144" s="76" t="n"/>
      <c r="U144" s="145" t="n"/>
      <c r="V144" s="145" t="n"/>
      <c r="W144" s="1" t="n"/>
      <c r="X144" s="1" t="n"/>
      <c r="Y144" s="1" t="n"/>
      <c r="Z144" s="1" t="n"/>
      <c r="AA144" s="67">
        <f>IF(OR($C144="",$K144=0,$P144=""),"",VALUE(LEFT($P144,1))*100000+N($M144)+ROW()/100000)</f>
        <v/>
      </c>
      <c r="AB144" s="67">
        <f>IF(OR($C144="",$K144=0,$AE144=""),"",$M144+ROW()/100000)</f>
        <v/>
      </c>
      <c r="AC144" s="41">
        <f t="array" ref="AC144">IF($C144="","",IFERROR(INDEX(Disponibilidad!$O$6:$O$18,MATCH($L144,Disponibilidad!$B$6:$B$18,0)),"Hogar"))</f>
        <v/>
      </c>
      <c r="AD144" s="74">
        <f>IF($C144="","",SUMIFS(Caja!$H$6:$H$505,Caja!$J$6:$J$505,$A144,Caja!$C$6:$C$505,"Pago"))</f>
        <v/>
      </c>
      <c r="AE144" s="136">
        <f>IF($C144="","",IF(N($R144)&gt;0,$R144,$H144))</f>
        <v/>
      </c>
      <c r="AF144" s="1" t="n"/>
      <c r="AG144" s="1" t="n"/>
      <c r="AH144" s="1" t="n"/>
      <c r="AI144" s="1" t="n"/>
      <c r="AJ144" s="1" t="n"/>
      <c r="AK144" s="1" t="n"/>
    </row>
    <row r="145" ht="15" customHeight="1" s="311">
      <c r="A145" s="41">
        <f>IF($C145="","",ROW()-5)</f>
        <v/>
      </c>
      <c r="B145" s="146" t="n"/>
      <c r="C145" s="146" t="n"/>
      <c r="D145" s="146" t="n"/>
      <c r="E145" s="146" t="n"/>
      <c r="F145" s="146" t="n"/>
      <c r="G145" s="136" t="n"/>
      <c r="H145" s="136" t="n"/>
      <c r="I145" s="76" t="n"/>
      <c r="J145" s="76" t="n"/>
      <c r="K145" s="57">
        <f>IF($C145="","",IF($B145="Pagada",0,ROUND(MAX(0,N($I145)+N($T145)-N($J145)-N($AD145)),2)))</f>
        <v/>
      </c>
      <c r="L145" s="146" t="n"/>
      <c r="M145" s="59">
        <f>IF(OR($C145="",$AE145="",$K145=0),"",$AE145-TODAY())</f>
        <v/>
      </c>
      <c r="N145" s="62">
        <f>IF($C145="","",IF($K145=0,"✅ Saldada",IF($M145="","",IF($M145&lt;0,IF(N($R145)&gt;0,"🔴 APLAZADA VENCIDA","🔴 VENCIDA"),IF(N($R145)&gt;0,"🕓 Aplazada",IF($M145&lt;=3,"🟠 ≤3 días",IF($M145&lt;=7,"🟡 ≤7 días",IF($M145&lt;=30,"🔵 ≤30 días","⚪ &gt;30 días"))))))))</f>
        <v/>
      </c>
      <c r="O145" s="64">
        <f>IF($AE145="","",TEXT($AE145,"YYYY-MM"))</f>
        <v/>
      </c>
      <c r="P145" s="83" t="n"/>
      <c r="Q145" s="145" t="n"/>
      <c r="R145" s="136" t="n"/>
      <c r="S145" s="145" t="n"/>
      <c r="T145" s="76" t="n"/>
      <c r="U145" s="145" t="n"/>
      <c r="V145" s="145" t="n"/>
      <c r="W145" s="1" t="n"/>
      <c r="X145" s="1" t="n"/>
      <c r="Y145" s="1" t="n"/>
      <c r="Z145" s="1" t="n"/>
      <c r="AA145" s="67">
        <f>IF(OR($C145="",$K145=0,$P145=""),"",VALUE(LEFT($P145,1))*100000+N($M145)+ROW()/100000)</f>
        <v/>
      </c>
      <c r="AB145" s="67">
        <f>IF(OR($C145="",$K145=0,$AE145=""),"",$M145+ROW()/100000)</f>
        <v/>
      </c>
      <c r="AC145" s="41">
        <f t="array" ref="AC145">IF($C145="","",IFERROR(INDEX(Disponibilidad!$O$6:$O$18,MATCH($L145,Disponibilidad!$B$6:$B$18,0)),"Hogar"))</f>
        <v/>
      </c>
      <c r="AD145" s="74">
        <f>IF($C145="","",SUMIFS(Caja!$H$6:$H$505,Caja!$J$6:$J$505,$A145,Caja!$C$6:$C$505,"Pago"))</f>
        <v/>
      </c>
      <c r="AE145" s="136">
        <f>IF($C145="","",IF(N($R145)&gt;0,$R145,$H145))</f>
        <v/>
      </c>
      <c r="AF145" s="1" t="n"/>
      <c r="AG145" s="1" t="n"/>
      <c r="AH145" s="1" t="n"/>
      <c r="AI145" s="1" t="n"/>
      <c r="AJ145" s="1" t="n"/>
      <c r="AK145" s="1" t="n"/>
    </row>
    <row r="146" ht="15" customHeight="1" s="311">
      <c r="A146" s="41">
        <f>IF($C146="","",ROW()-5)</f>
        <v/>
      </c>
      <c r="B146" s="146" t="n"/>
      <c r="C146" s="146" t="n"/>
      <c r="D146" s="146" t="n"/>
      <c r="E146" s="146" t="n"/>
      <c r="F146" s="146" t="n"/>
      <c r="G146" s="136" t="n"/>
      <c r="H146" s="136" t="n"/>
      <c r="I146" s="76" t="n"/>
      <c r="J146" s="76" t="n"/>
      <c r="K146" s="57">
        <f>IF($C146="","",IF($B146="Pagada",0,ROUND(MAX(0,N($I146)+N($T146)-N($J146)-N($AD146)),2)))</f>
        <v/>
      </c>
      <c r="L146" s="146" t="n"/>
      <c r="M146" s="59">
        <f>IF(OR($C146="",$AE146="",$K146=0),"",$AE146-TODAY())</f>
        <v/>
      </c>
      <c r="N146" s="62">
        <f>IF($C146="","",IF($K146=0,"✅ Saldada",IF($M146="","",IF($M146&lt;0,IF(N($R146)&gt;0,"🔴 APLAZADA VENCIDA","🔴 VENCIDA"),IF(N($R146)&gt;0,"🕓 Aplazada",IF($M146&lt;=3,"🟠 ≤3 días",IF($M146&lt;=7,"🟡 ≤7 días",IF($M146&lt;=30,"🔵 ≤30 días","⚪ &gt;30 días"))))))))</f>
        <v/>
      </c>
      <c r="O146" s="64">
        <f>IF($AE146="","",TEXT($AE146,"YYYY-MM"))</f>
        <v/>
      </c>
      <c r="P146" s="83" t="n"/>
      <c r="Q146" s="145" t="n"/>
      <c r="R146" s="136" t="n"/>
      <c r="S146" s="145" t="n"/>
      <c r="T146" s="76" t="n"/>
      <c r="U146" s="145" t="n"/>
      <c r="V146" s="145" t="n"/>
      <c r="W146" s="1" t="n"/>
      <c r="X146" s="1" t="n"/>
      <c r="Y146" s="1" t="n"/>
      <c r="Z146" s="1" t="n"/>
      <c r="AA146" s="67">
        <f>IF(OR($C146="",$K146=0,$P146=""),"",VALUE(LEFT($P146,1))*100000+N($M146)+ROW()/100000)</f>
        <v/>
      </c>
      <c r="AB146" s="67">
        <f>IF(OR($C146="",$K146=0,$AE146=""),"",$M146+ROW()/100000)</f>
        <v/>
      </c>
      <c r="AC146" s="41">
        <f t="array" ref="AC146">IF($C146="","",IFERROR(INDEX(Disponibilidad!$O$6:$O$18,MATCH($L146,Disponibilidad!$B$6:$B$18,0)),"Hogar"))</f>
        <v/>
      </c>
      <c r="AD146" s="74">
        <f>IF($C146="","",SUMIFS(Caja!$H$6:$H$505,Caja!$J$6:$J$505,$A146,Caja!$C$6:$C$505,"Pago"))</f>
        <v/>
      </c>
      <c r="AE146" s="136">
        <f>IF($C146="","",IF(N($R146)&gt;0,$R146,$H146))</f>
        <v/>
      </c>
      <c r="AF146" s="1" t="n"/>
      <c r="AG146" s="1" t="n"/>
      <c r="AH146" s="1" t="n"/>
      <c r="AI146" s="1" t="n"/>
      <c r="AJ146" s="1" t="n"/>
      <c r="AK146" s="1" t="n"/>
    </row>
    <row r="147" ht="15" customHeight="1" s="311">
      <c r="A147" s="41">
        <f>IF($C147="","",ROW()-5)</f>
        <v/>
      </c>
      <c r="B147" s="146" t="n"/>
      <c r="C147" s="146" t="n"/>
      <c r="D147" s="146" t="n"/>
      <c r="E147" s="146" t="n"/>
      <c r="F147" s="146" t="n"/>
      <c r="G147" s="136" t="n"/>
      <c r="H147" s="136" t="n"/>
      <c r="I147" s="76" t="n"/>
      <c r="J147" s="76" t="n"/>
      <c r="K147" s="57">
        <f>IF($C147="","",IF($B147="Pagada",0,ROUND(MAX(0,N($I147)+N($T147)-N($J147)-N($AD147)),2)))</f>
        <v/>
      </c>
      <c r="L147" s="146" t="n"/>
      <c r="M147" s="59">
        <f>IF(OR($C147="",$AE147="",$K147=0),"",$AE147-TODAY())</f>
        <v/>
      </c>
      <c r="N147" s="62">
        <f>IF($C147="","",IF($K147=0,"✅ Saldada",IF($M147="","",IF($M147&lt;0,IF(N($R147)&gt;0,"🔴 APLAZADA VENCIDA","🔴 VENCIDA"),IF(N($R147)&gt;0,"🕓 Aplazada",IF($M147&lt;=3,"🟠 ≤3 días",IF($M147&lt;=7,"🟡 ≤7 días",IF($M147&lt;=30,"🔵 ≤30 días","⚪ &gt;30 días"))))))))</f>
        <v/>
      </c>
      <c r="O147" s="64">
        <f>IF($AE147="","",TEXT($AE147,"YYYY-MM"))</f>
        <v/>
      </c>
      <c r="P147" s="83" t="n"/>
      <c r="Q147" s="145" t="n"/>
      <c r="R147" s="136" t="n"/>
      <c r="S147" s="145" t="n"/>
      <c r="T147" s="76" t="n"/>
      <c r="U147" s="145" t="n"/>
      <c r="V147" s="145" t="n"/>
      <c r="W147" s="1" t="n"/>
      <c r="X147" s="1" t="n"/>
      <c r="Y147" s="1" t="n"/>
      <c r="Z147" s="1" t="n"/>
      <c r="AA147" s="67">
        <f>IF(OR($C147="",$K147=0,$P147=""),"",VALUE(LEFT($P147,1))*100000+N($M147)+ROW()/100000)</f>
        <v/>
      </c>
      <c r="AB147" s="67">
        <f>IF(OR($C147="",$K147=0,$AE147=""),"",$M147+ROW()/100000)</f>
        <v/>
      </c>
      <c r="AC147" s="41">
        <f t="array" ref="AC147">IF($C147="","",IFERROR(INDEX(Disponibilidad!$O$6:$O$18,MATCH($L147,Disponibilidad!$B$6:$B$18,0)),"Hogar"))</f>
        <v/>
      </c>
      <c r="AD147" s="74">
        <f>IF($C147="","",SUMIFS(Caja!$H$6:$H$505,Caja!$J$6:$J$505,$A147,Caja!$C$6:$C$505,"Pago"))</f>
        <v/>
      </c>
      <c r="AE147" s="136">
        <f>IF($C147="","",IF(N($R147)&gt;0,$R147,$H147))</f>
        <v/>
      </c>
      <c r="AF147" s="1" t="n"/>
      <c r="AG147" s="1" t="n"/>
      <c r="AH147" s="1" t="n"/>
      <c r="AI147" s="1" t="n"/>
      <c r="AJ147" s="1" t="n"/>
      <c r="AK147" s="1" t="n"/>
    </row>
    <row r="148" ht="15" customHeight="1" s="311">
      <c r="A148" s="41">
        <f>IF($C148="","",ROW()-5)</f>
        <v/>
      </c>
      <c r="B148" s="146" t="n"/>
      <c r="C148" s="146" t="n"/>
      <c r="D148" s="146" t="n"/>
      <c r="E148" s="146" t="n"/>
      <c r="F148" s="146" t="n"/>
      <c r="G148" s="136" t="n"/>
      <c r="H148" s="136" t="n"/>
      <c r="I148" s="76" t="n"/>
      <c r="J148" s="76" t="n"/>
      <c r="K148" s="57">
        <f>IF($C148="","",IF($B148="Pagada",0,ROUND(MAX(0,N($I148)+N($T148)-N($J148)-N($AD148)),2)))</f>
        <v/>
      </c>
      <c r="L148" s="146" t="n"/>
      <c r="M148" s="59">
        <f>IF(OR($C148="",$AE148="",$K148=0),"",$AE148-TODAY())</f>
        <v/>
      </c>
      <c r="N148" s="62">
        <f>IF($C148="","",IF($K148=0,"✅ Saldada",IF($M148="","",IF($M148&lt;0,IF(N($R148)&gt;0,"🔴 APLAZADA VENCIDA","🔴 VENCIDA"),IF(N($R148)&gt;0,"🕓 Aplazada",IF($M148&lt;=3,"🟠 ≤3 días",IF($M148&lt;=7,"🟡 ≤7 días",IF($M148&lt;=30,"🔵 ≤30 días","⚪ &gt;30 días"))))))))</f>
        <v/>
      </c>
      <c r="O148" s="64">
        <f>IF($AE148="","",TEXT($AE148,"YYYY-MM"))</f>
        <v/>
      </c>
      <c r="P148" s="83" t="n"/>
      <c r="Q148" s="145" t="n"/>
      <c r="R148" s="136" t="n"/>
      <c r="S148" s="145" t="n"/>
      <c r="T148" s="76" t="n"/>
      <c r="U148" s="145" t="n"/>
      <c r="V148" s="145" t="n"/>
      <c r="W148" s="1" t="n"/>
      <c r="X148" s="1" t="n"/>
      <c r="Y148" s="1" t="n"/>
      <c r="Z148" s="1" t="n"/>
      <c r="AA148" s="67">
        <f>IF(OR($C148="",$K148=0,$P148=""),"",VALUE(LEFT($P148,1))*100000+N($M148)+ROW()/100000)</f>
        <v/>
      </c>
      <c r="AB148" s="67">
        <f>IF(OR($C148="",$K148=0,$AE148=""),"",$M148+ROW()/100000)</f>
        <v/>
      </c>
      <c r="AC148" s="41">
        <f t="array" ref="AC148">IF($C148="","",IFERROR(INDEX(Disponibilidad!$O$6:$O$18,MATCH($L148,Disponibilidad!$B$6:$B$18,0)),"Hogar"))</f>
        <v/>
      </c>
      <c r="AD148" s="74">
        <f>IF($C148="","",SUMIFS(Caja!$H$6:$H$505,Caja!$J$6:$J$505,$A148,Caja!$C$6:$C$505,"Pago"))</f>
        <v/>
      </c>
      <c r="AE148" s="136">
        <f>IF($C148="","",IF(N($R148)&gt;0,$R148,$H148))</f>
        <v/>
      </c>
      <c r="AF148" s="1" t="n"/>
      <c r="AG148" s="1" t="n"/>
      <c r="AH148" s="1" t="n"/>
      <c r="AI148" s="1" t="n"/>
      <c r="AJ148" s="1" t="n"/>
      <c r="AK148" s="1" t="n"/>
    </row>
    <row r="149" ht="15" customHeight="1" s="311">
      <c r="A149" s="41">
        <f>IF($C149="","",ROW()-5)</f>
        <v/>
      </c>
      <c r="B149" s="146" t="n"/>
      <c r="C149" s="146" t="n"/>
      <c r="D149" s="146" t="n"/>
      <c r="E149" s="146" t="n"/>
      <c r="F149" s="146" t="n"/>
      <c r="G149" s="136" t="n"/>
      <c r="H149" s="136" t="n"/>
      <c r="I149" s="76" t="n"/>
      <c r="J149" s="76" t="n"/>
      <c r="K149" s="57">
        <f>IF($C149="","",IF($B149="Pagada",0,ROUND(MAX(0,N($I149)+N($T149)-N($J149)-N($AD149)),2)))</f>
        <v/>
      </c>
      <c r="L149" s="146" t="n"/>
      <c r="M149" s="59">
        <f>IF(OR($C149="",$AE149="",$K149=0),"",$AE149-TODAY())</f>
        <v/>
      </c>
      <c r="N149" s="62">
        <f>IF($C149="","",IF($K149=0,"✅ Saldada",IF($M149="","",IF($M149&lt;0,IF(N($R149)&gt;0,"🔴 APLAZADA VENCIDA","🔴 VENCIDA"),IF(N($R149)&gt;0,"🕓 Aplazada",IF($M149&lt;=3,"🟠 ≤3 días",IF($M149&lt;=7,"🟡 ≤7 días",IF($M149&lt;=30,"🔵 ≤30 días","⚪ &gt;30 días"))))))))</f>
        <v/>
      </c>
      <c r="O149" s="64">
        <f>IF($AE149="","",TEXT($AE149,"YYYY-MM"))</f>
        <v/>
      </c>
      <c r="P149" s="83" t="n"/>
      <c r="Q149" s="145" t="n"/>
      <c r="R149" s="136" t="n"/>
      <c r="S149" s="145" t="n"/>
      <c r="T149" s="76" t="n"/>
      <c r="U149" s="145" t="n"/>
      <c r="V149" s="145" t="n"/>
      <c r="W149" s="1" t="n"/>
      <c r="X149" s="1" t="n"/>
      <c r="Y149" s="1" t="n"/>
      <c r="Z149" s="1" t="n"/>
      <c r="AA149" s="67">
        <f>IF(OR($C149="",$K149=0,$P149=""),"",VALUE(LEFT($P149,1))*100000+N($M149)+ROW()/100000)</f>
        <v/>
      </c>
      <c r="AB149" s="67">
        <f>IF(OR($C149="",$K149=0,$AE149=""),"",$M149+ROW()/100000)</f>
        <v/>
      </c>
      <c r="AC149" s="41">
        <f t="array" ref="AC149">IF($C149="","",IFERROR(INDEX(Disponibilidad!$O$6:$O$18,MATCH($L149,Disponibilidad!$B$6:$B$18,0)),"Hogar"))</f>
        <v/>
      </c>
      <c r="AD149" s="74">
        <f>IF($C149="","",SUMIFS(Caja!$H$6:$H$505,Caja!$J$6:$J$505,$A149,Caja!$C$6:$C$505,"Pago"))</f>
        <v/>
      </c>
      <c r="AE149" s="136">
        <f>IF($C149="","",IF(N($R149)&gt;0,$R149,$H149))</f>
        <v/>
      </c>
      <c r="AF149" s="1" t="n"/>
      <c r="AG149" s="1" t="n"/>
      <c r="AH149" s="1" t="n"/>
      <c r="AI149" s="1" t="n"/>
      <c r="AJ149" s="1" t="n"/>
      <c r="AK149" s="1" t="n"/>
    </row>
    <row r="150" ht="15" customHeight="1" s="311">
      <c r="A150" s="41">
        <f>IF($C150="","",ROW()-5)</f>
        <v/>
      </c>
      <c r="B150" s="146" t="n"/>
      <c r="C150" s="146" t="n"/>
      <c r="D150" s="146" t="n"/>
      <c r="E150" s="146" t="n"/>
      <c r="F150" s="146" t="n"/>
      <c r="G150" s="136" t="n"/>
      <c r="H150" s="136" t="n"/>
      <c r="I150" s="76" t="n"/>
      <c r="J150" s="76" t="n"/>
      <c r="K150" s="57">
        <f>IF($C150="","",IF($B150="Pagada",0,ROUND(MAX(0,N($I150)+N($T150)-N($J150)-N($AD150)),2)))</f>
        <v/>
      </c>
      <c r="L150" s="146" t="n"/>
      <c r="M150" s="59">
        <f>IF(OR($C150="",$AE150="",$K150=0),"",$AE150-TODAY())</f>
        <v/>
      </c>
      <c r="N150" s="62">
        <f>IF($C150="","",IF($K150=0,"✅ Saldada",IF($M150="","",IF($M150&lt;0,IF(N($R150)&gt;0,"🔴 APLAZADA VENCIDA","🔴 VENCIDA"),IF(N($R150)&gt;0,"🕓 Aplazada",IF($M150&lt;=3,"🟠 ≤3 días",IF($M150&lt;=7,"🟡 ≤7 días",IF($M150&lt;=30,"🔵 ≤30 días","⚪ &gt;30 días"))))))))</f>
        <v/>
      </c>
      <c r="O150" s="64">
        <f>IF($AE150="","",TEXT($AE150,"YYYY-MM"))</f>
        <v/>
      </c>
      <c r="P150" s="83" t="n"/>
      <c r="Q150" s="145" t="n"/>
      <c r="R150" s="136" t="n"/>
      <c r="S150" s="145" t="n"/>
      <c r="T150" s="76" t="n"/>
      <c r="U150" s="145" t="n"/>
      <c r="V150" s="145" t="n"/>
      <c r="W150" s="1" t="n"/>
      <c r="X150" s="1" t="n"/>
      <c r="Y150" s="1" t="n"/>
      <c r="Z150" s="1" t="n"/>
      <c r="AA150" s="67">
        <f>IF(OR($C150="",$K150=0,$P150=""),"",VALUE(LEFT($P150,1))*100000+N($M150)+ROW()/100000)</f>
        <v/>
      </c>
      <c r="AB150" s="67">
        <f>IF(OR($C150="",$K150=0,$AE150=""),"",$M150+ROW()/100000)</f>
        <v/>
      </c>
      <c r="AC150" s="41">
        <f t="array" ref="AC150">IF($C150="","",IFERROR(INDEX(Disponibilidad!$O$6:$O$18,MATCH($L150,Disponibilidad!$B$6:$B$18,0)),"Hogar"))</f>
        <v/>
      </c>
      <c r="AD150" s="74">
        <f>IF($C150="","",SUMIFS(Caja!$H$6:$H$505,Caja!$J$6:$J$505,$A150,Caja!$C$6:$C$505,"Pago"))</f>
        <v/>
      </c>
      <c r="AE150" s="136">
        <f>IF($C150="","",IF(N($R150)&gt;0,$R150,$H150))</f>
        <v/>
      </c>
      <c r="AF150" s="1" t="n"/>
      <c r="AG150" s="1" t="n"/>
      <c r="AH150" s="1" t="n"/>
      <c r="AI150" s="1" t="n"/>
      <c r="AJ150" s="1" t="n"/>
      <c r="AK150" s="1" t="n"/>
    </row>
    <row r="151" ht="15" customHeight="1" s="311">
      <c r="A151" s="41">
        <f>IF($C151="","",ROW()-5)</f>
        <v/>
      </c>
      <c r="B151" s="146" t="n"/>
      <c r="C151" s="146" t="n"/>
      <c r="D151" s="146" t="n"/>
      <c r="E151" s="146" t="n"/>
      <c r="F151" s="146" t="n"/>
      <c r="G151" s="136" t="n"/>
      <c r="H151" s="136" t="n"/>
      <c r="I151" s="76" t="n"/>
      <c r="J151" s="76" t="n"/>
      <c r="K151" s="57">
        <f>IF($C151="","",IF($B151="Pagada",0,ROUND(MAX(0,N($I151)+N($T151)-N($J151)-N($AD151)),2)))</f>
        <v/>
      </c>
      <c r="L151" s="146" t="n"/>
      <c r="M151" s="59">
        <f>IF(OR($C151="",$AE151="",$K151=0),"",$AE151-TODAY())</f>
        <v/>
      </c>
      <c r="N151" s="62">
        <f>IF($C151="","",IF($K151=0,"✅ Saldada",IF($M151="","",IF($M151&lt;0,IF(N($R151)&gt;0,"🔴 APLAZADA VENCIDA","🔴 VENCIDA"),IF(N($R151)&gt;0,"🕓 Aplazada",IF($M151&lt;=3,"🟠 ≤3 días",IF($M151&lt;=7,"🟡 ≤7 días",IF($M151&lt;=30,"🔵 ≤30 días","⚪ &gt;30 días"))))))))</f>
        <v/>
      </c>
      <c r="O151" s="64">
        <f>IF($AE151="","",TEXT($AE151,"YYYY-MM"))</f>
        <v/>
      </c>
      <c r="P151" s="83" t="n"/>
      <c r="Q151" s="145" t="n"/>
      <c r="R151" s="136" t="n"/>
      <c r="S151" s="145" t="n"/>
      <c r="T151" s="76" t="n"/>
      <c r="U151" s="145" t="n"/>
      <c r="V151" s="145" t="n"/>
      <c r="W151" s="1" t="n"/>
      <c r="X151" s="1" t="n"/>
      <c r="Y151" s="1" t="n"/>
      <c r="Z151" s="1" t="n"/>
      <c r="AA151" s="67">
        <f>IF(OR($C151="",$K151=0,$P151=""),"",VALUE(LEFT($P151,1))*100000+N($M151)+ROW()/100000)</f>
        <v/>
      </c>
      <c r="AB151" s="67">
        <f>IF(OR($C151="",$K151=0,$AE151=""),"",$M151+ROW()/100000)</f>
        <v/>
      </c>
      <c r="AC151" s="41">
        <f t="array" ref="AC151">IF($C151="","",IFERROR(INDEX(Disponibilidad!$O$6:$O$18,MATCH($L151,Disponibilidad!$B$6:$B$18,0)),"Hogar"))</f>
        <v/>
      </c>
      <c r="AD151" s="74">
        <f>IF($C151="","",SUMIFS(Caja!$H$6:$H$505,Caja!$J$6:$J$505,$A151,Caja!$C$6:$C$505,"Pago"))</f>
        <v/>
      </c>
      <c r="AE151" s="136">
        <f>IF($C151="","",IF(N($R151)&gt;0,$R151,$H151))</f>
        <v/>
      </c>
      <c r="AF151" s="1" t="n"/>
      <c r="AG151" s="1" t="n"/>
      <c r="AH151" s="1" t="n"/>
      <c r="AI151" s="1" t="n"/>
      <c r="AJ151" s="1" t="n"/>
      <c r="AK151" s="1" t="n"/>
    </row>
    <row r="152" ht="15" customHeight="1" s="311">
      <c r="A152" s="41">
        <f>IF($C152="","",ROW()-5)</f>
        <v/>
      </c>
      <c r="B152" s="146" t="n"/>
      <c r="C152" s="146" t="n"/>
      <c r="D152" s="146" t="n"/>
      <c r="E152" s="146" t="n"/>
      <c r="F152" s="146" t="n"/>
      <c r="G152" s="136" t="n"/>
      <c r="H152" s="136" t="n"/>
      <c r="I152" s="76" t="n"/>
      <c r="J152" s="76" t="n"/>
      <c r="K152" s="57">
        <f>IF($C152="","",IF($B152="Pagada",0,ROUND(MAX(0,N($I152)+N($T152)-N($J152)-N($AD152)),2)))</f>
        <v/>
      </c>
      <c r="L152" s="146" t="n"/>
      <c r="M152" s="59">
        <f>IF(OR($C152="",$AE152="",$K152=0),"",$AE152-TODAY())</f>
        <v/>
      </c>
      <c r="N152" s="62">
        <f>IF($C152="","",IF($K152=0,"✅ Saldada",IF($M152="","",IF($M152&lt;0,IF(N($R152)&gt;0,"🔴 APLAZADA VENCIDA","🔴 VENCIDA"),IF(N($R152)&gt;0,"🕓 Aplazada",IF($M152&lt;=3,"🟠 ≤3 días",IF($M152&lt;=7,"🟡 ≤7 días",IF($M152&lt;=30,"🔵 ≤30 días","⚪ &gt;30 días"))))))))</f>
        <v/>
      </c>
      <c r="O152" s="64">
        <f>IF($AE152="","",TEXT($AE152,"YYYY-MM"))</f>
        <v/>
      </c>
      <c r="P152" s="83" t="n"/>
      <c r="Q152" s="145" t="n"/>
      <c r="R152" s="136" t="n"/>
      <c r="S152" s="145" t="n"/>
      <c r="T152" s="76" t="n"/>
      <c r="U152" s="145" t="n"/>
      <c r="V152" s="145" t="n"/>
      <c r="W152" s="1" t="n"/>
      <c r="X152" s="1" t="n"/>
      <c r="Y152" s="1" t="n"/>
      <c r="Z152" s="1" t="n"/>
      <c r="AA152" s="67">
        <f>IF(OR($C152="",$K152=0,$P152=""),"",VALUE(LEFT($P152,1))*100000+N($M152)+ROW()/100000)</f>
        <v/>
      </c>
      <c r="AB152" s="67">
        <f>IF(OR($C152="",$K152=0,$AE152=""),"",$M152+ROW()/100000)</f>
        <v/>
      </c>
      <c r="AC152" s="41">
        <f t="array" ref="AC152">IF($C152="","",IFERROR(INDEX(Disponibilidad!$O$6:$O$18,MATCH($L152,Disponibilidad!$B$6:$B$18,0)),"Hogar"))</f>
        <v/>
      </c>
      <c r="AD152" s="74">
        <f>IF($C152="","",SUMIFS(Caja!$H$6:$H$505,Caja!$J$6:$J$505,$A152,Caja!$C$6:$C$505,"Pago"))</f>
        <v/>
      </c>
      <c r="AE152" s="136">
        <f>IF($C152="","",IF(N($R152)&gt;0,$R152,$H152))</f>
        <v/>
      </c>
      <c r="AF152" s="1" t="n"/>
      <c r="AG152" s="1" t="n"/>
      <c r="AH152" s="1" t="n"/>
      <c r="AI152" s="1" t="n"/>
      <c r="AJ152" s="1" t="n"/>
      <c r="AK152" s="1" t="n"/>
    </row>
    <row r="153" ht="15" customHeight="1" s="311">
      <c r="A153" s="41">
        <f>IF($C153="","",ROW()-5)</f>
        <v/>
      </c>
      <c r="B153" s="146" t="n"/>
      <c r="C153" s="146" t="n"/>
      <c r="D153" s="146" t="n"/>
      <c r="E153" s="146" t="n"/>
      <c r="F153" s="146" t="n"/>
      <c r="G153" s="136" t="n"/>
      <c r="H153" s="136" t="n"/>
      <c r="I153" s="76" t="n"/>
      <c r="J153" s="76" t="n"/>
      <c r="K153" s="57">
        <f>IF($C153="","",IF($B153="Pagada",0,ROUND(MAX(0,N($I153)+N($T153)-N($J153)-N($AD153)),2)))</f>
        <v/>
      </c>
      <c r="L153" s="146" t="n"/>
      <c r="M153" s="59">
        <f>IF(OR($C153="",$AE153="",$K153=0),"",$AE153-TODAY())</f>
        <v/>
      </c>
      <c r="N153" s="62">
        <f>IF($C153="","",IF($K153=0,"✅ Saldada",IF($M153="","",IF($M153&lt;0,IF(N($R153)&gt;0,"🔴 APLAZADA VENCIDA","🔴 VENCIDA"),IF(N($R153)&gt;0,"🕓 Aplazada",IF($M153&lt;=3,"🟠 ≤3 días",IF($M153&lt;=7,"🟡 ≤7 días",IF($M153&lt;=30,"🔵 ≤30 días","⚪ &gt;30 días"))))))))</f>
        <v/>
      </c>
      <c r="O153" s="64">
        <f>IF($AE153="","",TEXT($AE153,"YYYY-MM"))</f>
        <v/>
      </c>
      <c r="P153" s="83" t="n"/>
      <c r="Q153" s="145" t="n"/>
      <c r="R153" s="136" t="n"/>
      <c r="S153" s="145" t="n"/>
      <c r="T153" s="76" t="n"/>
      <c r="U153" s="145" t="n"/>
      <c r="V153" s="145" t="n"/>
      <c r="W153" s="1" t="n"/>
      <c r="X153" s="1" t="n"/>
      <c r="Y153" s="1" t="n"/>
      <c r="Z153" s="1" t="n"/>
      <c r="AA153" s="67">
        <f>IF(OR($C153="",$K153=0,$P153=""),"",VALUE(LEFT($P153,1))*100000+N($M153)+ROW()/100000)</f>
        <v/>
      </c>
      <c r="AB153" s="67">
        <f>IF(OR($C153="",$K153=0,$AE153=""),"",$M153+ROW()/100000)</f>
        <v/>
      </c>
      <c r="AC153" s="41">
        <f t="array" ref="AC153">IF($C153="","",IFERROR(INDEX(Disponibilidad!$O$6:$O$18,MATCH($L153,Disponibilidad!$B$6:$B$18,0)),"Hogar"))</f>
        <v/>
      </c>
      <c r="AD153" s="74">
        <f>IF($C153="","",SUMIFS(Caja!$H$6:$H$505,Caja!$J$6:$J$505,$A153,Caja!$C$6:$C$505,"Pago"))</f>
        <v/>
      </c>
      <c r="AE153" s="136">
        <f>IF($C153="","",IF(N($R153)&gt;0,$R153,$H153))</f>
        <v/>
      </c>
      <c r="AF153" s="1" t="n"/>
      <c r="AG153" s="1" t="n"/>
      <c r="AH153" s="1" t="n"/>
      <c r="AI153" s="1" t="n"/>
      <c r="AJ153" s="1" t="n"/>
      <c r="AK153" s="1" t="n"/>
    </row>
    <row r="154" ht="15" customHeight="1" s="311">
      <c r="A154" s="41">
        <f>IF($C154="","",ROW()-5)</f>
        <v/>
      </c>
      <c r="B154" s="146" t="n"/>
      <c r="C154" s="146" t="n"/>
      <c r="D154" s="146" t="n"/>
      <c r="E154" s="146" t="n"/>
      <c r="F154" s="146" t="n"/>
      <c r="G154" s="136" t="n"/>
      <c r="H154" s="136" t="n"/>
      <c r="I154" s="76" t="n"/>
      <c r="J154" s="76" t="n"/>
      <c r="K154" s="57">
        <f>IF($C154="","",IF($B154="Pagada",0,ROUND(MAX(0,N($I154)+N($T154)-N($J154)-N($AD154)),2)))</f>
        <v/>
      </c>
      <c r="L154" s="146" t="n"/>
      <c r="M154" s="59">
        <f>IF(OR($C154="",$AE154="",$K154=0),"",$AE154-TODAY())</f>
        <v/>
      </c>
      <c r="N154" s="62">
        <f>IF($C154="","",IF($K154=0,"✅ Saldada",IF($M154="","",IF($M154&lt;0,IF(N($R154)&gt;0,"🔴 APLAZADA VENCIDA","🔴 VENCIDA"),IF(N($R154)&gt;0,"🕓 Aplazada",IF($M154&lt;=3,"🟠 ≤3 días",IF($M154&lt;=7,"🟡 ≤7 días",IF($M154&lt;=30,"🔵 ≤30 días","⚪ &gt;30 días"))))))))</f>
        <v/>
      </c>
      <c r="O154" s="64">
        <f>IF($AE154="","",TEXT($AE154,"YYYY-MM"))</f>
        <v/>
      </c>
      <c r="P154" s="83" t="n"/>
      <c r="Q154" s="145" t="n"/>
      <c r="R154" s="136" t="n"/>
      <c r="S154" s="145" t="n"/>
      <c r="T154" s="76" t="n"/>
      <c r="U154" s="145" t="n"/>
      <c r="V154" s="145" t="n"/>
      <c r="W154" s="1" t="n"/>
      <c r="X154" s="1" t="n"/>
      <c r="Y154" s="1" t="n"/>
      <c r="Z154" s="1" t="n"/>
      <c r="AA154" s="67">
        <f>IF(OR($C154="",$K154=0,$P154=""),"",VALUE(LEFT($P154,1))*100000+N($M154)+ROW()/100000)</f>
        <v/>
      </c>
      <c r="AB154" s="67">
        <f>IF(OR($C154="",$K154=0,$AE154=""),"",$M154+ROW()/100000)</f>
        <v/>
      </c>
      <c r="AC154" s="41">
        <f t="array" ref="AC154">IF($C154="","",IFERROR(INDEX(Disponibilidad!$O$6:$O$18,MATCH($L154,Disponibilidad!$B$6:$B$18,0)),"Hogar"))</f>
        <v/>
      </c>
      <c r="AD154" s="74">
        <f>IF($C154="","",SUMIFS(Caja!$H$6:$H$505,Caja!$J$6:$J$505,$A154,Caja!$C$6:$C$505,"Pago"))</f>
        <v/>
      </c>
      <c r="AE154" s="136">
        <f>IF($C154="","",IF(N($R154)&gt;0,$R154,$H154))</f>
        <v/>
      </c>
      <c r="AF154" s="1" t="n"/>
      <c r="AG154" s="1" t="n"/>
      <c r="AH154" s="1" t="n"/>
      <c r="AI154" s="1" t="n"/>
      <c r="AJ154" s="1" t="n"/>
      <c r="AK154" s="1" t="n"/>
    </row>
    <row r="155" ht="15" customHeight="1" s="311">
      <c r="A155" s="41">
        <f>IF($C155="","",ROW()-5)</f>
        <v/>
      </c>
      <c r="B155" s="146" t="n"/>
      <c r="C155" s="146" t="n"/>
      <c r="D155" s="146" t="n"/>
      <c r="E155" s="146" t="n"/>
      <c r="F155" s="146" t="n"/>
      <c r="G155" s="136" t="n"/>
      <c r="H155" s="136" t="n"/>
      <c r="I155" s="76" t="n"/>
      <c r="J155" s="76" t="n"/>
      <c r="K155" s="57">
        <f>IF($C155="","",IF($B155="Pagada",0,ROUND(MAX(0,N($I155)+N($T155)-N($J155)-N($AD155)),2)))</f>
        <v/>
      </c>
      <c r="L155" s="146" t="n"/>
      <c r="M155" s="59">
        <f>IF(OR($C155="",$AE155="",$K155=0),"",$AE155-TODAY())</f>
        <v/>
      </c>
      <c r="N155" s="62">
        <f>IF($C155="","",IF($K155=0,"✅ Saldada",IF($M155="","",IF($M155&lt;0,IF(N($R155)&gt;0,"🔴 APLAZADA VENCIDA","🔴 VENCIDA"),IF(N($R155)&gt;0,"🕓 Aplazada",IF($M155&lt;=3,"🟠 ≤3 días",IF($M155&lt;=7,"🟡 ≤7 días",IF($M155&lt;=30,"🔵 ≤30 días","⚪ &gt;30 días"))))))))</f>
        <v/>
      </c>
      <c r="O155" s="64">
        <f>IF($AE155="","",TEXT($AE155,"YYYY-MM"))</f>
        <v/>
      </c>
      <c r="P155" s="83" t="n"/>
      <c r="Q155" s="145" t="n"/>
      <c r="R155" s="136" t="n"/>
      <c r="S155" s="145" t="n"/>
      <c r="T155" s="76" t="n"/>
      <c r="U155" s="145" t="n"/>
      <c r="V155" s="145" t="n"/>
      <c r="W155" s="1" t="n"/>
      <c r="X155" s="1" t="n"/>
      <c r="Y155" s="1" t="n"/>
      <c r="Z155" s="1" t="n"/>
      <c r="AA155" s="67">
        <f>IF(OR($C155="",$K155=0,$P155=""),"",VALUE(LEFT($P155,1))*100000+N($M155)+ROW()/100000)</f>
        <v/>
      </c>
      <c r="AB155" s="67">
        <f>IF(OR($C155="",$K155=0,$AE155=""),"",$M155+ROW()/100000)</f>
        <v/>
      </c>
      <c r="AC155" s="41">
        <f t="array" ref="AC155">IF($C155="","",IFERROR(INDEX(Disponibilidad!$O$6:$O$18,MATCH($L155,Disponibilidad!$B$6:$B$18,0)),"Hogar"))</f>
        <v/>
      </c>
      <c r="AD155" s="74">
        <f>IF($C155="","",SUMIFS(Caja!$H$6:$H$505,Caja!$J$6:$J$505,$A155,Caja!$C$6:$C$505,"Pago"))</f>
        <v/>
      </c>
      <c r="AE155" s="136">
        <f>IF($C155="","",IF(N($R155)&gt;0,$R155,$H155))</f>
        <v/>
      </c>
      <c r="AF155" s="1" t="n"/>
      <c r="AG155" s="1" t="n"/>
      <c r="AH155" s="1" t="n"/>
      <c r="AI155" s="1" t="n"/>
      <c r="AJ155" s="1" t="n"/>
      <c r="AK155" s="1" t="n"/>
    </row>
    <row r="156" ht="15" customHeight="1" s="311">
      <c r="A156" s="41">
        <f>IF($C156="","",ROW()-5)</f>
        <v/>
      </c>
      <c r="B156" s="146" t="n"/>
      <c r="C156" s="146" t="n"/>
      <c r="D156" s="146" t="n"/>
      <c r="E156" s="146" t="n"/>
      <c r="F156" s="146" t="n"/>
      <c r="G156" s="136" t="n"/>
      <c r="H156" s="136" t="n"/>
      <c r="I156" s="76" t="n"/>
      <c r="J156" s="76" t="n"/>
      <c r="K156" s="57">
        <f>IF($C156="","",IF($B156="Pagada",0,ROUND(MAX(0,N($I156)+N($T156)-N($J156)-N($AD156)),2)))</f>
        <v/>
      </c>
      <c r="L156" s="146" t="n"/>
      <c r="M156" s="59">
        <f>IF(OR($C156="",$AE156="",$K156=0),"",$AE156-TODAY())</f>
        <v/>
      </c>
      <c r="N156" s="62">
        <f>IF($C156="","",IF($K156=0,"✅ Saldada",IF($M156="","",IF($M156&lt;0,IF(N($R156)&gt;0,"🔴 APLAZADA VENCIDA","🔴 VENCIDA"),IF(N($R156)&gt;0,"🕓 Aplazada",IF($M156&lt;=3,"🟠 ≤3 días",IF($M156&lt;=7,"🟡 ≤7 días",IF($M156&lt;=30,"🔵 ≤30 días","⚪ &gt;30 días"))))))))</f>
        <v/>
      </c>
      <c r="O156" s="64">
        <f>IF($AE156="","",TEXT($AE156,"YYYY-MM"))</f>
        <v/>
      </c>
      <c r="P156" s="83" t="n"/>
      <c r="Q156" s="145" t="n"/>
      <c r="R156" s="136" t="n"/>
      <c r="S156" s="145" t="n"/>
      <c r="T156" s="76" t="n"/>
      <c r="U156" s="145" t="n"/>
      <c r="V156" s="145" t="n"/>
      <c r="W156" s="1" t="n"/>
      <c r="X156" s="1" t="n"/>
      <c r="Y156" s="1" t="n"/>
      <c r="Z156" s="1" t="n"/>
      <c r="AA156" s="67">
        <f>IF(OR($C156="",$K156=0,$P156=""),"",VALUE(LEFT($P156,1))*100000+N($M156)+ROW()/100000)</f>
        <v/>
      </c>
      <c r="AB156" s="67">
        <f>IF(OR($C156="",$K156=0,$AE156=""),"",$M156+ROW()/100000)</f>
        <v/>
      </c>
      <c r="AC156" s="41">
        <f t="array" ref="AC156">IF($C156="","",IFERROR(INDEX(Disponibilidad!$O$6:$O$18,MATCH($L156,Disponibilidad!$B$6:$B$18,0)),"Hogar"))</f>
        <v/>
      </c>
      <c r="AD156" s="74">
        <f>IF($C156="","",SUMIFS(Caja!$H$6:$H$505,Caja!$J$6:$J$505,$A156,Caja!$C$6:$C$505,"Pago"))</f>
        <v/>
      </c>
      <c r="AE156" s="136">
        <f>IF($C156="","",IF(N($R156)&gt;0,$R156,$H156))</f>
        <v/>
      </c>
      <c r="AF156" s="1" t="n"/>
      <c r="AG156" s="1" t="n"/>
      <c r="AH156" s="1" t="n"/>
      <c r="AI156" s="1" t="n"/>
      <c r="AJ156" s="1" t="n"/>
      <c r="AK156" s="1" t="n"/>
    </row>
    <row r="157" ht="15" customHeight="1" s="311">
      <c r="A157" s="41">
        <f>IF($C157="","",ROW()-5)</f>
        <v/>
      </c>
      <c r="B157" s="146" t="n"/>
      <c r="C157" s="146" t="n"/>
      <c r="D157" s="146" t="n"/>
      <c r="E157" s="146" t="n"/>
      <c r="F157" s="146" t="n"/>
      <c r="G157" s="136" t="n"/>
      <c r="H157" s="136" t="n"/>
      <c r="I157" s="76" t="n"/>
      <c r="J157" s="76" t="n"/>
      <c r="K157" s="57">
        <f>IF($C157="","",IF($B157="Pagada",0,ROUND(MAX(0,N($I157)+N($T157)-N($J157)-N($AD157)),2)))</f>
        <v/>
      </c>
      <c r="L157" s="146" t="n"/>
      <c r="M157" s="59">
        <f>IF(OR($C157="",$AE157="",$K157=0),"",$AE157-TODAY())</f>
        <v/>
      </c>
      <c r="N157" s="62">
        <f>IF($C157="","",IF($K157=0,"✅ Saldada",IF($M157="","",IF($M157&lt;0,IF(N($R157)&gt;0,"🔴 APLAZADA VENCIDA","🔴 VENCIDA"),IF(N($R157)&gt;0,"🕓 Aplazada",IF($M157&lt;=3,"🟠 ≤3 días",IF($M157&lt;=7,"🟡 ≤7 días",IF($M157&lt;=30,"🔵 ≤30 días","⚪ &gt;30 días"))))))))</f>
        <v/>
      </c>
      <c r="O157" s="64">
        <f>IF($AE157="","",TEXT($AE157,"YYYY-MM"))</f>
        <v/>
      </c>
      <c r="P157" s="83" t="n"/>
      <c r="Q157" s="145" t="n"/>
      <c r="R157" s="136" t="n"/>
      <c r="S157" s="145" t="n"/>
      <c r="T157" s="76" t="n"/>
      <c r="U157" s="145" t="n"/>
      <c r="V157" s="145" t="n"/>
      <c r="W157" s="1" t="n"/>
      <c r="X157" s="1" t="n"/>
      <c r="Y157" s="1" t="n"/>
      <c r="Z157" s="1" t="n"/>
      <c r="AA157" s="67">
        <f>IF(OR($C157="",$K157=0,$P157=""),"",VALUE(LEFT($P157,1))*100000+N($M157)+ROW()/100000)</f>
        <v/>
      </c>
      <c r="AB157" s="67">
        <f>IF(OR($C157="",$K157=0,$AE157=""),"",$M157+ROW()/100000)</f>
        <v/>
      </c>
      <c r="AC157" s="41">
        <f t="array" ref="AC157">IF($C157="","",IFERROR(INDEX(Disponibilidad!$O$6:$O$18,MATCH($L157,Disponibilidad!$B$6:$B$18,0)),"Hogar"))</f>
        <v/>
      </c>
      <c r="AD157" s="74">
        <f>IF($C157="","",SUMIFS(Caja!$H$6:$H$505,Caja!$J$6:$J$505,$A157,Caja!$C$6:$C$505,"Pago"))</f>
        <v/>
      </c>
      <c r="AE157" s="136">
        <f>IF($C157="","",IF(N($R157)&gt;0,$R157,$H157))</f>
        <v/>
      </c>
      <c r="AF157" s="1" t="n"/>
      <c r="AG157" s="1" t="n"/>
      <c r="AH157" s="1" t="n"/>
      <c r="AI157" s="1" t="n"/>
      <c r="AJ157" s="1" t="n"/>
      <c r="AK157" s="1" t="n"/>
    </row>
    <row r="158" ht="15" customHeight="1" s="311">
      <c r="A158" s="41">
        <f>IF($C158="","",ROW()-5)</f>
        <v/>
      </c>
      <c r="B158" s="146" t="n"/>
      <c r="C158" s="146" t="n"/>
      <c r="D158" s="146" t="n"/>
      <c r="E158" s="146" t="n"/>
      <c r="F158" s="146" t="n"/>
      <c r="G158" s="136" t="n"/>
      <c r="H158" s="136" t="n"/>
      <c r="I158" s="76" t="n"/>
      <c r="J158" s="76" t="n"/>
      <c r="K158" s="57">
        <f>IF($C158="","",IF($B158="Pagada",0,ROUND(MAX(0,N($I158)+N($T158)-N($J158)-N($AD158)),2)))</f>
        <v/>
      </c>
      <c r="L158" s="146" t="n"/>
      <c r="M158" s="59">
        <f>IF(OR($C158="",$AE158="",$K158=0),"",$AE158-TODAY())</f>
        <v/>
      </c>
      <c r="N158" s="62">
        <f>IF($C158="","",IF($K158=0,"✅ Saldada",IF($M158="","",IF($M158&lt;0,IF(N($R158)&gt;0,"🔴 APLAZADA VENCIDA","🔴 VENCIDA"),IF(N($R158)&gt;0,"🕓 Aplazada",IF($M158&lt;=3,"🟠 ≤3 días",IF($M158&lt;=7,"🟡 ≤7 días",IF($M158&lt;=30,"🔵 ≤30 días","⚪ &gt;30 días"))))))))</f>
        <v/>
      </c>
      <c r="O158" s="64">
        <f>IF($AE158="","",TEXT($AE158,"YYYY-MM"))</f>
        <v/>
      </c>
      <c r="P158" s="83" t="n"/>
      <c r="Q158" s="145" t="n"/>
      <c r="R158" s="136" t="n"/>
      <c r="S158" s="145" t="n"/>
      <c r="T158" s="76" t="n"/>
      <c r="U158" s="145" t="n"/>
      <c r="V158" s="145" t="n"/>
      <c r="W158" s="1" t="n"/>
      <c r="X158" s="1" t="n"/>
      <c r="Y158" s="1" t="n"/>
      <c r="Z158" s="1" t="n"/>
      <c r="AA158" s="67">
        <f>IF(OR($C158="",$K158=0,$P158=""),"",VALUE(LEFT($P158,1))*100000+N($M158)+ROW()/100000)</f>
        <v/>
      </c>
      <c r="AB158" s="67">
        <f>IF(OR($C158="",$K158=0,$AE158=""),"",$M158+ROW()/100000)</f>
        <v/>
      </c>
      <c r="AC158" s="41">
        <f t="array" ref="AC158">IF($C158="","",IFERROR(INDEX(Disponibilidad!$O$6:$O$18,MATCH($L158,Disponibilidad!$B$6:$B$18,0)),"Hogar"))</f>
        <v/>
      </c>
      <c r="AD158" s="74">
        <f>IF($C158="","",SUMIFS(Caja!$H$6:$H$505,Caja!$J$6:$J$505,$A158,Caja!$C$6:$C$505,"Pago"))</f>
        <v/>
      </c>
      <c r="AE158" s="136">
        <f>IF($C158="","",IF(N($R158)&gt;0,$R158,$H158))</f>
        <v/>
      </c>
      <c r="AF158" s="1" t="n"/>
      <c r="AG158" s="1" t="n"/>
      <c r="AH158" s="1" t="n"/>
      <c r="AI158" s="1" t="n"/>
      <c r="AJ158" s="1" t="n"/>
      <c r="AK158" s="1" t="n"/>
    </row>
    <row r="159" ht="15" customHeight="1" s="311">
      <c r="A159" s="41">
        <f>IF($C159="","",ROW()-5)</f>
        <v/>
      </c>
      <c r="B159" s="146" t="n"/>
      <c r="C159" s="146" t="n"/>
      <c r="D159" s="146" t="n"/>
      <c r="E159" s="146" t="n"/>
      <c r="F159" s="146" t="n"/>
      <c r="G159" s="136" t="n"/>
      <c r="H159" s="136" t="n"/>
      <c r="I159" s="76" t="n"/>
      <c r="J159" s="76" t="n"/>
      <c r="K159" s="57">
        <f>IF($C159="","",IF($B159="Pagada",0,ROUND(MAX(0,N($I159)+N($T159)-N($J159)-N($AD159)),2)))</f>
        <v/>
      </c>
      <c r="L159" s="146" t="n"/>
      <c r="M159" s="59">
        <f>IF(OR($C159="",$AE159="",$K159=0),"",$AE159-TODAY())</f>
        <v/>
      </c>
      <c r="N159" s="62">
        <f>IF($C159="","",IF($K159=0,"✅ Saldada",IF($M159="","",IF($M159&lt;0,IF(N($R159)&gt;0,"🔴 APLAZADA VENCIDA","🔴 VENCIDA"),IF(N($R159)&gt;0,"🕓 Aplazada",IF($M159&lt;=3,"🟠 ≤3 días",IF($M159&lt;=7,"🟡 ≤7 días",IF($M159&lt;=30,"🔵 ≤30 días","⚪ &gt;30 días"))))))))</f>
        <v/>
      </c>
      <c r="O159" s="64">
        <f>IF($AE159="","",TEXT($AE159,"YYYY-MM"))</f>
        <v/>
      </c>
      <c r="P159" s="83" t="n"/>
      <c r="Q159" s="145" t="n"/>
      <c r="R159" s="136" t="n"/>
      <c r="S159" s="145" t="n"/>
      <c r="T159" s="76" t="n"/>
      <c r="U159" s="145" t="n"/>
      <c r="V159" s="145" t="n"/>
      <c r="W159" s="1" t="n"/>
      <c r="X159" s="1" t="n"/>
      <c r="Y159" s="1" t="n"/>
      <c r="Z159" s="1" t="n"/>
      <c r="AA159" s="67">
        <f>IF(OR($C159="",$K159=0,$P159=""),"",VALUE(LEFT($P159,1))*100000+N($M159)+ROW()/100000)</f>
        <v/>
      </c>
      <c r="AB159" s="67">
        <f>IF(OR($C159="",$K159=0,$AE159=""),"",$M159+ROW()/100000)</f>
        <v/>
      </c>
      <c r="AC159" s="41">
        <f t="array" ref="AC159">IF($C159="","",IFERROR(INDEX(Disponibilidad!$O$6:$O$18,MATCH($L159,Disponibilidad!$B$6:$B$18,0)),"Hogar"))</f>
        <v/>
      </c>
      <c r="AD159" s="74">
        <f>IF($C159="","",SUMIFS(Caja!$H$6:$H$505,Caja!$J$6:$J$505,$A159,Caja!$C$6:$C$505,"Pago"))</f>
        <v/>
      </c>
      <c r="AE159" s="136">
        <f>IF($C159="","",IF(N($R159)&gt;0,$R159,$H159))</f>
        <v/>
      </c>
      <c r="AF159" s="1" t="n"/>
      <c r="AG159" s="1" t="n"/>
      <c r="AH159" s="1" t="n"/>
      <c r="AI159" s="1" t="n"/>
      <c r="AJ159" s="1" t="n"/>
      <c r="AK159" s="1" t="n"/>
    </row>
    <row r="160" ht="15" customHeight="1" s="311">
      <c r="A160" s="41">
        <f>IF($C160="","",ROW()-5)</f>
        <v/>
      </c>
      <c r="B160" s="146" t="n"/>
      <c r="C160" s="146" t="n"/>
      <c r="D160" s="146" t="n"/>
      <c r="E160" s="146" t="n"/>
      <c r="F160" s="146" t="n"/>
      <c r="G160" s="136" t="n"/>
      <c r="H160" s="136" t="n"/>
      <c r="I160" s="76" t="n"/>
      <c r="J160" s="76" t="n"/>
      <c r="K160" s="57">
        <f>IF($C160="","",IF($B160="Pagada",0,ROUND(MAX(0,N($I160)+N($T160)-N($J160)-N($AD160)),2)))</f>
        <v/>
      </c>
      <c r="L160" s="146" t="n"/>
      <c r="M160" s="59">
        <f>IF(OR($C160="",$AE160="",$K160=0),"",$AE160-TODAY())</f>
        <v/>
      </c>
      <c r="N160" s="62">
        <f>IF($C160="","",IF($K160=0,"✅ Saldada",IF($M160="","",IF($M160&lt;0,IF(N($R160)&gt;0,"🔴 APLAZADA VENCIDA","🔴 VENCIDA"),IF(N($R160)&gt;0,"🕓 Aplazada",IF($M160&lt;=3,"🟠 ≤3 días",IF($M160&lt;=7,"🟡 ≤7 días",IF($M160&lt;=30,"🔵 ≤30 días","⚪ &gt;30 días"))))))))</f>
        <v/>
      </c>
      <c r="O160" s="64">
        <f>IF($AE160="","",TEXT($AE160,"YYYY-MM"))</f>
        <v/>
      </c>
      <c r="P160" s="83" t="n"/>
      <c r="Q160" s="145" t="n"/>
      <c r="R160" s="136" t="n"/>
      <c r="S160" s="145" t="n"/>
      <c r="T160" s="76" t="n"/>
      <c r="U160" s="145" t="n"/>
      <c r="V160" s="145" t="n"/>
      <c r="W160" s="1" t="n"/>
      <c r="X160" s="1" t="n"/>
      <c r="Y160" s="1" t="n"/>
      <c r="Z160" s="1" t="n"/>
      <c r="AA160" s="67">
        <f>IF(OR($C160="",$K160=0,$P160=""),"",VALUE(LEFT($P160,1))*100000+N($M160)+ROW()/100000)</f>
        <v/>
      </c>
      <c r="AB160" s="67">
        <f>IF(OR($C160="",$K160=0,$AE160=""),"",$M160+ROW()/100000)</f>
        <v/>
      </c>
      <c r="AC160" s="41">
        <f t="array" ref="AC160">IF($C160="","",IFERROR(INDEX(Disponibilidad!$O$6:$O$18,MATCH($L160,Disponibilidad!$B$6:$B$18,0)),"Hogar"))</f>
        <v/>
      </c>
      <c r="AD160" s="74">
        <f>IF($C160="","",SUMIFS(Caja!$H$6:$H$505,Caja!$J$6:$J$505,$A160,Caja!$C$6:$C$505,"Pago"))</f>
        <v/>
      </c>
      <c r="AE160" s="136">
        <f>IF($C160="","",IF(N($R160)&gt;0,$R160,$H160))</f>
        <v/>
      </c>
      <c r="AF160" s="1" t="n"/>
      <c r="AG160" s="1" t="n"/>
      <c r="AH160" s="1" t="n"/>
      <c r="AI160" s="1" t="n"/>
      <c r="AJ160" s="1" t="n"/>
      <c r="AK160" s="1" t="n"/>
    </row>
    <row r="161" ht="15" customHeight="1" s="311">
      <c r="A161" s="41">
        <f>IF($C161="","",ROW()-5)</f>
        <v/>
      </c>
      <c r="B161" s="146" t="n"/>
      <c r="C161" s="146" t="n"/>
      <c r="D161" s="146" t="n"/>
      <c r="E161" s="146" t="n"/>
      <c r="F161" s="146" t="n"/>
      <c r="G161" s="136" t="n"/>
      <c r="H161" s="136" t="n"/>
      <c r="I161" s="76" t="n"/>
      <c r="J161" s="76" t="n"/>
      <c r="K161" s="57">
        <f>IF($C161="","",IF($B161="Pagada",0,ROUND(MAX(0,N($I161)+N($T161)-N($J161)-N($AD161)),2)))</f>
        <v/>
      </c>
      <c r="L161" s="146" t="n"/>
      <c r="M161" s="59">
        <f>IF(OR($C161="",$AE161="",$K161=0),"",$AE161-TODAY())</f>
        <v/>
      </c>
      <c r="N161" s="62">
        <f>IF($C161="","",IF($K161=0,"✅ Saldada",IF($M161="","",IF($M161&lt;0,IF(N($R161)&gt;0,"🔴 APLAZADA VENCIDA","🔴 VENCIDA"),IF(N($R161)&gt;0,"🕓 Aplazada",IF($M161&lt;=3,"🟠 ≤3 días",IF($M161&lt;=7,"🟡 ≤7 días",IF($M161&lt;=30,"🔵 ≤30 días","⚪ &gt;30 días"))))))))</f>
        <v/>
      </c>
      <c r="O161" s="64">
        <f>IF($AE161="","",TEXT($AE161,"YYYY-MM"))</f>
        <v/>
      </c>
      <c r="P161" s="83" t="n"/>
      <c r="Q161" s="145" t="n"/>
      <c r="R161" s="136" t="n"/>
      <c r="S161" s="145" t="n"/>
      <c r="T161" s="76" t="n"/>
      <c r="U161" s="145" t="n"/>
      <c r="V161" s="145" t="n"/>
      <c r="W161" s="1" t="n"/>
      <c r="X161" s="1" t="n"/>
      <c r="Y161" s="1" t="n"/>
      <c r="Z161" s="1" t="n"/>
      <c r="AA161" s="67">
        <f>IF(OR($C161="",$K161=0,$P161=""),"",VALUE(LEFT($P161,1))*100000+N($M161)+ROW()/100000)</f>
        <v/>
      </c>
      <c r="AB161" s="67">
        <f>IF(OR($C161="",$K161=0,$AE161=""),"",$M161+ROW()/100000)</f>
        <v/>
      </c>
      <c r="AC161" s="41">
        <f t="array" ref="AC161">IF($C161="","",IFERROR(INDEX(Disponibilidad!$O$6:$O$18,MATCH($L161,Disponibilidad!$B$6:$B$18,0)),"Hogar"))</f>
        <v/>
      </c>
      <c r="AD161" s="74">
        <f>IF($C161="","",SUMIFS(Caja!$H$6:$H$505,Caja!$J$6:$J$505,$A161,Caja!$C$6:$C$505,"Pago"))</f>
        <v/>
      </c>
      <c r="AE161" s="136">
        <f>IF($C161="","",IF(N($R161)&gt;0,$R161,$H161))</f>
        <v/>
      </c>
      <c r="AF161" s="1" t="n"/>
      <c r="AG161" s="1" t="n"/>
      <c r="AH161" s="1" t="n"/>
      <c r="AI161" s="1" t="n"/>
      <c r="AJ161" s="1" t="n"/>
      <c r="AK161" s="1" t="n"/>
    </row>
    <row r="162" ht="15" customHeight="1" s="311">
      <c r="A162" s="41">
        <f>IF($C162="","",ROW()-5)</f>
        <v/>
      </c>
      <c r="B162" s="146" t="n"/>
      <c r="C162" s="146" t="n"/>
      <c r="D162" s="146" t="n"/>
      <c r="E162" s="146" t="n"/>
      <c r="F162" s="146" t="n"/>
      <c r="G162" s="136" t="n"/>
      <c r="H162" s="136" t="n"/>
      <c r="I162" s="76" t="n"/>
      <c r="J162" s="76" t="n"/>
      <c r="K162" s="57">
        <f>IF($C162="","",IF($B162="Pagada",0,ROUND(MAX(0,N($I162)+N($T162)-N($J162)-N($AD162)),2)))</f>
        <v/>
      </c>
      <c r="L162" s="146" t="n"/>
      <c r="M162" s="59">
        <f>IF(OR($C162="",$AE162="",$K162=0),"",$AE162-TODAY())</f>
        <v/>
      </c>
      <c r="N162" s="62">
        <f>IF($C162="","",IF($K162=0,"✅ Saldada",IF($M162="","",IF($M162&lt;0,IF(N($R162)&gt;0,"🔴 APLAZADA VENCIDA","🔴 VENCIDA"),IF(N($R162)&gt;0,"🕓 Aplazada",IF($M162&lt;=3,"🟠 ≤3 días",IF($M162&lt;=7,"🟡 ≤7 días",IF($M162&lt;=30,"🔵 ≤30 días","⚪ &gt;30 días"))))))))</f>
        <v/>
      </c>
      <c r="O162" s="64">
        <f>IF($AE162="","",TEXT($AE162,"YYYY-MM"))</f>
        <v/>
      </c>
      <c r="P162" s="83" t="n"/>
      <c r="Q162" s="145" t="n"/>
      <c r="R162" s="136" t="n"/>
      <c r="S162" s="145" t="n"/>
      <c r="T162" s="76" t="n"/>
      <c r="U162" s="145" t="n"/>
      <c r="V162" s="145" t="n"/>
      <c r="W162" s="1" t="n"/>
      <c r="X162" s="1" t="n"/>
      <c r="Y162" s="1" t="n"/>
      <c r="Z162" s="1" t="n"/>
      <c r="AA162" s="67">
        <f>IF(OR($C162="",$K162=0,$P162=""),"",VALUE(LEFT($P162,1))*100000+N($M162)+ROW()/100000)</f>
        <v/>
      </c>
      <c r="AB162" s="67">
        <f>IF(OR($C162="",$K162=0,$AE162=""),"",$M162+ROW()/100000)</f>
        <v/>
      </c>
      <c r="AC162" s="41">
        <f t="array" ref="AC162">IF($C162="","",IFERROR(INDEX(Disponibilidad!$O$6:$O$18,MATCH($L162,Disponibilidad!$B$6:$B$18,0)),"Hogar"))</f>
        <v/>
      </c>
      <c r="AD162" s="74">
        <f>IF($C162="","",SUMIFS(Caja!$H$6:$H$505,Caja!$J$6:$J$505,$A162,Caja!$C$6:$C$505,"Pago"))</f>
        <v/>
      </c>
      <c r="AE162" s="136">
        <f>IF($C162="","",IF(N($R162)&gt;0,$R162,$H162))</f>
        <v/>
      </c>
      <c r="AF162" s="1" t="n"/>
      <c r="AG162" s="1" t="n"/>
      <c r="AH162" s="1" t="n"/>
      <c r="AI162" s="1" t="n"/>
      <c r="AJ162" s="1" t="n"/>
      <c r="AK162" s="1" t="n"/>
    </row>
    <row r="163" ht="15" customHeight="1" s="311">
      <c r="A163" s="41">
        <f>IF($C163="","",ROW()-5)</f>
        <v/>
      </c>
      <c r="B163" s="146" t="n"/>
      <c r="C163" s="146" t="n"/>
      <c r="D163" s="146" t="n"/>
      <c r="E163" s="146" t="n"/>
      <c r="F163" s="146" t="n"/>
      <c r="G163" s="136" t="n"/>
      <c r="H163" s="136" t="n"/>
      <c r="I163" s="76" t="n"/>
      <c r="J163" s="76" t="n"/>
      <c r="K163" s="57">
        <f>IF($C163="","",IF($B163="Pagada",0,ROUND(MAX(0,N($I163)+N($T163)-N($J163)-N($AD163)),2)))</f>
        <v/>
      </c>
      <c r="L163" s="146" t="n"/>
      <c r="M163" s="59">
        <f>IF(OR($C163="",$AE163="",$K163=0),"",$AE163-TODAY())</f>
        <v/>
      </c>
      <c r="N163" s="62">
        <f>IF($C163="","",IF($K163=0,"✅ Saldada",IF($M163="","",IF($M163&lt;0,IF(N($R163)&gt;0,"🔴 APLAZADA VENCIDA","🔴 VENCIDA"),IF(N($R163)&gt;0,"🕓 Aplazada",IF($M163&lt;=3,"🟠 ≤3 días",IF($M163&lt;=7,"🟡 ≤7 días",IF($M163&lt;=30,"🔵 ≤30 días","⚪ &gt;30 días"))))))))</f>
        <v/>
      </c>
      <c r="O163" s="64">
        <f>IF($AE163="","",TEXT($AE163,"YYYY-MM"))</f>
        <v/>
      </c>
      <c r="P163" s="83" t="n"/>
      <c r="Q163" s="145" t="n"/>
      <c r="R163" s="136" t="n"/>
      <c r="S163" s="145" t="n"/>
      <c r="T163" s="76" t="n"/>
      <c r="U163" s="145" t="n"/>
      <c r="V163" s="145" t="n"/>
      <c r="W163" s="1" t="n"/>
      <c r="X163" s="1" t="n"/>
      <c r="Y163" s="1" t="n"/>
      <c r="Z163" s="1" t="n"/>
      <c r="AA163" s="67">
        <f>IF(OR($C163="",$K163=0,$P163=""),"",VALUE(LEFT($P163,1))*100000+N($M163)+ROW()/100000)</f>
        <v/>
      </c>
      <c r="AB163" s="67">
        <f>IF(OR($C163="",$K163=0,$AE163=""),"",$M163+ROW()/100000)</f>
        <v/>
      </c>
      <c r="AC163" s="41">
        <f t="array" ref="AC163">IF($C163="","",IFERROR(INDEX(Disponibilidad!$O$6:$O$18,MATCH($L163,Disponibilidad!$B$6:$B$18,0)),"Hogar"))</f>
        <v/>
      </c>
      <c r="AD163" s="74">
        <f>IF($C163="","",SUMIFS(Caja!$H$6:$H$505,Caja!$J$6:$J$505,$A163,Caja!$C$6:$C$505,"Pago"))</f>
        <v/>
      </c>
      <c r="AE163" s="136">
        <f>IF($C163="","",IF(N($R163)&gt;0,$R163,$H163))</f>
        <v/>
      </c>
      <c r="AF163" s="1" t="n"/>
      <c r="AG163" s="1" t="n"/>
      <c r="AH163" s="1" t="n"/>
      <c r="AI163" s="1" t="n"/>
      <c r="AJ163" s="1" t="n"/>
      <c r="AK163" s="1" t="n"/>
    </row>
    <row r="164" ht="15" customHeight="1" s="311">
      <c r="A164" s="41">
        <f>IF($C164="","",ROW()-5)</f>
        <v/>
      </c>
      <c r="B164" s="146" t="n"/>
      <c r="C164" s="146" t="n"/>
      <c r="D164" s="146" t="n"/>
      <c r="E164" s="146" t="n"/>
      <c r="F164" s="146" t="n"/>
      <c r="G164" s="136" t="n"/>
      <c r="H164" s="136" t="n"/>
      <c r="I164" s="76" t="n"/>
      <c r="J164" s="76" t="n"/>
      <c r="K164" s="57">
        <f>IF($C164="","",IF($B164="Pagada",0,ROUND(MAX(0,N($I164)+N($T164)-N($J164)-N($AD164)),2)))</f>
        <v/>
      </c>
      <c r="L164" s="146" t="n"/>
      <c r="M164" s="59">
        <f>IF(OR($C164="",$AE164="",$K164=0),"",$AE164-TODAY())</f>
        <v/>
      </c>
      <c r="N164" s="62">
        <f>IF($C164="","",IF($K164=0,"✅ Saldada",IF($M164="","",IF($M164&lt;0,IF(N($R164)&gt;0,"🔴 APLAZADA VENCIDA","🔴 VENCIDA"),IF(N($R164)&gt;0,"🕓 Aplazada",IF($M164&lt;=3,"🟠 ≤3 días",IF($M164&lt;=7,"🟡 ≤7 días",IF($M164&lt;=30,"🔵 ≤30 días","⚪ &gt;30 días"))))))))</f>
        <v/>
      </c>
      <c r="O164" s="64">
        <f>IF($AE164="","",TEXT($AE164,"YYYY-MM"))</f>
        <v/>
      </c>
      <c r="P164" s="83" t="n"/>
      <c r="Q164" s="145" t="n"/>
      <c r="R164" s="136" t="n"/>
      <c r="S164" s="145" t="n"/>
      <c r="T164" s="76" t="n"/>
      <c r="U164" s="145" t="n"/>
      <c r="V164" s="145" t="n"/>
      <c r="W164" s="1" t="n"/>
      <c r="X164" s="1" t="n"/>
      <c r="Y164" s="1" t="n"/>
      <c r="Z164" s="1" t="n"/>
      <c r="AA164" s="67">
        <f>IF(OR($C164="",$K164=0,$P164=""),"",VALUE(LEFT($P164,1))*100000+N($M164)+ROW()/100000)</f>
        <v/>
      </c>
      <c r="AB164" s="67">
        <f>IF(OR($C164="",$K164=0,$AE164=""),"",$M164+ROW()/100000)</f>
        <v/>
      </c>
      <c r="AC164" s="41">
        <f t="array" ref="AC164">IF($C164="","",IFERROR(INDEX(Disponibilidad!$O$6:$O$18,MATCH($L164,Disponibilidad!$B$6:$B$18,0)),"Hogar"))</f>
        <v/>
      </c>
      <c r="AD164" s="74">
        <f>IF($C164="","",SUMIFS(Caja!$H$6:$H$505,Caja!$J$6:$J$505,$A164,Caja!$C$6:$C$505,"Pago"))</f>
        <v/>
      </c>
      <c r="AE164" s="136">
        <f>IF($C164="","",IF(N($R164)&gt;0,$R164,$H164))</f>
        <v/>
      </c>
      <c r="AF164" s="1" t="n"/>
      <c r="AG164" s="1" t="n"/>
      <c r="AH164" s="1" t="n"/>
      <c r="AI164" s="1" t="n"/>
      <c r="AJ164" s="1" t="n"/>
      <c r="AK164" s="1" t="n"/>
    </row>
    <row r="165" ht="15" customHeight="1" s="311">
      <c r="A165" s="41">
        <f>IF($C165="","",ROW()-5)</f>
        <v/>
      </c>
      <c r="B165" s="146" t="n"/>
      <c r="C165" s="146" t="n"/>
      <c r="D165" s="146" t="n"/>
      <c r="E165" s="146" t="n"/>
      <c r="F165" s="146" t="n"/>
      <c r="G165" s="136" t="n"/>
      <c r="H165" s="136" t="n"/>
      <c r="I165" s="76" t="n"/>
      <c r="J165" s="76" t="n"/>
      <c r="K165" s="57">
        <f>IF($C165="","",IF($B165="Pagada",0,ROUND(MAX(0,N($I165)+N($T165)-N($J165)-N($AD165)),2)))</f>
        <v/>
      </c>
      <c r="L165" s="146" t="n"/>
      <c r="M165" s="59">
        <f>IF(OR($C165="",$AE165="",$K165=0),"",$AE165-TODAY())</f>
        <v/>
      </c>
      <c r="N165" s="62">
        <f>IF($C165="","",IF($K165=0,"✅ Saldada",IF($M165="","",IF($M165&lt;0,IF(N($R165)&gt;0,"🔴 APLAZADA VENCIDA","🔴 VENCIDA"),IF(N($R165)&gt;0,"🕓 Aplazada",IF($M165&lt;=3,"🟠 ≤3 días",IF($M165&lt;=7,"🟡 ≤7 días",IF($M165&lt;=30,"🔵 ≤30 días","⚪ &gt;30 días"))))))))</f>
        <v/>
      </c>
      <c r="O165" s="64">
        <f>IF($AE165="","",TEXT($AE165,"YYYY-MM"))</f>
        <v/>
      </c>
      <c r="P165" s="83" t="n"/>
      <c r="Q165" s="145" t="n"/>
      <c r="R165" s="136" t="n"/>
      <c r="S165" s="145" t="n"/>
      <c r="T165" s="76" t="n"/>
      <c r="U165" s="145" t="n"/>
      <c r="V165" s="145" t="n"/>
      <c r="W165" s="1" t="n"/>
      <c r="X165" s="1" t="n"/>
      <c r="Y165" s="1" t="n"/>
      <c r="Z165" s="1" t="n"/>
      <c r="AA165" s="67">
        <f>IF(OR($C165="",$K165=0,$P165=""),"",VALUE(LEFT($P165,1))*100000+N($M165)+ROW()/100000)</f>
        <v/>
      </c>
      <c r="AB165" s="67">
        <f>IF(OR($C165="",$K165=0,$AE165=""),"",$M165+ROW()/100000)</f>
        <v/>
      </c>
      <c r="AC165" s="41">
        <f t="array" ref="AC165">IF($C165="","",IFERROR(INDEX(Disponibilidad!$O$6:$O$18,MATCH($L165,Disponibilidad!$B$6:$B$18,0)),"Hogar"))</f>
        <v/>
      </c>
      <c r="AD165" s="74">
        <f>IF($C165="","",SUMIFS(Caja!$H$6:$H$505,Caja!$J$6:$J$505,$A165,Caja!$C$6:$C$505,"Pago"))</f>
        <v/>
      </c>
      <c r="AE165" s="136">
        <f>IF($C165="","",IF(N($R165)&gt;0,$R165,$H165))</f>
        <v/>
      </c>
      <c r="AF165" s="1" t="n"/>
      <c r="AG165" s="1" t="n"/>
      <c r="AH165" s="1" t="n"/>
      <c r="AI165" s="1" t="n"/>
      <c r="AJ165" s="1" t="n"/>
      <c r="AK165" s="1" t="n"/>
    </row>
    <row r="166" ht="15" customHeight="1" s="311">
      <c r="A166" s="41">
        <f>IF($C166="","",ROW()-5)</f>
        <v/>
      </c>
      <c r="B166" s="146" t="n"/>
      <c r="C166" s="146" t="n"/>
      <c r="D166" s="146" t="n"/>
      <c r="E166" s="146" t="n"/>
      <c r="F166" s="146" t="n"/>
      <c r="G166" s="136" t="n"/>
      <c r="H166" s="136" t="n"/>
      <c r="I166" s="76" t="n"/>
      <c r="J166" s="76" t="n"/>
      <c r="K166" s="57">
        <f>IF($C166="","",IF($B166="Pagada",0,ROUND(MAX(0,N($I166)+N($T166)-N($J166)-N($AD166)),2)))</f>
        <v/>
      </c>
      <c r="L166" s="146" t="n"/>
      <c r="M166" s="59">
        <f>IF(OR($C166="",$AE166="",$K166=0),"",$AE166-TODAY())</f>
        <v/>
      </c>
      <c r="N166" s="62">
        <f>IF($C166="","",IF($K166=0,"✅ Saldada",IF($M166="","",IF($M166&lt;0,IF(N($R166)&gt;0,"🔴 APLAZADA VENCIDA","🔴 VENCIDA"),IF(N($R166)&gt;0,"🕓 Aplazada",IF($M166&lt;=3,"🟠 ≤3 días",IF($M166&lt;=7,"🟡 ≤7 días",IF($M166&lt;=30,"🔵 ≤30 días","⚪ &gt;30 días"))))))))</f>
        <v/>
      </c>
      <c r="O166" s="64">
        <f>IF($AE166="","",TEXT($AE166,"YYYY-MM"))</f>
        <v/>
      </c>
      <c r="P166" s="83" t="n"/>
      <c r="Q166" s="145" t="n"/>
      <c r="R166" s="136" t="n"/>
      <c r="S166" s="145" t="n"/>
      <c r="T166" s="76" t="n"/>
      <c r="U166" s="145" t="n"/>
      <c r="V166" s="145" t="n"/>
      <c r="W166" s="1" t="n"/>
      <c r="X166" s="1" t="n"/>
      <c r="Y166" s="1" t="n"/>
      <c r="Z166" s="1" t="n"/>
      <c r="AA166" s="67">
        <f>IF(OR($C166="",$K166=0,$P166=""),"",VALUE(LEFT($P166,1))*100000+N($M166)+ROW()/100000)</f>
        <v/>
      </c>
      <c r="AB166" s="67">
        <f>IF(OR($C166="",$K166=0,$AE166=""),"",$M166+ROW()/100000)</f>
        <v/>
      </c>
      <c r="AC166" s="41">
        <f t="array" ref="AC166">IF($C166="","",IFERROR(INDEX(Disponibilidad!$O$6:$O$18,MATCH($L166,Disponibilidad!$B$6:$B$18,0)),"Hogar"))</f>
        <v/>
      </c>
      <c r="AD166" s="74">
        <f>IF($C166="","",SUMIFS(Caja!$H$6:$H$505,Caja!$J$6:$J$505,$A166,Caja!$C$6:$C$505,"Pago"))</f>
        <v/>
      </c>
      <c r="AE166" s="136">
        <f>IF($C166="","",IF(N($R166)&gt;0,$R166,$H166))</f>
        <v/>
      </c>
      <c r="AF166" s="1" t="n"/>
      <c r="AG166" s="1" t="n"/>
      <c r="AH166" s="1" t="n"/>
      <c r="AI166" s="1" t="n"/>
      <c r="AJ166" s="1" t="n"/>
      <c r="AK166" s="1" t="n"/>
    </row>
    <row r="167" ht="15" customHeight="1" s="311">
      <c r="A167" s="41">
        <f>IF($C167="","",ROW()-5)</f>
        <v/>
      </c>
      <c r="B167" s="146" t="n"/>
      <c r="C167" s="146" t="n"/>
      <c r="D167" s="146" t="n"/>
      <c r="E167" s="146" t="n"/>
      <c r="F167" s="146" t="n"/>
      <c r="G167" s="136" t="n"/>
      <c r="H167" s="136" t="n"/>
      <c r="I167" s="76" t="n"/>
      <c r="J167" s="76" t="n"/>
      <c r="K167" s="57">
        <f>IF($C167="","",IF($B167="Pagada",0,ROUND(MAX(0,N($I167)+N($T167)-N($J167)-N($AD167)),2)))</f>
        <v/>
      </c>
      <c r="L167" s="146" t="n"/>
      <c r="M167" s="59">
        <f>IF(OR($C167="",$AE167="",$K167=0),"",$AE167-TODAY())</f>
        <v/>
      </c>
      <c r="N167" s="62">
        <f>IF($C167="","",IF($K167=0,"✅ Saldada",IF($M167="","",IF($M167&lt;0,IF(N($R167)&gt;0,"🔴 APLAZADA VENCIDA","🔴 VENCIDA"),IF(N($R167)&gt;0,"🕓 Aplazada",IF($M167&lt;=3,"🟠 ≤3 días",IF($M167&lt;=7,"🟡 ≤7 días",IF($M167&lt;=30,"🔵 ≤30 días","⚪ &gt;30 días"))))))))</f>
        <v/>
      </c>
      <c r="O167" s="64">
        <f>IF($AE167="","",TEXT($AE167,"YYYY-MM"))</f>
        <v/>
      </c>
      <c r="P167" s="83" t="n"/>
      <c r="Q167" s="145" t="n"/>
      <c r="R167" s="136" t="n"/>
      <c r="S167" s="145" t="n"/>
      <c r="T167" s="76" t="n"/>
      <c r="U167" s="145" t="n"/>
      <c r="V167" s="145" t="n"/>
      <c r="W167" s="1" t="n"/>
      <c r="X167" s="1" t="n"/>
      <c r="Y167" s="1" t="n"/>
      <c r="Z167" s="1" t="n"/>
      <c r="AA167" s="67">
        <f>IF(OR($C167="",$K167=0,$P167=""),"",VALUE(LEFT($P167,1))*100000+N($M167)+ROW()/100000)</f>
        <v/>
      </c>
      <c r="AB167" s="67">
        <f>IF(OR($C167="",$K167=0,$AE167=""),"",$M167+ROW()/100000)</f>
        <v/>
      </c>
      <c r="AC167" s="41">
        <f t="array" ref="AC167">IF($C167="","",IFERROR(INDEX(Disponibilidad!$O$6:$O$18,MATCH($L167,Disponibilidad!$B$6:$B$18,0)),"Hogar"))</f>
        <v/>
      </c>
      <c r="AD167" s="74">
        <f>IF($C167="","",SUMIFS(Caja!$H$6:$H$505,Caja!$J$6:$J$505,$A167,Caja!$C$6:$C$505,"Pago"))</f>
        <v/>
      </c>
      <c r="AE167" s="136">
        <f>IF($C167="","",IF(N($R167)&gt;0,$R167,$H167))</f>
        <v/>
      </c>
      <c r="AF167" s="1" t="n"/>
      <c r="AG167" s="1" t="n"/>
      <c r="AH167" s="1" t="n"/>
      <c r="AI167" s="1" t="n"/>
      <c r="AJ167" s="1" t="n"/>
      <c r="AK167" s="1" t="n"/>
    </row>
    <row r="168" ht="15" customHeight="1" s="311">
      <c r="A168" s="41">
        <f>IF($C168="","",ROW()-5)</f>
        <v/>
      </c>
      <c r="B168" s="146" t="n"/>
      <c r="C168" s="146" t="n"/>
      <c r="D168" s="146" t="n"/>
      <c r="E168" s="146" t="n"/>
      <c r="F168" s="146" t="n"/>
      <c r="G168" s="136" t="n"/>
      <c r="H168" s="136" t="n"/>
      <c r="I168" s="76" t="n"/>
      <c r="J168" s="76" t="n"/>
      <c r="K168" s="57">
        <f>IF($C168="","",IF($B168="Pagada",0,ROUND(MAX(0,N($I168)+N($T168)-N($J168)-N($AD168)),2)))</f>
        <v/>
      </c>
      <c r="L168" s="146" t="n"/>
      <c r="M168" s="59">
        <f>IF(OR($C168="",$AE168="",$K168=0),"",$AE168-TODAY())</f>
        <v/>
      </c>
      <c r="N168" s="62">
        <f>IF($C168="","",IF($K168=0,"✅ Saldada",IF($M168="","",IF($M168&lt;0,IF(N($R168)&gt;0,"🔴 APLAZADA VENCIDA","🔴 VENCIDA"),IF(N($R168)&gt;0,"🕓 Aplazada",IF($M168&lt;=3,"🟠 ≤3 días",IF($M168&lt;=7,"🟡 ≤7 días",IF($M168&lt;=30,"🔵 ≤30 días","⚪ &gt;30 días"))))))))</f>
        <v/>
      </c>
      <c r="O168" s="64">
        <f>IF($AE168="","",TEXT($AE168,"YYYY-MM"))</f>
        <v/>
      </c>
      <c r="P168" s="83" t="n"/>
      <c r="Q168" s="145" t="n"/>
      <c r="R168" s="136" t="n"/>
      <c r="S168" s="145" t="n"/>
      <c r="T168" s="76" t="n"/>
      <c r="U168" s="145" t="n"/>
      <c r="V168" s="145" t="n"/>
      <c r="W168" s="1" t="n"/>
      <c r="X168" s="1" t="n"/>
      <c r="Y168" s="1" t="n"/>
      <c r="Z168" s="1" t="n"/>
      <c r="AA168" s="67">
        <f>IF(OR($C168="",$K168=0,$P168=""),"",VALUE(LEFT($P168,1))*100000+N($M168)+ROW()/100000)</f>
        <v/>
      </c>
      <c r="AB168" s="67">
        <f>IF(OR($C168="",$K168=0,$AE168=""),"",$M168+ROW()/100000)</f>
        <v/>
      </c>
      <c r="AC168" s="41">
        <f t="array" ref="AC168">IF($C168="","",IFERROR(INDEX(Disponibilidad!$O$6:$O$18,MATCH($L168,Disponibilidad!$B$6:$B$18,0)),"Hogar"))</f>
        <v/>
      </c>
      <c r="AD168" s="74">
        <f>IF($C168="","",SUMIFS(Caja!$H$6:$H$505,Caja!$J$6:$J$505,$A168,Caja!$C$6:$C$505,"Pago"))</f>
        <v/>
      </c>
      <c r="AE168" s="136">
        <f>IF($C168="","",IF(N($R168)&gt;0,$R168,$H168))</f>
        <v/>
      </c>
      <c r="AF168" s="1" t="n"/>
      <c r="AG168" s="1" t="n"/>
      <c r="AH168" s="1" t="n"/>
      <c r="AI168" s="1" t="n"/>
      <c r="AJ168" s="1" t="n"/>
      <c r="AK168" s="1" t="n"/>
    </row>
    <row r="169" ht="15" customHeight="1" s="311">
      <c r="A169" s="41">
        <f>IF($C169="","",ROW()-5)</f>
        <v/>
      </c>
      <c r="B169" s="146" t="n"/>
      <c r="C169" s="146" t="n"/>
      <c r="D169" s="146" t="n"/>
      <c r="E169" s="146" t="n"/>
      <c r="F169" s="146" t="n"/>
      <c r="G169" s="136" t="n"/>
      <c r="H169" s="136" t="n"/>
      <c r="I169" s="76" t="n"/>
      <c r="J169" s="76" t="n"/>
      <c r="K169" s="57">
        <f>IF($C169="","",IF($B169="Pagada",0,ROUND(MAX(0,N($I169)+N($T169)-N($J169)-N($AD169)),2)))</f>
        <v/>
      </c>
      <c r="L169" s="146" t="n"/>
      <c r="M169" s="59">
        <f>IF(OR($C169="",$AE169="",$K169=0),"",$AE169-TODAY())</f>
        <v/>
      </c>
      <c r="N169" s="62">
        <f>IF($C169="","",IF($K169=0,"✅ Saldada",IF($M169="","",IF($M169&lt;0,IF(N($R169)&gt;0,"🔴 APLAZADA VENCIDA","🔴 VENCIDA"),IF(N($R169)&gt;0,"🕓 Aplazada",IF($M169&lt;=3,"🟠 ≤3 días",IF($M169&lt;=7,"🟡 ≤7 días",IF($M169&lt;=30,"🔵 ≤30 días","⚪ &gt;30 días"))))))))</f>
        <v/>
      </c>
      <c r="O169" s="64">
        <f>IF($AE169="","",TEXT($AE169,"YYYY-MM"))</f>
        <v/>
      </c>
      <c r="P169" s="83" t="n"/>
      <c r="Q169" s="145" t="n"/>
      <c r="R169" s="136" t="n"/>
      <c r="S169" s="145" t="n"/>
      <c r="T169" s="76" t="n"/>
      <c r="U169" s="145" t="n"/>
      <c r="V169" s="145" t="n"/>
      <c r="W169" s="1" t="n"/>
      <c r="X169" s="1" t="n"/>
      <c r="Y169" s="1" t="n"/>
      <c r="Z169" s="1" t="n"/>
      <c r="AA169" s="67">
        <f>IF(OR($C169="",$K169=0,$P169=""),"",VALUE(LEFT($P169,1))*100000+N($M169)+ROW()/100000)</f>
        <v/>
      </c>
      <c r="AB169" s="67">
        <f>IF(OR($C169="",$K169=0,$AE169=""),"",$M169+ROW()/100000)</f>
        <v/>
      </c>
      <c r="AC169" s="41">
        <f t="array" ref="AC169">IF($C169="","",IFERROR(INDEX(Disponibilidad!$O$6:$O$18,MATCH($L169,Disponibilidad!$B$6:$B$18,0)),"Hogar"))</f>
        <v/>
      </c>
      <c r="AD169" s="74">
        <f>IF($C169="","",SUMIFS(Caja!$H$6:$H$505,Caja!$J$6:$J$505,$A169,Caja!$C$6:$C$505,"Pago"))</f>
        <v/>
      </c>
      <c r="AE169" s="136">
        <f>IF($C169="","",IF(N($R169)&gt;0,$R169,$H169))</f>
        <v/>
      </c>
      <c r="AF169" s="1" t="n"/>
      <c r="AG169" s="1" t="n"/>
      <c r="AH169" s="1" t="n"/>
      <c r="AI169" s="1" t="n"/>
      <c r="AJ169" s="1" t="n"/>
      <c r="AK169" s="1" t="n"/>
    </row>
    <row r="170" ht="15" customHeight="1" s="311">
      <c r="A170" s="41">
        <f>IF($C170="","",ROW()-5)</f>
        <v/>
      </c>
      <c r="B170" s="146" t="n"/>
      <c r="C170" s="146" t="n"/>
      <c r="D170" s="146" t="n"/>
      <c r="E170" s="146" t="n"/>
      <c r="F170" s="146" t="n"/>
      <c r="G170" s="136" t="n"/>
      <c r="H170" s="136" t="n"/>
      <c r="I170" s="76" t="n"/>
      <c r="J170" s="76" t="n"/>
      <c r="K170" s="57">
        <f>IF($C170="","",IF($B170="Pagada",0,ROUND(MAX(0,N($I170)+N($T170)-N($J170)-N($AD170)),2)))</f>
        <v/>
      </c>
      <c r="L170" s="146" t="n"/>
      <c r="M170" s="59">
        <f>IF(OR($C170="",$AE170="",$K170=0),"",$AE170-TODAY())</f>
        <v/>
      </c>
      <c r="N170" s="62">
        <f>IF($C170="","",IF($K170=0,"✅ Saldada",IF($M170="","",IF($M170&lt;0,IF(N($R170)&gt;0,"🔴 APLAZADA VENCIDA","🔴 VENCIDA"),IF(N($R170)&gt;0,"🕓 Aplazada",IF($M170&lt;=3,"🟠 ≤3 días",IF($M170&lt;=7,"🟡 ≤7 días",IF($M170&lt;=30,"🔵 ≤30 días","⚪ &gt;30 días"))))))))</f>
        <v/>
      </c>
      <c r="O170" s="64">
        <f>IF($AE170="","",TEXT($AE170,"YYYY-MM"))</f>
        <v/>
      </c>
      <c r="P170" s="83" t="n"/>
      <c r="Q170" s="145" t="n"/>
      <c r="R170" s="136" t="n"/>
      <c r="S170" s="145" t="n"/>
      <c r="T170" s="76" t="n"/>
      <c r="U170" s="145" t="n"/>
      <c r="V170" s="145" t="n"/>
      <c r="W170" s="1" t="n"/>
      <c r="X170" s="1" t="n"/>
      <c r="Y170" s="1" t="n"/>
      <c r="Z170" s="1" t="n"/>
      <c r="AA170" s="67">
        <f>IF(OR($C170="",$K170=0,$P170=""),"",VALUE(LEFT($P170,1))*100000+N($M170)+ROW()/100000)</f>
        <v/>
      </c>
      <c r="AB170" s="67">
        <f>IF(OR($C170="",$K170=0,$AE170=""),"",$M170+ROW()/100000)</f>
        <v/>
      </c>
      <c r="AC170" s="41">
        <f t="array" ref="AC170">IF($C170="","",IFERROR(INDEX(Disponibilidad!$O$6:$O$18,MATCH($L170,Disponibilidad!$B$6:$B$18,0)),"Hogar"))</f>
        <v/>
      </c>
      <c r="AD170" s="74">
        <f>IF($C170="","",SUMIFS(Caja!$H$6:$H$505,Caja!$J$6:$J$505,$A170,Caja!$C$6:$C$505,"Pago"))</f>
        <v/>
      </c>
      <c r="AE170" s="136">
        <f>IF($C170="","",IF(N($R170)&gt;0,$R170,$H170))</f>
        <v/>
      </c>
      <c r="AF170" s="1" t="n"/>
      <c r="AG170" s="1" t="n"/>
      <c r="AH170" s="1" t="n"/>
      <c r="AI170" s="1" t="n"/>
      <c r="AJ170" s="1" t="n"/>
      <c r="AK170" s="1" t="n"/>
    </row>
    <row r="171" ht="15" customHeight="1" s="311">
      <c r="A171" s="41">
        <f>IF($C171="","",ROW()-5)</f>
        <v/>
      </c>
      <c r="B171" s="146" t="n"/>
      <c r="C171" s="146" t="n"/>
      <c r="D171" s="146" t="n"/>
      <c r="E171" s="146" t="n"/>
      <c r="F171" s="146" t="n"/>
      <c r="G171" s="136" t="n"/>
      <c r="H171" s="136" t="n"/>
      <c r="I171" s="76" t="n"/>
      <c r="J171" s="76" t="n"/>
      <c r="K171" s="57">
        <f>IF($C171="","",IF($B171="Pagada",0,ROUND(MAX(0,N($I171)+N($T171)-N($J171)-N($AD171)),2)))</f>
        <v/>
      </c>
      <c r="L171" s="146" t="n"/>
      <c r="M171" s="59">
        <f>IF(OR($C171="",$AE171="",$K171=0),"",$AE171-TODAY())</f>
        <v/>
      </c>
      <c r="N171" s="62">
        <f>IF($C171="","",IF($K171=0,"✅ Saldada",IF($M171="","",IF($M171&lt;0,IF(N($R171)&gt;0,"🔴 APLAZADA VENCIDA","🔴 VENCIDA"),IF(N($R171)&gt;0,"🕓 Aplazada",IF($M171&lt;=3,"🟠 ≤3 días",IF($M171&lt;=7,"🟡 ≤7 días",IF($M171&lt;=30,"🔵 ≤30 días","⚪ &gt;30 días"))))))))</f>
        <v/>
      </c>
      <c r="O171" s="64">
        <f>IF($AE171="","",TEXT($AE171,"YYYY-MM"))</f>
        <v/>
      </c>
      <c r="P171" s="83" t="n"/>
      <c r="Q171" s="145" t="n"/>
      <c r="R171" s="136" t="n"/>
      <c r="S171" s="145" t="n"/>
      <c r="T171" s="76" t="n"/>
      <c r="U171" s="145" t="n"/>
      <c r="V171" s="145" t="n"/>
      <c r="W171" s="1" t="n"/>
      <c r="X171" s="1" t="n"/>
      <c r="Y171" s="1" t="n"/>
      <c r="Z171" s="1" t="n"/>
      <c r="AA171" s="67">
        <f>IF(OR($C171="",$K171=0,$P171=""),"",VALUE(LEFT($P171,1))*100000+N($M171)+ROW()/100000)</f>
        <v/>
      </c>
      <c r="AB171" s="67">
        <f>IF(OR($C171="",$K171=0,$AE171=""),"",$M171+ROW()/100000)</f>
        <v/>
      </c>
      <c r="AC171" s="41">
        <f t="array" ref="AC171">IF($C171="","",IFERROR(INDEX(Disponibilidad!$O$6:$O$18,MATCH($L171,Disponibilidad!$B$6:$B$18,0)),"Hogar"))</f>
        <v/>
      </c>
      <c r="AD171" s="74">
        <f>IF($C171="","",SUMIFS(Caja!$H$6:$H$505,Caja!$J$6:$J$505,$A171,Caja!$C$6:$C$505,"Pago"))</f>
        <v/>
      </c>
      <c r="AE171" s="136">
        <f>IF($C171="","",IF(N($R171)&gt;0,$R171,$H171))</f>
        <v/>
      </c>
      <c r="AF171" s="1" t="n"/>
      <c r="AG171" s="1" t="n"/>
      <c r="AH171" s="1" t="n"/>
      <c r="AI171" s="1" t="n"/>
      <c r="AJ171" s="1" t="n"/>
      <c r="AK171" s="1" t="n"/>
    </row>
    <row r="172" ht="15" customHeight="1" s="311">
      <c r="A172" s="41">
        <f>IF($C172="","",ROW()-5)</f>
        <v/>
      </c>
      <c r="B172" s="146" t="n"/>
      <c r="C172" s="146" t="n"/>
      <c r="D172" s="146" t="n"/>
      <c r="E172" s="146" t="n"/>
      <c r="F172" s="146" t="n"/>
      <c r="G172" s="136" t="n"/>
      <c r="H172" s="136" t="n"/>
      <c r="I172" s="76" t="n"/>
      <c r="J172" s="76" t="n"/>
      <c r="K172" s="57">
        <f>IF($C172="","",IF($B172="Pagada",0,ROUND(MAX(0,N($I172)+N($T172)-N($J172)-N($AD172)),2)))</f>
        <v/>
      </c>
      <c r="L172" s="146" t="n"/>
      <c r="M172" s="59">
        <f>IF(OR($C172="",$AE172="",$K172=0),"",$AE172-TODAY())</f>
        <v/>
      </c>
      <c r="N172" s="62">
        <f>IF($C172="","",IF($K172=0,"✅ Saldada",IF($M172="","",IF($M172&lt;0,IF(N($R172)&gt;0,"🔴 APLAZADA VENCIDA","🔴 VENCIDA"),IF(N($R172)&gt;0,"🕓 Aplazada",IF($M172&lt;=3,"🟠 ≤3 días",IF($M172&lt;=7,"🟡 ≤7 días",IF($M172&lt;=30,"🔵 ≤30 días","⚪ &gt;30 días"))))))))</f>
        <v/>
      </c>
      <c r="O172" s="64">
        <f>IF($AE172="","",TEXT($AE172,"YYYY-MM"))</f>
        <v/>
      </c>
      <c r="P172" s="83" t="n"/>
      <c r="Q172" s="145" t="n"/>
      <c r="R172" s="136" t="n"/>
      <c r="S172" s="145" t="n"/>
      <c r="T172" s="76" t="n"/>
      <c r="U172" s="145" t="n"/>
      <c r="V172" s="145" t="n"/>
      <c r="W172" s="1" t="n"/>
      <c r="X172" s="1" t="n"/>
      <c r="Y172" s="1" t="n"/>
      <c r="Z172" s="1" t="n"/>
      <c r="AA172" s="67">
        <f>IF(OR($C172="",$K172=0,$P172=""),"",VALUE(LEFT($P172,1))*100000+N($M172)+ROW()/100000)</f>
        <v/>
      </c>
      <c r="AB172" s="67">
        <f>IF(OR($C172="",$K172=0,$AE172=""),"",$M172+ROW()/100000)</f>
        <v/>
      </c>
      <c r="AC172" s="41">
        <f t="array" ref="AC172">IF($C172="","",IFERROR(INDEX(Disponibilidad!$O$6:$O$18,MATCH($L172,Disponibilidad!$B$6:$B$18,0)),"Hogar"))</f>
        <v/>
      </c>
      <c r="AD172" s="74">
        <f>IF($C172="","",SUMIFS(Caja!$H$6:$H$505,Caja!$J$6:$J$505,$A172,Caja!$C$6:$C$505,"Pago"))</f>
        <v/>
      </c>
      <c r="AE172" s="136">
        <f>IF($C172="","",IF(N($R172)&gt;0,$R172,$H172))</f>
        <v/>
      </c>
      <c r="AF172" s="1" t="n"/>
      <c r="AG172" s="1" t="n"/>
      <c r="AH172" s="1" t="n"/>
      <c r="AI172" s="1" t="n"/>
      <c r="AJ172" s="1" t="n"/>
      <c r="AK172" s="1" t="n"/>
    </row>
    <row r="173" ht="15" customHeight="1" s="311">
      <c r="A173" s="41">
        <f>IF($C173="","",ROW()-5)</f>
        <v/>
      </c>
      <c r="B173" s="146" t="n"/>
      <c r="C173" s="146" t="n"/>
      <c r="D173" s="146" t="n"/>
      <c r="E173" s="146" t="n"/>
      <c r="F173" s="146" t="n"/>
      <c r="G173" s="136" t="n"/>
      <c r="H173" s="136" t="n"/>
      <c r="I173" s="76" t="n"/>
      <c r="J173" s="76" t="n"/>
      <c r="K173" s="57">
        <f>IF($C173="","",IF($B173="Pagada",0,ROUND(MAX(0,N($I173)+N($T173)-N($J173)-N($AD173)),2)))</f>
        <v/>
      </c>
      <c r="L173" s="146" t="n"/>
      <c r="M173" s="59">
        <f>IF(OR($C173="",$AE173="",$K173=0),"",$AE173-TODAY())</f>
        <v/>
      </c>
      <c r="N173" s="62">
        <f>IF($C173="","",IF($K173=0,"✅ Saldada",IF($M173="","",IF($M173&lt;0,IF(N($R173)&gt;0,"🔴 APLAZADA VENCIDA","🔴 VENCIDA"),IF(N($R173)&gt;0,"🕓 Aplazada",IF($M173&lt;=3,"🟠 ≤3 días",IF($M173&lt;=7,"🟡 ≤7 días",IF($M173&lt;=30,"🔵 ≤30 días","⚪ &gt;30 días"))))))))</f>
        <v/>
      </c>
      <c r="O173" s="64">
        <f>IF($AE173="","",TEXT($AE173,"YYYY-MM"))</f>
        <v/>
      </c>
      <c r="P173" s="83" t="n"/>
      <c r="Q173" s="145" t="n"/>
      <c r="R173" s="136" t="n"/>
      <c r="S173" s="145" t="n"/>
      <c r="T173" s="76" t="n"/>
      <c r="U173" s="145" t="n"/>
      <c r="V173" s="145" t="n"/>
      <c r="W173" s="1" t="n"/>
      <c r="X173" s="1" t="n"/>
      <c r="Y173" s="1" t="n"/>
      <c r="Z173" s="1" t="n"/>
      <c r="AA173" s="67">
        <f>IF(OR($C173="",$K173=0,$P173=""),"",VALUE(LEFT($P173,1))*100000+N($M173)+ROW()/100000)</f>
        <v/>
      </c>
      <c r="AB173" s="67">
        <f>IF(OR($C173="",$K173=0,$AE173=""),"",$M173+ROW()/100000)</f>
        <v/>
      </c>
      <c r="AC173" s="41">
        <f t="array" ref="AC173">IF($C173="","",IFERROR(INDEX(Disponibilidad!$O$6:$O$18,MATCH($L173,Disponibilidad!$B$6:$B$18,0)),"Hogar"))</f>
        <v/>
      </c>
      <c r="AD173" s="74">
        <f>IF($C173="","",SUMIFS(Caja!$H$6:$H$505,Caja!$J$6:$J$505,$A173,Caja!$C$6:$C$505,"Pago"))</f>
        <v/>
      </c>
      <c r="AE173" s="136">
        <f>IF($C173="","",IF(N($R173)&gt;0,$R173,$H173))</f>
        <v/>
      </c>
      <c r="AF173" s="1" t="n"/>
      <c r="AG173" s="1" t="n"/>
      <c r="AH173" s="1" t="n"/>
      <c r="AI173" s="1" t="n"/>
      <c r="AJ173" s="1" t="n"/>
      <c r="AK173" s="1" t="n"/>
    </row>
    <row r="174" ht="15" customHeight="1" s="311">
      <c r="A174" s="41">
        <f>IF($C174="","",ROW()-5)</f>
        <v/>
      </c>
      <c r="B174" s="146" t="n"/>
      <c r="C174" s="146" t="n"/>
      <c r="D174" s="146" t="n"/>
      <c r="E174" s="146" t="n"/>
      <c r="F174" s="146" t="n"/>
      <c r="G174" s="136" t="n"/>
      <c r="H174" s="136" t="n"/>
      <c r="I174" s="76" t="n"/>
      <c r="J174" s="76" t="n"/>
      <c r="K174" s="57">
        <f>IF($C174="","",IF($B174="Pagada",0,ROUND(MAX(0,N($I174)+N($T174)-N($J174)-N($AD174)),2)))</f>
        <v/>
      </c>
      <c r="L174" s="146" t="n"/>
      <c r="M174" s="59">
        <f>IF(OR($C174="",$AE174="",$K174=0),"",$AE174-TODAY())</f>
        <v/>
      </c>
      <c r="N174" s="62">
        <f>IF($C174="","",IF($K174=0,"✅ Saldada",IF($M174="","",IF($M174&lt;0,IF(N($R174)&gt;0,"🔴 APLAZADA VENCIDA","🔴 VENCIDA"),IF(N($R174)&gt;0,"🕓 Aplazada",IF($M174&lt;=3,"🟠 ≤3 días",IF($M174&lt;=7,"🟡 ≤7 días",IF($M174&lt;=30,"🔵 ≤30 días","⚪ &gt;30 días"))))))))</f>
        <v/>
      </c>
      <c r="O174" s="64">
        <f>IF($AE174="","",TEXT($AE174,"YYYY-MM"))</f>
        <v/>
      </c>
      <c r="P174" s="83" t="n"/>
      <c r="Q174" s="145" t="n"/>
      <c r="R174" s="136" t="n"/>
      <c r="S174" s="145" t="n"/>
      <c r="T174" s="76" t="n"/>
      <c r="U174" s="145" t="n"/>
      <c r="V174" s="145" t="n"/>
      <c r="W174" s="1" t="n"/>
      <c r="X174" s="1" t="n"/>
      <c r="Y174" s="1" t="n"/>
      <c r="Z174" s="1" t="n"/>
      <c r="AA174" s="67">
        <f>IF(OR($C174="",$K174=0,$P174=""),"",VALUE(LEFT($P174,1))*100000+N($M174)+ROW()/100000)</f>
        <v/>
      </c>
      <c r="AB174" s="67">
        <f>IF(OR($C174="",$K174=0,$AE174=""),"",$M174+ROW()/100000)</f>
        <v/>
      </c>
      <c r="AC174" s="41">
        <f t="array" ref="AC174">IF($C174="","",IFERROR(INDEX(Disponibilidad!$O$6:$O$18,MATCH($L174,Disponibilidad!$B$6:$B$18,0)),"Hogar"))</f>
        <v/>
      </c>
      <c r="AD174" s="74">
        <f>IF($C174="","",SUMIFS(Caja!$H$6:$H$505,Caja!$J$6:$J$505,$A174,Caja!$C$6:$C$505,"Pago"))</f>
        <v/>
      </c>
      <c r="AE174" s="136">
        <f>IF($C174="","",IF(N($R174)&gt;0,$R174,$H174))</f>
        <v/>
      </c>
      <c r="AF174" s="1" t="n"/>
      <c r="AG174" s="1" t="n"/>
      <c r="AH174" s="1" t="n"/>
      <c r="AI174" s="1" t="n"/>
      <c r="AJ174" s="1" t="n"/>
      <c r="AK174" s="1" t="n"/>
    </row>
    <row r="175" ht="15" customHeight="1" s="311">
      <c r="A175" s="41">
        <f>IF($C175="","",ROW()-5)</f>
        <v/>
      </c>
      <c r="B175" s="146" t="n"/>
      <c r="C175" s="146" t="n"/>
      <c r="D175" s="146" t="n"/>
      <c r="E175" s="146" t="n"/>
      <c r="F175" s="146" t="n"/>
      <c r="G175" s="136" t="n"/>
      <c r="H175" s="136" t="n"/>
      <c r="I175" s="76" t="n"/>
      <c r="J175" s="76" t="n"/>
      <c r="K175" s="57">
        <f>IF($C175="","",IF($B175="Pagada",0,ROUND(MAX(0,N($I175)+N($T175)-N($J175)-N($AD175)),2)))</f>
        <v/>
      </c>
      <c r="L175" s="146" t="n"/>
      <c r="M175" s="59">
        <f>IF(OR($C175="",$AE175="",$K175=0),"",$AE175-TODAY())</f>
        <v/>
      </c>
      <c r="N175" s="62">
        <f>IF($C175="","",IF($K175=0,"✅ Saldada",IF($M175="","",IF($M175&lt;0,IF(N($R175)&gt;0,"🔴 APLAZADA VENCIDA","🔴 VENCIDA"),IF(N($R175)&gt;0,"🕓 Aplazada",IF($M175&lt;=3,"🟠 ≤3 días",IF($M175&lt;=7,"🟡 ≤7 días",IF($M175&lt;=30,"🔵 ≤30 días","⚪ &gt;30 días"))))))))</f>
        <v/>
      </c>
      <c r="O175" s="64">
        <f>IF($AE175="","",TEXT($AE175,"YYYY-MM"))</f>
        <v/>
      </c>
      <c r="P175" s="83" t="n"/>
      <c r="Q175" s="145" t="n"/>
      <c r="R175" s="136" t="n"/>
      <c r="S175" s="145" t="n"/>
      <c r="T175" s="76" t="n"/>
      <c r="U175" s="145" t="n"/>
      <c r="V175" s="145" t="n"/>
      <c r="W175" s="1" t="n"/>
      <c r="X175" s="1" t="n"/>
      <c r="Y175" s="1" t="n"/>
      <c r="Z175" s="1" t="n"/>
      <c r="AA175" s="67">
        <f>IF(OR($C175="",$K175=0,$P175=""),"",VALUE(LEFT($P175,1))*100000+N($M175)+ROW()/100000)</f>
        <v/>
      </c>
      <c r="AB175" s="67">
        <f>IF(OR($C175="",$K175=0,$AE175=""),"",$M175+ROW()/100000)</f>
        <v/>
      </c>
      <c r="AC175" s="41">
        <f t="array" ref="AC175">IF($C175="","",IFERROR(INDEX(Disponibilidad!$O$6:$O$18,MATCH($L175,Disponibilidad!$B$6:$B$18,0)),"Hogar"))</f>
        <v/>
      </c>
      <c r="AD175" s="74">
        <f>IF($C175="","",SUMIFS(Caja!$H$6:$H$505,Caja!$J$6:$J$505,$A175,Caja!$C$6:$C$505,"Pago"))</f>
        <v/>
      </c>
      <c r="AE175" s="136">
        <f>IF($C175="","",IF(N($R175)&gt;0,$R175,$H175))</f>
        <v/>
      </c>
      <c r="AF175" s="1" t="n"/>
      <c r="AG175" s="1" t="n"/>
      <c r="AH175" s="1" t="n"/>
      <c r="AI175" s="1" t="n"/>
      <c r="AJ175" s="1" t="n"/>
      <c r="AK175" s="1" t="n"/>
    </row>
    <row r="176" ht="15" customHeight="1" s="311">
      <c r="A176" s="41">
        <f>IF($C176="","",ROW()-5)</f>
        <v/>
      </c>
      <c r="B176" s="146" t="n"/>
      <c r="C176" s="146" t="n"/>
      <c r="D176" s="146" t="n"/>
      <c r="E176" s="146" t="n"/>
      <c r="F176" s="146" t="n"/>
      <c r="G176" s="136" t="n"/>
      <c r="H176" s="136" t="n"/>
      <c r="I176" s="76" t="n"/>
      <c r="J176" s="76" t="n"/>
      <c r="K176" s="57">
        <f>IF($C176="","",IF($B176="Pagada",0,ROUND(MAX(0,N($I176)+N($T176)-N($J176)-N($AD176)),2)))</f>
        <v/>
      </c>
      <c r="L176" s="146" t="n"/>
      <c r="M176" s="59">
        <f>IF(OR($C176="",$AE176="",$K176=0),"",$AE176-TODAY())</f>
        <v/>
      </c>
      <c r="N176" s="62">
        <f>IF($C176="","",IF($K176=0,"✅ Saldada",IF($M176="","",IF($M176&lt;0,IF(N($R176)&gt;0,"🔴 APLAZADA VENCIDA","🔴 VENCIDA"),IF(N($R176)&gt;0,"🕓 Aplazada",IF($M176&lt;=3,"🟠 ≤3 días",IF($M176&lt;=7,"🟡 ≤7 días",IF($M176&lt;=30,"🔵 ≤30 días","⚪ &gt;30 días"))))))))</f>
        <v/>
      </c>
      <c r="O176" s="64">
        <f>IF($AE176="","",TEXT($AE176,"YYYY-MM"))</f>
        <v/>
      </c>
      <c r="P176" s="83" t="n"/>
      <c r="Q176" s="145" t="n"/>
      <c r="R176" s="136" t="n"/>
      <c r="S176" s="145" t="n"/>
      <c r="T176" s="76" t="n"/>
      <c r="U176" s="145" t="n"/>
      <c r="V176" s="145" t="n"/>
      <c r="W176" s="1" t="n"/>
      <c r="X176" s="1" t="n"/>
      <c r="Y176" s="1" t="n"/>
      <c r="Z176" s="1" t="n"/>
      <c r="AA176" s="67">
        <f>IF(OR($C176="",$K176=0,$P176=""),"",VALUE(LEFT($P176,1))*100000+N($M176)+ROW()/100000)</f>
        <v/>
      </c>
      <c r="AB176" s="67">
        <f>IF(OR($C176="",$K176=0,$AE176=""),"",$M176+ROW()/100000)</f>
        <v/>
      </c>
      <c r="AC176" s="41">
        <f t="array" ref="AC176">IF($C176="","",IFERROR(INDEX(Disponibilidad!$O$6:$O$18,MATCH($L176,Disponibilidad!$B$6:$B$18,0)),"Hogar"))</f>
        <v/>
      </c>
      <c r="AD176" s="74">
        <f>IF($C176="","",SUMIFS(Caja!$H$6:$H$505,Caja!$J$6:$J$505,$A176,Caja!$C$6:$C$505,"Pago"))</f>
        <v/>
      </c>
      <c r="AE176" s="136">
        <f>IF($C176="","",IF(N($R176)&gt;0,$R176,$H176))</f>
        <v/>
      </c>
      <c r="AF176" s="1" t="n"/>
      <c r="AG176" s="1" t="n"/>
      <c r="AH176" s="1" t="n"/>
      <c r="AI176" s="1" t="n"/>
      <c r="AJ176" s="1" t="n"/>
      <c r="AK176" s="1" t="n"/>
    </row>
    <row r="177" ht="15" customHeight="1" s="311">
      <c r="A177" s="41">
        <f>IF($C177="","",ROW()-5)</f>
        <v/>
      </c>
      <c r="B177" s="146" t="n"/>
      <c r="C177" s="146" t="n"/>
      <c r="D177" s="146" t="n"/>
      <c r="E177" s="146" t="n"/>
      <c r="F177" s="146" t="n"/>
      <c r="G177" s="136" t="n"/>
      <c r="H177" s="136" t="n"/>
      <c r="I177" s="76" t="n"/>
      <c r="J177" s="76" t="n"/>
      <c r="K177" s="57">
        <f>IF($C177="","",IF($B177="Pagada",0,ROUND(MAX(0,N($I177)+N($T177)-N($J177)-N($AD177)),2)))</f>
        <v/>
      </c>
      <c r="L177" s="146" t="n"/>
      <c r="M177" s="59">
        <f>IF(OR($C177="",$AE177="",$K177=0),"",$AE177-TODAY())</f>
        <v/>
      </c>
      <c r="N177" s="62">
        <f>IF($C177="","",IF($K177=0,"✅ Saldada",IF($M177="","",IF($M177&lt;0,IF(N($R177)&gt;0,"🔴 APLAZADA VENCIDA","🔴 VENCIDA"),IF(N($R177)&gt;0,"🕓 Aplazada",IF($M177&lt;=3,"🟠 ≤3 días",IF($M177&lt;=7,"🟡 ≤7 días",IF($M177&lt;=30,"🔵 ≤30 días","⚪ &gt;30 días"))))))))</f>
        <v/>
      </c>
      <c r="O177" s="64">
        <f>IF($AE177="","",TEXT($AE177,"YYYY-MM"))</f>
        <v/>
      </c>
      <c r="P177" s="83" t="n"/>
      <c r="Q177" s="145" t="n"/>
      <c r="R177" s="136" t="n"/>
      <c r="S177" s="145" t="n"/>
      <c r="T177" s="76" t="n"/>
      <c r="U177" s="145" t="n"/>
      <c r="V177" s="145" t="n"/>
      <c r="W177" s="1" t="n"/>
      <c r="X177" s="1" t="n"/>
      <c r="Y177" s="1" t="n"/>
      <c r="Z177" s="1" t="n"/>
      <c r="AA177" s="67">
        <f>IF(OR($C177="",$K177=0,$P177=""),"",VALUE(LEFT($P177,1))*100000+N($M177)+ROW()/100000)</f>
        <v/>
      </c>
      <c r="AB177" s="67">
        <f>IF(OR($C177="",$K177=0,$AE177=""),"",$M177+ROW()/100000)</f>
        <v/>
      </c>
      <c r="AC177" s="41">
        <f t="array" ref="AC177">IF($C177="","",IFERROR(INDEX(Disponibilidad!$O$6:$O$18,MATCH($L177,Disponibilidad!$B$6:$B$18,0)),"Hogar"))</f>
        <v/>
      </c>
      <c r="AD177" s="74">
        <f>IF($C177="","",SUMIFS(Caja!$H$6:$H$505,Caja!$J$6:$J$505,$A177,Caja!$C$6:$C$505,"Pago"))</f>
        <v/>
      </c>
      <c r="AE177" s="136">
        <f>IF($C177="","",IF(N($R177)&gt;0,$R177,$H177))</f>
        <v/>
      </c>
      <c r="AF177" s="1" t="n"/>
      <c r="AG177" s="1" t="n"/>
      <c r="AH177" s="1" t="n"/>
      <c r="AI177" s="1" t="n"/>
      <c r="AJ177" s="1" t="n"/>
      <c r="AK177" s="1" t="n"/>
    </row>
    <row r="178" ht="15" customHeight="1" s="311">
      <c r="A178" s="41">
        <f>IF($C178="","",ROW()-5)</f>
        <v/>
      </c>
      <c r="B178" s="146" t="n"/>
      <c r="C178" s="146" t="n"/>
      <c r="D178" s="146" t="n"/>
      <c r="E178" s="146" t="n"/>
      <c r="F178" s="146" t="n"/>
      <c r="G178" s="136" t="n"/>
      <c r="H178" s="136" t="n"/>
      <c r="I178" s="76" t="n"/>
      <c r="J178" s="76" t="n"/>
      <c r="K178" s="57">
        <f>IF($C178="","",IF($B178="Pagada",0,ROUND(MAX(0,N($I178)+N($T178)-N($J178)-N($AD178)),2)))</f>
        <v/>
      </c>
      <c r="L178" s="146" t="n"/>
      <c r="M178" s="59">
        <f>IF(OR($C178="",$AE178="",$K178=0),"",$AE178-TODAY())</f>
        <v/>
      </c>
      <c r="N178" s="62">
        <f>IF($C178="","",IF($K178=0,"✅ Saldada",IF($M178="","",IF($M178&lt;0,IF(N($R178)&gt;0,"🔴 APLAZADA VENCIDA","🔴 VENCIDA"),IF(N($R178)&gt;0,"🕓 Aplazada",IF($M178&lt;=3,"🟠 ≤3 días",IF($M178&lt;=7,"🟡 ≤7 días",IF($M178&lt;=30,"🔵 ≤30 días","⚪ &gt;30 días"))))))))</f>
        <v/>
      </c>
      <c r="O178" s="64">
        <f>IF($AE178="","",TEXT($AE178,"YYYY-MM"))</f>
        <v/>
      </c>
      <c r="P178" s="83" t="n"/>
      <c r="Q178" s="145" t="n"/>
      <c r="R178" s="136" t="n"/>
      <c r="S178" s="145" t="n"/>
      <c r="T178" s="76" t="n"/>
      <c r="U178" s="145" t="n"/>
      <c r="V178" s="145" t="n"/>
      <c r="W178" s="1" t="n"/>
      <c r="X178" s="1" t="n"/>
      <c r="Y178" s="1" t="n"/>
      <c r="Z178" s="1" t="n"/>
      <c r="AA178" s="67">
        <f>IF(OR($C178="",$K178=0,$P178=""),"",VALUE(LEFT($P178,1))*100000+N($M178)+ROW()/100000)</f>
        <v/>
      </c>
      <c r="AB178" s="67">
        <f>IF(OR($C178="",$K178=0,$AE178=""),"",$M178+ROW()/100000)</f>
        <v/>
      </c>
      <c r="AC178" s="41">
        <f t="array" ref="AC178">IF($C178="","",IFERROR(INDEX(Disponibilidad!$O$6:$O$18,MATCH($L178,Disponibilidad!$B$6:$B$18,0)),"Hogar"))</f>
        <v/>
      </c>
      <c r="AD178" s="74">
        <f>IF($C178="","",SUMIFS(Caja!$H$6:$H$505,Caja!$J$6:$J$505,$A178,Caja!$C$6:$C$505,"Pago"))</f>
        <v/>
      </c>
      <c r="AE178" s="136">
        <f>IF($C178="","",IF(N($R178)&gt;0,$R178,$H178))</f>
        <v/>
      </c>
      <c r="AF178" s="1" t="n"/>
      <c r="AG178" s="1" t="n"/>
      <c r="AH178" s="1" t="n"/>
      <c r="AI178" s="1" t="n"/>
      <c r="AJ178" s="1" t="n"/>
      <c r="AK178" s="1" t="n"/>
    </row>
    <row r="179" ht="15" customHeight="1" s="311">
      <c r="A179" s="41">
        <f>IF($C179="","",ROW()-5)</f>
        <v/>
      </c>
      <c r="B179" s="146" t="n"/>
      <c r="C179" s="146" t="n"/>
      <c r="D179" s="146" t="n"/>
      <c r="E179" s="146" t="n"/>
      <c r="F179" s="146" t="n"/>
      <c r="G179" s="136" t="n"/>
      <c r="H179" s="136" t="n"/>
      <c r="I179" s="76" t="n"/>
      <c r="J179" s="76" t="n"/>
      <c r="K179" s="57">
        <f>IF($C179="","",IF($B179="Pagada",0,ROUND(MAX(0,N($I179)+N($T179)-N($J179)-N($AD179)),2)))</f>
        <v/>
      </c>
      <c r="L179" s="146" t="n"/>
      <c r="M179" s="59">
        <f>IF(OR($C179="",$AE179="",$K179=0),"",$AE179-TODAY())</f>
        <v/>
      </c>
      <c r="N179" s="62">
        <f>IF($C179="","",IF($K179=0,"✅ Saldada",IF($M179="","",IF($M179&lt;0,IF(N($R179)&gt;0,"🔴 APLAZADA VENCIDA","🔴 VENCIDA"),IF(N($R179)&gt;0,"🕓 Aplazada",IF($M179&lt;=3,"🟠 ≤3 días",IF($M179&lt;=7,"🟡 ≤7 días",IF($M179&lt;=30,"🔵 ≤30 días","⚪ &gt;30 días"))))))))</f>
        <v/>
      </c>
      <c r="O179" s="64">
        <f>IF($AE179="","",TEXT($AE179,"YYYY-MM"))</f>
        <v/>
      </c>
      <c r="P179" s="83" t="n"/>
      <c r="Q179" s="145" t="n"/>
      <c r="R179" s="136" t="n"/>
      <c r="S179" s="145" t="n"/>
      <c r="T179" s="76" t="n"/>
      <c r="U179" s="145" t="n"/>
      <c r="V179" s="145" t="n"/>
      <c r="W179" s="1" t="n"/>
      <c r="X179" s="1" t="n"/>
      <c r="Y179" s="1" t="n"/>
      <c r="Z179" s="1" t="n"/>
      <c r="AA179" s="67">
        <f>IF(OR($C179="",$K179=0,$P179=""),"",VALUE(LEFT($P179,1))*100000+N($M179)+ROW()/100000)</f>
        <v/>
      </c>
      <c r="AB179" s="67">
        <f>IF(OR($C179="",$K179=0,$AE179=""),"",$M179+ROW()/100000)</f>
        <v/>
      </c>
      <c r="AC179" s="41">
        <f t="array" ref="AC179">IF($C179="","",IFERROR(INDEX(Disponibilidad!$O$6:$O$18,MATCH($L179,Disponibilidad!$B$6:$B$18,0)),"Hogar"))</f>
        <v/>
      </c>
      <c r="AD179" s="74">
        <f>IF($C179="","",SUMIFS(Caja!$H$6:$H$505,Caja!$J$6:$J$505,$A179,Caja!$C$6:$C$505,"Pago"))</f>
        <v/>
      </c>
      <c r="AE179" s="136">
        <f>IF($C179="","",IF(N($R179)&gt;0,$R179,$H179))</f>
        <v/>
      </c>
      <c r="AF179" s="1" t="n"/>
      <c r="AG179" s="1" t="n"/>
      <c r="AH179" s="1" t="n"/>
      <c r="AI179" s="1" t="n"/>
      <c r="AJ179" s="1" t="n"/>
      <c r="AK179" s="1" t="n"/>
    </row>
    <row r="180" ht="15" customHeight="1" s="311">
      <c r="A180" s="41">
        <f>IF($C180="","",ROW()-5)</f>
        <v/>
      </c>
      <c r="B180" s="146" t="n"/>
      <c r="C180" s="146" t="n"/>
      <c r="D180" s="146" t="n"/>
      <c r="E180" s="146" t="n"/>
      <c r="F180" s="146" t="n"/>
      <c r="G180" s="136" t="n"/>
      <c r="H180" s="136" t="n"/>
      <c r="I180" s="76" t="n"/>
      <c r="J180" s="76" t="n"/>
      <c r="K180" s="57">
        <f>IF($C180="","",IF($B180="Pagada",0,ROUND(MAX(0,N($I180)+N($T180)-N($J180)-N($AD180)),2)))</f>
        <v/>
      </c>
      <c r="L180" s="146" t="n"/>
      <c r="M180" s="59">
        <f>IF(OR($C180="",$AE180="",$K180=0),"",$AE180-TODAY())</f>
        <v/>
      </c>
      <c r="N180" s="62">
        <f>IF($C180="","",IF($K180=0,"✅ Saldada",IF($M180="","",IF($M180&lt;0,IF(N($R180)&gt;0,"🔴 APLAZADA VENCIDA","🔴 VENCIDA"),IF(N($R180)&gt;0,"🕓 Aplazada",IF($M180&lt;=3,"🟠 ≤3 días",IF($M180&lt;=7,"🟡 ≤7 días",IF($M180&lt;=30,"🔵 ≤30 días","⚪ &gt;30 días"))))))))</f>
        <v/>
      </c>
      <c r="O180" s="64">
        <f>IF($AE180="","",TEXT($AE180,"YYYY-MM"))</f>
        <v/>
      </c>
      <c r="P180" s="83" t="n"/>
      <c r="Q180" s="145" t="n"/>
      <c r="R180" s="136" t="n"/>
      <c r="S180" s="145" t="n"/>
      <c r="T180" s="76" t="n"/>
      <c r="U180" s="145" t="n"/>
      <c r="V180" s="145" t="n"/>
      <c r="W180" s="1" t="n"/>
      <c r="X180" s="1" t="n"/>
      <c r="Y180" s="1" t="n"/>
      <c r="Z180" s="1" t="n"/>
      <c r="AA180" s="67">
        <f>IF(OR($C180="",$K180=0,$P180=""),"",VALUE(LEFT($P180,1))*100000+N($M180)+ROW()/100000)</f>
        <v/>
      </c>
      <c r="AB180" s="67">
        <f>IF(OR($C180="",$K180=0,$AE180=""),"",$M180+ROW()/100000)</f>
        <v/>
      </c>
      <c r="AC180" s="41">
        <f t="array" ref="AC180">IF($C180="","",IFERROR(INDEX(Disponibilidad!$O$6:$O$18,MATCH($L180,Disponibilidad!$B$6:$B$18,0)),"Hogar"))</f>
        <v/>
      </c>
      <c r="AD180" s="74">
        <f>IF($C180="","",SUMIFS(Caja!$H$6:$H$505,Caja!$J$6:$J$505,$A180,Caja!$C$6:$C$505,"Pago"))</f>
        <v/>
      </c>
      <c r="AE180" s="136">
        <f>IF($C180="","",IF(N($R180)&gt;0,$R180,$H180))</f>
        <v/>
      </c>
      <c r="AF180" s="1" t="n"/>
      <c r="AG180" s="1" t="n"/>
      <c r="AH180" s="1" t="n"/>
      <c r="AI180" s="1" t="n"/>
      <c r="AJ180" s="1" t="n"/>
      <c r="AK180" s="1" t="n"/>
    </row>
    <row r="181" ht="15" customHeight="1" s="311">
      <c r="A181" s="41">
        <f>IF($C181="","",ROW()-5)</f>
        <v/>
      </c>
      <c r="B181" s="146" t="n"/>
      <c r="C181" s="146" t="n"/>
      <c r="D181" s="146" t="n"/>
      <c r="E181" s="146" t="n"/>
      <c r="F181" s="146" t="n"/>
      <c r="G181" s="136" t="n"/>
      <c r="H181" s="136" t="n"/>
      <c r="I181" s="76" t="n"/>
      <c r="J181" s="76" t="n"/>
      <c r="K181" s="57">
        <f>IF($C181="","",IF($B181="Pagada",0,ROUND(MAX(0,N($I181)+N($T181)-N($J181)-N($AD181)),2)))</f>
        <v/>
      </c>
      <c r="L181" s="146" t="n"/>
      <c r="M181" s="59">
        <f>IF(OR($C181="",$AE181="",$K181=0),"",$AE181-TODAY())</f>
        <v/>
      </c>
      <c r="N181" s="62">
        <f>IF($C181="","",IF($K181=0,"✅ Saldada",IF($M181="","",IF($M181&lt;0,IF(N($R181)&gt;0,"🔴 APLAZADA VENCIDA","🔴 VENCIDA"),IF(N($R181)&gt;0,"🕓 Aplazada",IF($M181&lt;=3,"🟠 ≤3 días",IF($M181&lt;=7,"🟡 ≤7 días",IF($M181&lt;=30,"🔵 ≤30 días","⚪ &gt;30 días"))))))))</f>
        <v/>
      </c>
      <c r="O181" s="64">
        <f>IF($AE181="","",TEXT($AE181,"YYYY-MM"))</f>
        <v/>
      </c>
      <c r="P181" s="83" t="n"/>
      <c r="Q181" s="145" t="n"/>
      <c r="R181" s="136" t="n"/>
      <c r="S181" s="145" t="n"/>
      <c r="T181" s="76" t="n"/>
      <c r="U181" s="145" t="n"/>
      <c r="V181" s="145" t="n"/>
      <c r="W181" s="1" t="n"/>
      <c r="X181" s="1" t="n"/>
      <c r="Y181" s="1" t="n"/>
      <c r="Z181" s="1" t="n"/>
      <c r="AA181" s="67">
        <f>IF(OR($C181="",$K181=0,$P181=""),"",VALUE(LEFT($P181,1))*100000+N($M181)+ROW()/100000)</f>
        <v/>
      </c>
      <c r="AB181" s="67">
        <f>IF(OR($C181="",$K181=0,$AE181=""),"",$M181+ROW()/100000)</f>
        <v/>
      </c>
      <c r="AC181" s="41">
        <f t="array" ref="AC181">IF($C181="","",IFERROR(INDEX(Disponibilidad!$O$6:$O$18,MATCH($L181,Disponibilidad!$B$6:$B$18,0)),"Hogar"))</f>
        <v/>
      </c>
      <c r="AD181" s="74">
        <f>IF($C181="","",SUMIFS(Caja!$H$6:$H$505,Caja!$J$6:$J$505,$A181,Caja!$C$6:$C$505,"Pago"))</f>
        <v/>
      </c>
      <c r="AE181" s="136">
        <f>IF($C181="","",IF(N($R181)&gt;0,$R181,$H181))</f>
        <v/>
      </c>
      <c r="AF181" s="1" t="n"/>
      <c r="AG181" s="1" t="n"/>
      <c r="AH181" s="1" t="n"/>
      <c r="AI181" s="1" t="n"/>
      <c r="AJ181" s="1" t="n"/>
      <c r="AK181" s="1" t="n"/>
    </row>
    <row r="182" ht="15" customHeight="1" s="311">
      <c r="A182" s="41">
        <f>IF($C182="","",ROW()-5)</f>
        <v/>
      </c>
      <c r="B182" s="146" t="n"/>
      <c r="C182" s="146" t="n"/>
      <c r="D182" s="146" t="n"/>
      <c r="E182" s="146" t="n"/>
      <c r="F182" s="146" t="n"/>
      <c r="G182" s="136" t="n"/>
      <c r="H182" s="136" t="n"/>
      <c r="I182" s="76" t="n"/>
      <c r="J182" s="76" t="n"/>
      <c r="K182" s="57">
        <f>IF($C182="","",IF($B182="Pagada",0,ROUND(MAX(0,N($I182)+N($T182)-N($J182)-N($AD182)),2)))</f>
        <v/>
      </c>
      <c r="L182" s="146" t="n"/>
      <c r="M182" s="59">
        <f>IF(OR($C182="",$AE182="",$K182=0),"",$AE182-TODAY())</f>
        <v/>
      </c>
      <c r="N182" s="62">
        <f>IF($C182="","",IF($K182=0,"✅ Saldada",IF($M182="","",IF($M182&lt;0,IF(N($R182)&gt;0,"🔴 APLAZADA VENCIDA","🔴 VENCIDA"),IF(N($R182)&gt;0,"🕓 Aplazada",IF($M182&lt;=3,"🟠 ≤3 días",IF($M182&lt;=7,"🟡 ≤7 días",IF($M182&lt;=30,"🔵 ≤30 días","⚪ &gt;30 días"))))))))</f>
        <v/>
      </c>
      <c r="O182" s="64">
        <f>IF($AE182="","",TEXT($AE182,"YYYY-MM"))</f>
        <v/>
      </c>
      <c r="P182" s="83" t="n"/>
      <c r="Q182" s="145" t="n"/>
      <c r="R182" s="136" t="n"/>
      <c r="S182" s="145" t="n"/>
      <c r="T182" s="76" t="n"/>
      <c r="U182" s="145" t="n"/>
      <c r="V182" s="145" t="n"/>
      <c r="W182" s="1" t="n"/>
      <c r="X182" s="1" t="n"/>
      <c r="Y182" s="1" t="n"/>
      <c r="Z182" s="1" t="n"/>
      <c r="AA182" s="67">
        <f>IF(OR($C182="",$K182=0,$P182=""),"",VALUE(LEFT($P182,1))*100000+N($M182)+ROW()/100000)</f>
        <v/>
      </c>
      <c r="AB182" s="67">
        <f>IF(OR($C182="",$K182=0,$AE182=""),"",$M182+ROW()/100000)</f>
        <v/>
      </c>
      <c r="AC182" s="41">
        <f t="array" ref="AC182">IF($C182="","",IFERROR(INDEX(Disponibilidad!$O$6:$O$18,MATCH($L182,Disponibilidad!$B$6:$B$18,0)),"Hogar"))</f>
        <v/>
      </c>
      <c r="AD182" s="74">
        <f>IF($C182="","",SUMIFS(Caja!$H$6:$H$505,Caja!$J$6:$J$505,$A182,Caja!$C$6:$C$505,"Pago"))</f>
        <v/>
      </c>
      <c r="AE182" s="136">
        <f>IF($C182="","",IF(N($R182)&gt;0,$R182,$H182))</f>
        <v/>
      </c>
      <c r="AF182" s="1" t="n"/>
      <c r="AG182" s="1" t="n"/>
      <c r="AH182" s="1" t="n"/>
      <c r="AI182" s="1" t="n"/>
      <c r="AJ182" s="1" t="n"/>
      <c r="AK182" s="1" t="n"/>
    </row>
    <row r="183" ht="15" customHeight="1" s="311">
      <c r="A183" s="41">
        <f>IF($C183="","",ROW()-5)</f>
        <v/>
      </c>
      <c r="B183" s="146" t="n"/>
      <c r="C183" s="146" t="n"/>
      <c r="D183" s="146" t="n"/>
      <c r="E183" s="146" t="n"/>
      <c r="F183" s="146" t="n"/>
      <c r="G183" s="136" t="n"/>
      <c r="H183" s="136" t="n"/>
      <c r="I183" s="76" t="n"/>
      <c r="J183" s="76" t="n"/>
      <c r="K183" s="57">
        <f>IF($C183="","",IF($B183="Pagada",0,ROUND(MAX(0,N($I183)+N($T183)-N($J183)-N($AD183)),2)))</f>
        <v/>
      </c>
      <c r="L183" s="146" t="n"/>
      <c r="M183" s="59">
        <f>IF(OR($C183="",$AE183="",$K183=0),"",$AE183-TODAY())</f>
        <v/>
      </c>
      <c r="N183" s="62">
        <f>IF($C183="","",IF($K183=0,"✅ Saldada",IF($M183="","",IF($M183&lt;0,IF(N($R183)&gt;0,"🔴 APLAZADA VENCIDA","🔴 VENCIDA"),IF(N($R183)&gt;0,"🕓 Aplazada",IF($M183&lt;=3,"🟠 ≤3 días",IF($M183&lt;=7,"🟡 ≤7 días",IF($M183&lt;=30,"🔵 ≤30 días","⚪ &gt;30 días"))))))))</f>
        <v/>
      </c>
      <c r="O183" s="64">
        <f>IF($AE183="","",TEXT($AE183,"YYYY-MM"))</f>
        <v/>
      </c>
      <c r="P183" s="83" t="n"/>
      <c r="Q183" s="145" t="n"/>
      <c r="R183" s="136" t="n"/>
      <c r="S183" s="145" t="n"/>
      <c r="T183" s="76" t="n"/>
      <c r="U183" s="145" t="n"/>
      <c r="V183" s="145" t="n"/>
      <c r="W183" s="1" t="n"/>
      <c r="X183" s="1" t="n"/>
      <c r="Y183" s="1" t="n"/>
      <c r="Z183" s="1" t="n"/>
      <c r="AA183" s="67">
        <f>IF(OR($C183="",$K183=0,$P183=""),"",VALUE(LEFT($P183,1))*100000+N($M183)+ROW()/100000)</f>
        <v/>
      </c>
      <c r="AB183" s="67">
        <f>IF(OR($C183="",$K183=0,$AE183=""),"",$M183+ROW()/100000)</f>
        <v/>
      </c>
      <c r="AC183" s="41">
        <f t="array" ref="AC183">IF($C183="","",IFERROR(INDEX(Disponibilidad!$O$6:$O$18,MATCH($L183,Disponibilidad!$B$6:$B$18,0)),"Hogar"))</f>
        <v/>
      </c>
      <c r="AD183" s="74">
        <f>IF($C183="","",SUMIFS(Caja!$H$6:$H$505,Caja!$J$6:$J$505,$A183,Caja!$C$6:$C$505,"Pago"))</f>
        <v/>
      </c>
      <c r="AE183" s="136">
        <f>IF($C183="","",IF(N($R183)&gt;0,$R183,$H183))</f>
        <v/>
      </c>
      <c r="AF183" s="1" t="n"/>
      <c r="AG183" s="1" t="n"/>
      <c r="AH183" s="1" t="n"/>
      <c r="AI183" s="1" t="n"/>
      <c r="AJ183" s="1" t="n"/>
      <c r="AK183" s="1" t="n"/>
    </row>
    <row r="184" ht="15" customHeight="1" s="311">
      <c r="A184" s="41">
        <f>IF($C184="","",ROW()-5)</f>
        <v/>
      </c>
      <c r="B184" s="146" t="n"/>
      <c r="C184" s="146" t="n"/>
      <c r="D184" s="146" t="n"/>
      <c r="E184" s="146" t="n"/>
      <c r="F184" s="146" t="n"/>
      <c r="G184" s="136" t="n"/>
      <c r="H184" s="136" t="n"/>
      <c r="I184" s="76" t="n"/>
      <c r="J184" s="76" t="n"/>
      <c r="K184" s="57">
        <f>IF($C184="","",IF($B184="Pagada",0,ROUND(MAX(0,N($I184)+N($T184)-N($J184)-N($AD184)),2)))</f>
        <v/>
      </c>
      <c r="L184" s="146" t="n"/>
      <c r="M184" s="59">
        <f>IF(OR($C184="",$AE184="",$K184=0),"",$AE184-TODAY())</f>
        <v/>
      </c>
      <c r="N184" s="62">
        <f>IF($C184="","",IF($K184=0,"✅ Saldada",IF($M184="","",IF($M184&lt;0,IF(N($R184)&gt;0,"🔴 APLAZADA VENCIDA","🔴 VENCIDA"),IF(N($R184)&gt;0,"🕓 Aplazada",IF($M184&lt;=3,"🟠 ≤3 días",IF($M184&lt;=7,"🟡 ≤7 días",IF($M184&lt;=30,"🔵 ≤30 días","⚪ &gt;30 días"))))))))</f>
        <v/>
      </c>
      <c r="O184" s="64">
        <f>IF($AE184="","",TEXT($AE184,"YYYY-MM"))</f>
        <v/>
      </c>
      <c r="P184" s="83" t="n"/>
      <c r="Q184" s="145" t="n"/>
      <c r="R184" s="136" t="n"/>
      <c r="S184" s="145" t="n"/>
      <c r="T184" s="76" t="n"/>
      <c r="U184" s="145" t="n"/>
      <c r="V184" s="145" t="n"/>
      <c r="W184" s="1" t="n"/>
      <c r="X184" s="1" t="n"/>
      <c r="Y184" s="1" t="n"/>
      <c r="Z184" s="1" t="n"/>
      <c r="AA184" s="67">
        <f>IF(OR($C184="",$K184=0,$P184=""),"",VALUE(LEFT($P184,1))*100000+N($M184)+ROW()/100000)</f>
        <v/>
      </c>
      <c r="AB184" s="67">
        <f>IF(OR($C184="",$K184=0,$AE184=""),"",$M184+ROW()/100000)</f>
        <v/>
      </c>
      <c r="AC184" s="41">
        <f t="array" ref="AC184">IF($C184="","",IFERROR(INDEX(Disponibilidad!$O$6:$O$18,MATCH($L184,Disponibilidad!$B$6:$B$18,0)),"Hogar"))</f>
        <v/>
      </c>
      <c r="AD184" s="74">
        <f>IF($C184="","",SUMIFS(Caja!$H$6:$H$505,Caja!$J$6:$J$505,$A184,Caja!$C$6:$C$505,"Pago"))</f>
        <v/>
      </c>
      <c r="AE184" s="136">
        <f>IF($C184="","",IF(N($R184)&gt;0,$R184,$H184))</f>
        <v/>
      </c>
      <c r="AF184" s="1" t="n"/>
      <c r="AG184" s="1" t="n"/>
      <c r="AH184" s="1" t="n"/>
      <c r="AI184" s="1" t="n"/>
      <c r="AJ184" s="1" t="n"/>
      <c r="AK184" s="1" t="n"/>
    </row>
    <row r="185" ht="15" customHeight="1" s="311">
      <c r="A185" s="41">
        <f>IF($C185="","",ROW()-5)</f>
        <v/>
      </c>
      <c r="B185" s="146" t="n"/>
      <c r="C185" s="146" t="n"/>
      <c r="D185" s="146" t="n"/>
      <c r="E185" s="146" t="n"/>
      <c r="F185" s="146" t="n"/>
      <c r="G185" s="136" t="n"/>
      <c r="H185" s="136" t="n"/>
      <c r="I185" s="76" t="n"/>
      <c r="J185" s="76" t="n"/>
      <c r="K185" s="57">
        <f>IF($C185="","",IF($B185="Pagada",0,ROUND(MAX(0,N($I185)+N($T185)-N($J185)-N($AD185)),2)))</f>
        <v/>
      </c>
      <c r="L185" s="146" t="n"/>
      <c r="M185" s="59">
        <f>IF(OR($C185="",$AE185="",$K185=0),"",$AE185-TODAY())</f>
        <v/>
      </c>
      <c r="N185" s="62">
        <f>IF($C185="","",IF($K185=0,"✅ Saldada",IF($M185="","",IF($M185&lt;0,IF(N($R185)&gt;0,"🔴 APLAZADA VENCIDA","🔴 VENCIDA"),IF(N($R185)&gt;0,"🕓 Aplazada",IF($M185&lt;=3,"🟠 ≤3 días",IF($M185&lt;=7,"🟡 ≤7 días",IF($M185&lt;=30,"🔵 ≤30 días","⚪ &gt;30 días"))))))))</f>
        <v/>
      </c>
      <c r="O185" s="64">
        <f>IF($AE185="","",TEXT($AE185,"YYYY-MM"))</f>
        <v/>
      </c>
      <c r="P185" s="83" t="n"/>
      <c r="Q185" s="145" t="n"/>
      <c r="R185" s="136" t="n"/>
      <c r="S185" s="145" t="n"/>
      <c r="T185" s="76" t="n"/>
      <c r="U185" s="145" t="n"/>
      <c r="V185" s="145" t="n"/>
      <c r="W185" s="1" t="n"/>
      <c r="X185" s="1" t="n"/>
      <c r="Y185" s="1" t="n"/>
      <c r="Z185" s="1" t="n"/>
      <c r="AA185" s="67">
        <f>IF(OR($C185="",$K185=0,$P185=""),"",VALUE(LEFT($P185,1))*100000+N($M185)+ROW()/100000)</f>
        <v/>
      </c>
      <c r="AB185" s="67">
        <f>IF(OR($C185="",$K185=0,$AE185=""),"",$M185+ROW()/100000)</f>
        <v/>
      </c>
      <c r="AC185" s="41">
        <f t="array" ref="AC185">IF($C185="","",IFERROR(INDEX(Disponibilidad!$O$6:$O$18,MATCH($L185,Disponibilidad!$B$6:$B$18,0)),"Hogar"))</f>
        <v/>
      </c>
      <c r="AD185" s="74">
        <f>IF($C185="","",SUMIFS(Caja!$H$6:$H$505,Caja!$J$6:$J$505,$A185,Caja!$C$6:$C$505,"Pago"))</f>
        <v/>
      </c>
      <c r="AE185" s="136">
        <f>IF($C185="","",IF(N($R185)&gt;0,$R185,$H185))</f>
        <v/>
      </c>
      <c r="AF185" s="1" t="n"/>
      <c r="AG185" s="1" t="n"/>
      <c r="AH185" s="1" t="n"/>
      <c r="AI185" s="1" t="n"/>
      <c r="AJ185" s="1" t="n"/>
      <c r="AK185" s="1" t="n"/>
    </row>
    <row r="186" ht="15" customHeight="1" s="311">
      <c r="A186" s="41">
        <f>IF($C186="","",ROW()-5)</f>
        <v/>
      </c>
      <c r="B186" s="146" t="n"/>
      <c r="C186" s="146" t="n"/>
      <c r="D186" s="146" t="n"/>
      <c r="E186" s="146" t="n"/>
      <c r="F186" s="146" t="n"/>
      <c r="G186" s="136" t="n"/>
      <c r="H186" s="136" t="n"/>
      <c r="I186" s="76" t="n"/>
      <c r="J186" s="76" t="n"/>
      <c r="K186" s="57">
        <f>IF($C186="","",IF($B186="Pagada",0,ROUND(MAX(0,N($I186)+N($T186)-N($J186)-N($AD186)),2)))</f>
        <v/>
      </c>
      <c r="L186" s="146" t="n"/>
      <c r="M186" s="59">
        <f>IF(OR($C186="",$AE186="",$K186=0),"",$AE186-TODAY())</f>
        <v/>
      </c>
      <c r="N186" s="62">
        <f>IF($C186="","",IF($K186=0,"✅ Saldada",IF($M186="","",IF($M186&lt;0,IF(N($R186)&gt;0,"🔴 APLAZADA VENCIDA","🔴 VENCIDA"),IF(N($R186)&gt;0,"🕓 Aplazada",IF($M186&lt;=3,"🟠 ≤3 días",IF($M186&lt;=7,"🟡 ≤7 días",IF($M186&lt;=30,"🔵 ≤30 días","⚪ &gt;30 días"))))))))</f>
        <v/>
      </c>
      <c r="O186" s="64">
        <f>IF($AE186="","",TEXT($AE186,"YYYY-MM"))</f>
        <v/>
      </c>
      <c r="P186" s="83" t="n"/>
      <c r="Q186" s="145" t="n"/>
      <c r="R186" s="136" t="n"/>
      <c r="S186" s="145" t="n"/>
      <c r="T186" s="76" t="n"/>
      <c r="U186" s="145" t="n"/>
      <c r="V186" s="145" t="n"/>
      <c r="W186" s="1" t="n"/>
      <c r="X186" s="1" t="n"/>
      <c r="Y186" s="1" t="n"/>
      <c r="Z186" s="1" t="n"/>
      <c r="AA186" s="67">
        <f>IF(OR($C186="",$K186=0,$P186=""),"",VALUE(LEFT($P186,1))*100000+N($M186)+ROW()/100000)</f>
        <v/>
      </c>
      <c r="AB186" s="67">
        <f>IF(OR($C186="",$K186=0,$AE186=""),"",$M186+ROW()/100000)</f>
        <v/>
      </c>
      <c r="AC186" s="41">
        <f t="array" ref="AC186">IF($C186="","",IFERROR(INDEX(Disponibilidad!$O$6:$O$18,MATCH($L186,Disponibilidad!$B$6:$B$18,0)),"Hogar"))</f>
        <v/>
      </c>
      <c r="AD186" s="74">
        <f>IF($C186="","",SUMIFS(Caja!$H$6:$H$505,Caja!$J$6:$J$505,$A186,Caja!$C$6:$C$505,"Pago"))</f>
        <v/>
      </c>
      <c r="AE186" s="136">
        <f>IF($C186="","",IF(N($R186)&gt;0,$R186,$H186))</f>
        <v/>
      </c>
      <c r="AF186" s="1" t="n"/>
      <c r="AG186" s="1" t="n"/>
      <c r="AH186" s="1" t="n"/>
      <c r="AI186" s="1" t="n"/>
      <c r="AJ186" s="1" t="n"/>
      <c r="AK186" s="1" t="n"/>
    </row>
    <row r="187" ht="15" customHeight="1" s="311">
      <c r="A187" s="41">
        <f>IF($C187="","",ROW()-5)</f>
        <v/>
      </c>
      <c r="B187" s="146" t="n"/>
      <c r="C187" s="146" t="n"/>
      <c r="D187" s="146" t="n"/>
      <c r="E187" s="146" t="n"/>
      <c r="F187" s="146" t="n"/>
      <c r="G187" s="136" t="n"/>
      <c r="H187" s="136" t="n"/>
      <c r="I187" s="76" t="n"/>
      <c r="J187" s="76" t="n"/>
      <c r="K187" s="57">
        <f>IF($C187="","",IF($B187="Pagada",0,ROUND(MAX(0,N($I187)+N($T187)-N($J187)-N($AD187)),2)))</f>
        <v/>
      </c>
      <c r="L187" s="146" t="n"/>
      <c r="M187" s="59">
        <f>IF(OR($C187="",$AE187="",$K187=0),"",$AE187-TODAY())</f>
        <v/>
      </c>
      <c r="N187" s="62">
        <f>IF($C187="","",IF($K187=0,"✅ Saldada",IF($M187="","",IF($M187&lt;0,IF(N($R187)&gt;0,"🔴 APLAZADA VENCIDA","🔴 VENCIDA"),IF(N($R187)&gt;0,"🕓 Aplazada",IF($M187&lt;=3,"🟠 ≤3 días",IF($M187&lt;=7,"🟡 ≤7 días",IF($M187&lt;=30,"🔵 ≤30 días","⚪ &gt;30 días"))))))))</f>
        <v/>
      </c>
      <c r="O187" s="64">
        <f>IF($AE187="","",TEXT($AE187,"YYYY-MM"))</f>
        <v/>
      </c>
      <c r="P187" s="83" t="n"/>
      <c r="Q187" s="145" t="n"/>
      <c r="R187" s="136" t="n"/>
      <c r="S187" s="145" t="n"/>
      <c r="T187" s="76" t="n"/>
      <c r="U187" s="145" t="n"/>
      <c r="V187" s="145" t="n"/>
      <c r="W187" s="1" t="n"/>
      <c r="X187" s="1" t="n"/>
      <c r="Y187" s="1" t="n"/>
      <c r="Z187" s="1" t="n"/>
      <c r="AA187" s="67">
        <f>IF(OR($C187="",$K187=0,$P187=""),"",VALUE(LEFT($P187,1))*100000+N($M187)+ROW()/100000)</f>
        <v/>
      </c>
      <c r="AB187" s="67">
        <f>IF(OR($C187="",$K187=0,$AE187=""),"",$M187+ROW()/100000)</f>
        <v/>
      </c>
      <c r="AC187" s="41">
        <f t="array" ref="AC187">IF($C187="","",IFERROR(INDEX(Disponibilidad!$O$6:$O$18,MATCH($L187,Disponibilidad!$B$6:$B$18,0)),"Hogar"))</f>
        <v/>
      </c>
      <c r="AD187" s="74">
        <f>IF($C187="","",SUMIFS(Caja!$H$6:$H$505,Caja!$J$6:$J$505,$A187,Caja!$C$6:$C$505,"Pago"))</f>
        <v/>
      </c>
      <c r="AE187" s="136">
        <f>IF($C187="","",IF(N($R187)&gt;0,$R187,$H187))</f>
        <v/>
      </c>
      <c r="AF187" s="1" t="n"/>
      <c r="AG187" s="1" t="n"/>
      <c r="AH187" s="1" t="n"/>
      <c r="AI187" s="1" t="n"/>
      <c r="AJ187" s="1" t="n"/>
      <c r="AK187" s="1" t="n"/>
    </row>
    <row r="188" ht="15" customHeight="1" s="311">
      <c r="A188" s="41">
        <f>IF($C188="","",ROW()-5)</f>
        <v/>
      </c>
      <c r="B188" s="146" t="n"/>
      <c r="C188" s="146" t="n"/>
      <c r="D188" s="146" t="n"/>
      <c r="E188" s="146" t="n"/>
      <c r="F188" s="146" t="n"/>
      <c r="G188" s="136" t="n"/>
      <c r="H188" s="136" t="n"/>
      <c r="I188" s="76" t="n"/>
      <c r="J188" s="76" t="n"/>
      <c r="K188" s="57">
        <f>IF($C188="","",IF($B188="Pagada",0,ROUND(MAX(0,N($I188)+N($T188)-N($J188)-N($AD188)),2)))</f>
        <v/>
      </c>
      <c r="L188" s="146" t="n"/>
      <c r="M188" s="59">
        <f>IF(OR($C188="",$AE188="",$K188=0),"",$AE188-TODAY())</f>
        <v/>
      </c>
      <c r="N188" s="62">
        <f>IF($C188="","",IF($K188=0,"✅ Saldada",IF($M188="","",IF($M188&lt;0,IF(N($R188)&gt;0,"🔴 APLAZADA VENCIDA","🔴 VENCIDA"),IF(N($R188)&gt;0,"🕓 Aplazada",IF($M188&lt;=3,"🟠 ≤3 días",IF($M188&lt;=7,"🟡 ≤7 días",IF($M188&lt;=30,"🔵 ≤30 días","⚪ &gt;30 días"))))))))</f>
        <v/>
      </c>
      <c r="O188" s="64">
        <f>IF($AE188="","",TEXT($AE188,"YYYY-MM"))</f>
        <v/>
      </c>
      <c r="P188" s="83" t="n"/>
      <c r="Q188" s="145" t="n"/>
      <c r="R188" s="136" t="n"/>
      <c r="S188" s="145" t="n"/>
      <c r="T188" s="76" t="n"/>
      <c r="U188" s="145" t="n"/>
      <c r="V188" s="145" t="n"/>
      <c r="W188" s="1" t="n"/>
      <c r="X188" s="1" t="n"/>
      <c r="Y188" s="1" t="n"/>
      <c r="Z188" s="1" t="n"/>
      <c r="AA188" s="67">
        <f>IF(OR($C188="",$K188=0,$P188=""),"",VALUE(LEFT($P188,1))*100000+N($M188)+ROW()/100000)</f>
        <v/>
      </c>
      <c r="AB188" s="67">
        <f>IF(OR($C188="",$K188=0,$AE188=""),"",$M188+ROW()/100000)</f>
        <v/>
      </c>
      <c r="AC188" s="41">
        <f t="array" ref="AC188">IF($C188="","",IFERROR(INDEX(Disponibilidad!$O$6:$O$18,MATCH($L188,Disponibilidad!$B$6:$B$18,0)),"Hogar"))</f>
        <v/>
      </c>
      <c r="AD188" s="74">
        <f>IF($C188="","",SUMIFS(Caja!$H$6:$H$505,Caja!$J$6:$J$505,$A188,Caja!$C$6:$C$505,"Pago"))</f>
        <v/>
      </c>
      <c r="AE188" s="136">
        <f>IF($C188="","",IF(N($R188)&gt;0,$R188,$H188))</f>
        <v/>
      </c>
      <c r="AF188" s="1" t="n"/>
      <c r="AG188" s="1" t="n"/>
      <c r="AH188" s="1" t="n"/>
      <c r="AI188" s="1" t="n"/>
      <c r="AJ188" s="1" t="n"/>
      <c r="AK188" s="1" t="n"/>
    </row>
    <row r="189" ht="15" customHeight="1" s="311">
      <c r="A189" s="41">
        <f>IF($C189="","",ROW()-5)</f>
        <v/>
      </c>
      <c r="B189" s="146" t="n"/>
      <c r="C189" s="146" t="n"/>
      <c r="D189" s="146" t="n"/>
      <c r="E189" s="146" t="n"/>
      <c r="F189" s="146" t="n"/>
      <c r="G189" s="136" t="n"/>
      <c r="H189" s="136" t="n"/>
      <c r="I189" s="76" t="n"/>
      <c r="J189" s="76" t="n"/>
      <c r="K189" s="57">
        <f>IF($C189="","",IF($B189="Pagada",0,ROUND(MAX(0,N($I189)+N($T189)-N($J189)-N($AD189)),2)))</f>
        <v/>
      </c>
      <c r="L189" s="146" t="n"/>
      <c r="M189" s="59">
        <f>IF(OR($C189="",$AE189="",$K189=0),"",$AE189-TODAY())</f>
        <v/>
      </c>
      <c r="N189" s="62">
        <f>IF($C189="","",IF($K189=0,"✅ Saldada",IF($M189="","",IF($M189&lt;0,IF(N($R189)&gt;0,"🔴 APLAZADA VENCIDA","🔴 VENCIDA"),IF(N($R189)&gt;0,"🕓 Aplazada",IF($M189&lt;=3,"🟠 ≤3 días",IF($M189&lt;=7,"🟡 ≤7 días",IF($M189&lt;=30,"🔵 ≤30 días","⚪ &gt;30 días"))))))))</f>
        <v/>
      </c>
      <c r="O189" s="64">
        <f>IF($AE189="","",TEXT($AE189,"YYYY-MM"))</f>
        <v/>
      </c>
      <c r="P189" s="83" t="n"/>
      <c r="Q189" s="145" t="n"/>
      <c r="R189" s="136" t="n"/>
      <c r="S189" s="145" t="n"/>
      <c r="T189" s="76" t="n"/>
      <c r="U189" s="145" t="n"/>
      <c r="V189" s="145" t="n"/>
      <c r="W189" s="1" t="n"/>
      <c r="X189" s="1" t="n"/>
      <c r="Y189" s="1" t="n"/>
      <c r="Z189" s="1" t="n"/>
      <c r="AA189" s="67">
        <f>IF(OR($C189="",$K189=0,$P189=""),"",VALUE(LEFT($P189,1))*100000+N($M189)+ROW()/100000)</f>
        <v/>
      </c>
      <c r="AB189" s="67">
        <f>IF(OR($C189="",$K189=0,$AE189=""),"",$M189+ROW()/100000)</f>
        <v/>
      </c>
      <c r="AC189" s="41">
        <f t="array" ref="AC189">IF($C189="","",IFERROR(INDEX(Disponibilidad!$O$6:$O$18,MATCH($L189,Disponibilidad!$B$6:$B$18,0)),"Hogar"))</f>
        <v/>
      </c>
      <c r="AD189" s="74">
        <f>IF($C189="","",SUMIFS(Caja!$H$6:$H$505,Caja!$J$6:$J$505,$A189,Caja!$C$6:$C$505,"Pago"))</f>
        <v/>
      </c>
      <c r="AE189" s="136">
        <f>IF($C189="","",IF(N($R189)&gt;0,$R189,$H189))</f>
        <v/>
      </c>
      <c r="AF189" s="1" t="n"/>
      <c r="AG189" s="1" t="n"/>
      <c r="AH189" s="1" t="n"/>
      <c r="AI189" s="1" t="n"/>
      <c r="AJ189" s="1" t="n"/>
      <c r="AK189" s="1" t="n"/>
    </row>
    <row r="190" ht="15" customHeight="1" s="311">
      <c r="A190" s="41">
        <f>IF($C190="","",ROW()-5)</f>
        <v/>
      </c>
      <c r="B190" s="146" t="n"/>
      <c r="C190" s="146" t="n"/>
      <c r="D190" s="146" t="n"/>
      <c r="E190" s="146" t="n"/>
      <c r="F190" s="146" t="n"/>
      <c r="G190" s="136" t="n"/>
      <c r="H190" s="136" t="n"/>
      <c r="I190" s="76" t="n"/>
      <c r="J190" s="76" t="n"/>
      <c r="K190" s="57">
        <f>IF($C190="","",IF($B190="Pagada",0,ROUND(MAX(0,N($I190)+N($T190)-N($J190)-N($AD190)),2)))</f>
        <v/>
      </c>
      <c r="L190" s="146" t="n"/>
      <c r="M190" s="59">
        <f>IF(OR($C190="",$AE190="",$K190=0),"",$AE190-TODAY())</f>
        <v/>
      </c>
      <c r="N190" s="62">
        <f>IF($C190="","",IF($K190=0,"✅ Saldada",IF($M190="","",IF($M190&lt;0,IF(N($R190)&gt;0,"🔴 APLAZADA VENCIDA","🔴 VENCIDA"),IF(N($R190)&gt;0,"🕓 Aplazada",IF($M190&lt;=3,"🟠 ≤3 días",IF($M190&lt;=7,"🟡 ≤7 días",IF($M190&lt;=30,"🔵 ≤30 días","⚪ &gt;30 días"))))))))</f>
        <v/>
      </c>
      <c r="O190" s="64">
        <f>IF($AE190="","",TEXT($AE190,"YYYY-MM"))</f>
        <v/>
      </c>
      <c r="P190" s="83" t="n"/>
      <c r="Q190" s="145" t="n"/>
      <c r="R190" s="136" t="n"/>
      <c r="S190" s="145" t="n"/>
      <c r="T190" s="76" t="n"/>
      <c r="U190" s="145" t="n"/>
      <c r="V190" s="145" t="n"/>
      <c r="W190" s="1" t="n"/>
      <c r="X190" s="1" t="n"/>
      <c r="Y190" s="1" t="n"/>
      <c r="Z190" s="1" t="n"/>
      <c r="AA190" s="67">
        <f>IF(OR($C190="",$K190=0,$P190=""),"",VALUE(LEFT($P190,1))*100000+N($M190)+ROW()/100000)</f>
        <v/>
      </c>
      <c r="AB190" s="67">
        <f>IF(OR($C190="",$K190=0,$AE190=""),"",$M190+ROW()/100000)</f>
        <v/>
      </c>
      <c r="AC190" s="41">
        <f t="array" ref="AC190">IF($C190="","",IFERROR(INDEX(Disponibilidad!$O$6:$O$18,MATCH($L190,Disponibilidad!$B$6:$B$18,0)),"Hogar"))</f>
        <v/>
      </c>
      <c r="AD190" s="74">
        <f>IF($C190="","",SUMIFS(Caja!$H$6:$H$505,Caja!$J$6:$J$505,$A190,Caja!$C$6:$C$505,"Pago"))</f>
        <v/>
      </c>
      <c r="AE190" s="136">
        <f>IF($C190="","",IF(N($R190)&gt;0,$R190,$H190))</f>
        <v/>
      </c>
      <c r="AF190" s="1" t="n"/>
      <c r="AG190" s="1" t="n"/>
      <c r="AH190" s="1" t="n"/>
      <c r="AI190" s="1" t="n"/>
      <c r="AJ190" s="1" t="n"/>
      <c r="AK190" s="1" t="n"/>
    </row>
    <row r="191" ht="15" customHeight="1" s="311">
      <c r="A191" s="41">
        <f>IF($C191="","",ROW()-5)</f>
        <v/>
      </c>
      <c r="B191" s="146" t="n"/>
      <c r="C191" s="146" t="n"/>
      <c r="D191" s="146" t="n"/>
      <c r="E191" s="146" t="n"/>
      <c r="F191" s="146" t="n"/>
      <c r="G191" s="136" t="n"/>
      <c r="H191" s="136" t="n"/>
      <c r="I191" s="76" t="n"/>
      <c r="J191" s="76" t="n"/>
      <c r="K191" s="57">
        <f>IF($C191="","",IF($B191="Pagada",0,ROUND(MAX(0,N($I191)+N($T191)-N($J191)-N($AD191)),2)))</f>
        <v/>
      </c>
      <c r="L191" s="146" t="n"/>
      <c r="M191" s="59">
        <f>IF(OR($C191="",$AE191="",$K191=0),"",$AE191-TODAY())</f>
        <v/>
      </c>
      <c r="N191" s="62">
        <f>IF($C191="","",IF($K191=0,"✅ Saldada",IF($M191="","",IF($M191&lt;0,IF(N($R191)&gt;0,"🔴 APLAZADA VENCIDA","🔴 VENCIDA"),IF(N($R191)&gt;0,"🕓 Aplazada",IF($M191&lt;=3,"🟠 ≤3 días",IF($M191&lt;=7,"🟡 ≤7 días",IF($M191&lt;=30,"🔵 ≤30 días","⚪ &gt;30 días"))))))))</f>
        <v/>
      </c>
      <c r="O191" s="64">
        <f>IF($AE191="","",TEXT($AE191,"YYYY-MM"))</f>
        <v/>
      </c>
      <c r="P191" s="83" t="n"/>
      <c r="Q191" s="145" t="n"/>
      <c r="R191" s="136" t="n"/>
      <c r="S191" s="145" t="n"/>
      <c r="T191" s="76" t="n"/>
      <c r="U191" s="145" t="n"/>
      <c r="V191" s="145" t="n"/>
      <c r="W191" s="1" t="n"/>
      <c r="X191" s="1" t="n"/>
      <c r="Y191" s="1" t="n"/>
      <c r="Z191" s="1" t="n"/>
      <c r="AA191" s="67">
        <f>IF(OR($C191="",$K191=0,$P191=""),"",VALUE(LEFT($P191,1))*100000+N($M191)+ROW()/100000)</f>
        <v/>
      </c>
      <c r="AB191" s="67">
        <f>IF(OR($C191="",$K191=0,$AE191=""),"",$M191+ROW()/100000)</f>
        <v/>
      </c>
      <c r="AC191" s="41">
        <f t="array" ref="AC191">IF($C191="","",IFERROR(INDEX(Disponibilidad!$O$6:$O$18,MATCH($L191,Disponibilidad!$B$6:$B$18,0)),"Hogar"))</f>
        <v/>
      </c>
      <c r="AD191" s="74">
        <f>IF($C191="","",SUMIFS(Caja!$H$6:$H$505,Caja!$J$6:$J$505,$A191,Caja!$C$6:$C$505,"Pago"))</f>
        <v/>
      </c>
      <c r="AE191" s="136">
        <f>IF($C191="","",IF(N($R191)&gt;0,$R191,$H191))</f>
        <v/>
      </c>
      <c r="AF191" s="1" t="n"/>
      <c r="AG191" s="1" t="n"/>
      <c r="AH191" s="1" t="n"/>
      <c r="AI191" s="1" t="n"/>
      <c r="AJ191" s="1" t="n"/>
      <c r="AK191" s="1" t="n"/>
    </row>
    <row r="192" ht="15" customHeight="1" s="311">
      <c r="A192" s="41">
        <f>IF($C192="","",ROW()-5)</f>
        <v/>
      </c>
      <c r="B192" s="146" t="n"/>
      <c r="C192" s="146" t="n"/>
      <c r="D192" s="146" t="n"/>
      <c r="E192" s="146" t="n"/>
      <c r="F192" s="146" t="n"/>
      <c r="G192" s="136" t="n"/>
      <c r="H192" s="136" t="n"/>
      <c r="I192" s="76" t="n"/>
      <c r="J192" s="76" t="n"/>
      <c r="K192" s="57">
        <f>IF($C192="","",IF($B192="Pagada",0,ROUND(MAX(0,N($I192)+N($T192)-N($J192)-N($AD192)),2)))</f>
        <v/>
      </c>
      <c r="L192" s="146" t="n"/>
      <c r="M192" s="59">
        <f>IF(OR($C192="",$AE192="",$K192=0),"",$AE192-TODAY())</f>
        <v/>
      </c>
      <c r="N192" s="62">
        <f>IF($C192="","",IF($K192=0,"✅ Saldada",IF($M192="","",IF($M192&lt;0,IF(N($R192)&gt;0,"🔴 APLAZADA VENCIDA","🔴 VENCIDA"),IF(N($R192)&gt;0,"🕓 Aplazada",IF($M192&lt;=3,"🟠 ≤3 días",IF($M192&lt;=7,"🟡 ≤7 días",IF($M192&lt;=30,"🔵 ≤30 días","⚪ &gt;30 días"))))))))</f>
        <v/>
      </c>
      <c r="O192" s="64">
        <f>IF($AE192="","",TEXT($AE192,"YYYY-MM"))</f>
        <v/>
      </c>
      <c r="P192" s="83" t="n"/>
      <c r="Q192" s="145" t="n"/>
      <c r="R192" s="136" t="n"/>
      <c r="S192" s="145" t="n"/>
      <c r="T192" s="76" t="n"/>
      <c r="U192" s="145" t="n"/>
      <c r="V192" s="145" t="n"/>
      <c r="W192" s="1" t="n"/>
      <c r="X192" s="1" t="n"/>
      <c r="Y192" s="1" t="n"/>
      <c r="Z192" s="1" t="n"/>
      <c r="AA192" s="67">
        <f>IF(OR($C192="",$K192=0,$P192=""),"",VALUE(LEFT($P192,1))*100000+N($M192)+ROW()/100000)</f>
        <v/>
      </c>
      <c r="AB192" s="67">
        <f>IF(OR($C192="",$K192=0,$AE192=""),"",$M192+ROW()/100000)</f>
        <v/>
      </c>
      <c r="AC192" s="41">
        <f t="array" ref="AC192">IF($C192="","",IFERROR(INDEX(Disponibilidad!$O$6:$O$18,MATCH($L192,Disponibilidad!$B$6:$B$18,0)),"Hogar"))</f>
        <v/>
      </c>
      <c r="AD192" s="74">
        <f>IF($C192="","",SUMIFS(Caja!$H$6:$H$505,Caja!$J$6:$J$505,$A192,Caja!$C$6:$C$505,"Pago"))</f>
        <v/>
      </c>
      <c r="AE192" s="136">
        <f>IF($C192="","",IF(N($R192)&gt;0,$R192,$H192))</f>
        <v/>
      </c>
      <c r="AF192" s="1" t="n"/>
      <c r="AG192" s="1" t="n"/>
      <c r="AH192" s="1" t="n"/>
      <c r="AI192" s="1" t="n"/>
      <c r="AJ192" s="1" t="n"/>
      <c r="AK192" s="1" t="n"/>
    </row>
    <row r="193" ht="15" customHeight="1" s="311">
      <c r="A193" s="41">
        <f>IF($C193="","",ROW()-5)</f>
        <v/>
      </c>
      <c r="B193" s="146" t="n"/>
      <c r="C193" s="146" t="n"/>
      <c r="D193" s="146" t="n"/>
      <c r="E193" s="146" t="n"/>
      <c r="F193" s="146" t="n"/>
      <c r="G193" s="136" t="n"/>
      <c r="H193" s="136" t="n"/>
      <c r="I193" s="76" t="n"/>
      <c r="J193" s="76" t="n"/>
      <c r="K193" s="57">
        <f>IF($C193="","",IF($B193="Pagada",0,ROUND(MAX(0,N($I193)+N($T193)-N($J193)-N($AD193)),2)))</f>
        <v/>
      </c>
      <c r="L193" s="146" t="n"/>
      <c r="M193" s="59">
        <f>IF(OR($C193="",$AE193="",$K193=0),"",$AE193-TODAY())</f>
        <v/>
      </c>
      <c r="N193" s="62">
        <f>IF($C193="","",IF($K193=0,"✅ Saldada",IF($M193="","",IF($M193&lt;0,IF(N($R193)&gt;0,"🔴 APLAZADA VENCIDA","🔴 VENCIDA"),IF(N($R193)&gt;0,"🕓 Aplazada",IF($M193&lt;=3,"🟠 ≤3 días",IF($M193&lt;=7,"🟡 ≤7 días",IF($M193&lt;=30,"🔵 ≤30 días","⚪ &gt;30 días"))))))))</f>
        <v/>
      </c>
      <c r="O193" s="64">
        <f>IF($AE193="","",TEXT($AE193,"YYYY-MM"))</f>
        <v/>
      </c>
      <c r="P193" s="83" t="n"/>
      <c r="Q193" s="145" t="n"/>
      <c r="R193" s="136" t="n"/>
      <c r="S193" s="145" t="n"/>
      <c r="T193" s="76" t="n"/>
      <c r="U193" s="145" t="n"/>
      <c r="V193" s="145" t="n"/>
      <c r="W193" s="1" t="n"/>
      <c r="X193" s="1" t="n"/>
      <c r="Y193" s="1" t="n"/>
      <c r="Z193" s="1" t="n"/>
      <c r="AA193" s="67">
        <f>IF(OR($C193="",$K193=0,$P193=""),"",VALUE(LEFT($P193,1))*100000+N($M193)+ROW()/100000)</f>
        <v/>
      </c>
      <c r="AB193" s="67">
        <f>IF(OR($C193="",$K193=0,$AE193=""),"",$M193+ROW()/100000)</f>
        <v/>
      </c>
      <c r="AC193" s="41">
        <f t="array" ref="AC193">IF($C193="","",IFERROR(INDEX(Disponibilidad!$O$6:$O$18,MATCH($L193,Disponibilidad!$B$6:$B$18,0)),"Hogar"))</f>
        <v/>
      </c>
      <c r="AD193" s="74">
        <f>IF($C193="","",SUMIFS(Caja!$H$6:$H$505,Caja!$J$6:$J$505,$A193,Caja!$C$6:$C$505,"Pago"))</f>
        <v/>
      </c>
      <c r="AE193" s="136">
        <f>IF($C193="","",IF(N($R193)&gt;0,$R193,$H193))</f>
        <v/>
      </c>
      <c r="AF193" s="1" t="n"/>
      <c r="AG193" s="1" t="n"/>
      <c r="AH193" s="1" t="n"/>
      <c r="AI193" s="1" t="n"/>
      <c r="AJ193" s="1" t="n"/>
      <c r="AK193" s="1" t="n"/>
    </row>
    <row r="194" ht="15" customHeight="1" s="311">
      <c r="A194" s="41">
        <f>IF($C194="","",ROW()-5)</f>
        <v/>
      </c>
      <c r="B194" s="146" t="n"/>
      <c r="C194" s="146" t="n"/>
      <c r="D194" s="146" t="n"/>
      <c r="E194" s="146" t="n"/>
      <c r="F194" s="146" t="n"/>
      <c r="G194" s="136" t="n"/>
      <c r="H194" s="136" t="n"/>
      <c r="I194" s="76" t="n"/>
      <c r="J194" s="76" t="n"/>
      <c r="K194" s="57">
        <f>IF($C194="","",IF($B194="Pagada",0,ROUND(MAX(0,N($I194)+N($T194)-N($J194)-N($AD194)),2)))</f>
        <v/>
      </c>
      <c r="L194" s="146" t="n"/>
      <c r="M194" s="59">
        <f>IF(OR($C194="",$AE194="",$K194=0),"",$AE194-TODAY())</f>
        <v/>
      </c>
      <c r="N194" s="62">
        <f>IF($C194="","",IF($K194=0,"✅ Saldada",IF($M194="","",IF($M194&lt;0,IF(N($R194)&gt;0,"🔴 APLAZADA VENCIDA","🔴 VENCIDA"),IF(N($R194)&gt;0,"🕓 Aplazada",IF($M194&lt;=3,"🟠 ≤3 días",IF($M194&lt;=7,"🟡 ≤7 días",IF($M194&lt;=30,"🔵 ≤30 días","⚪ &gt;30 días"))))))))</f>
        <v/>
      </c>
      <c r="O194" s="64">
        <f>IF($AE194="","",TEXT($AE194,"YYYY-MM"))</f>
        <v/>
      </c>
      <c r="P194" s="83" t="n"/>
      <c r="Q194" s="145" t="n"/>
      <c r="R194" s="136" t="n"/>
      <c r="S194" s="145" t="n"/>
      <c r="T194" s="76" t="n"/>
      <c r="U194" s="145" t="n"/>
      <c r="V194" s="145" t="n"/>
      <c r="W194" s="1" t="n"/>
      <c r="X194" s="1" t="n"/>
      <c r="Y194" s="1" t="n"/>
      <c r="Z194" s="1" t="n"/>
      <c r="AA194" s="67">
        <f>IF(OR($C194="",$K194=0,$P194=""),"",VALUE(LEFT($P194,1))*100000+N($M194)+ROW()/100000)</f>
        <v/>
      </c>
      <c r="AB194" s="67">
        <f>IF(OR($C194="",$K194=0,$AE194=""),"",$M194+ROW()/100000)</f>
        <v/>
      </c>
      <c r="AC194" s="41">
        <f t="array" ref="AC194">IF($C194="","",IFERROR(INDEX(Disponibilidad!$O$6:$O$18,MATCH($L194,Disponibilidad!$B$6:$B$18,0)),"Hogar"))</f>
        <v/>
      </c>
      <c r="AD194" s="74">
        <f>IF($C194="","",SUMIFS(Caja!$H$6:$H$505,Caja!$J$6:$J$505,$A194,Caja!$C$6:$C$505,"Pago"))</f>
        <v/>
      </c>
      <c r="AE194" s="136">
        <f>IF($C194="","",IF(N($R194)&gt;0,$R194,$H194))</f>
        <v/>
      </c>
      <c r="AF194" s="1" t="n"/>
      <c r="AG194" s="1" t="n"/>
      <c r="AH194" s="1" t="n"/>
      <c r="AI194" s="1" t="n"/>
      <c r="AJ194" s="1" t="n"/>
      <c r="AK194" s="1" t="n"/>
    </row>
    <row r="195" ht="15" customHeight="1" s="311">
      <c r="A195" s="41">
        <f>IF($C195="","",ROW()-5)</f>
        <v/>
      </c>
      <c r="B195" s="146" t="n"/>
      <c r="C195" s="146" t="n"/>
      <c r="D195" s="146" t="n"/>
      <c r="E195" s="146" t="n"/>
      <c r="F195" s="146" t="n"/>
      <c r="G195" s="136" t="n"/>
      <c r="H195" s="136" t="n"/>
      <c r="I195" s="76" t="n"/>
      <c r="J195" s="76" t="n"/>
      <c r="K195" s="57">
        <f>IF($C195="","",IF($B195="Pagada",0,ROUND(MAX(0,N($I195)+N($T195)-N($J195)-N($AD195)),2)))</f>
        <v/>
      </c>
      <c r="L195" s="146" t="n"/>
      <c r="M195" s="59">
        <f>IF(OR($C195="",$AE195="",$K195=0),"",$AE195-TODAY())</f>
        <v/>
      </c>
      <c r="N195" s="62">
        <f>IF($C195="","",IF($K195=0,"✅ Saldada",IF($M195="","",IF($M195&lt;0,IF(N($R195)&gt;0,"🔴 APLAZADA VENCIDA","🔴 VENCIDA"),IF(N($R195)&gt;0,"🕓 Aplazada",IF($M195&lt;=3,"🟠 ≤3 días",IF($M195&lt;=7,"🟡 ≤7 días",IF($M195&lt;=30,"🔵 ≤30 días","⚪ &gt;30 días"))))))))</f>
        <v/>
      </c>
      <c r="O195" s="64">
        <f>IF($AE195="","",TEXT($AE195,"YYYY-MM"))</f>
        <v/>
      </c>
      <c r="P195" s="83" t="n"/>
      <c r="Q195" s="145" t="n"/>
      <c r="R195" s="136" t="n"/>
      <c r="S195" s="145" t="n"/>
      <c r="T195" s="76" t="n"/>
      <c r="U195" s="145" t="n"/>
      <c r="V195" s="145" t="n"/>
      <c r="W195" s="1" t="n"/>
      <c r="X195" s="1" t="n"/>
      <c r="Y195" s="1" t="n"/>
      <c r="Z195" s="1" t="n"/>
      <c r="AA195" s="67">
        <f>IF(OR($C195="",$K195=0,$P195=""),"",VALUE(LEFT($P195,1))*100000+N($M195)+ROW()/100000)</f>
        <v/>
      </c>
      <c r="AB195" s="67">
        <f>IF(OR($C195="",$K195=0,$AE195=""),"",$M195+ROW()/100000)</f>
        <v/>
      </c>
      <c r="AC195" s="41">
        <f t="array" ref="AC195">IF($C195="","",IFERROR(INDEX(Disponibilidad!$O$6:$O$18,MATCH($L195,Disponibilidad!$B$6:$B$18,0)),"Hogar"))</f>
        <v/>
      </c>
      <c r="AD195" s="74">
        <f>IF($C195="","",SUMIFS(Caja!$H$6:$H$505,Caja!$J$6:$J$505,$A195,Caja!$C$6:$C$505,"Pago"))</f>
        <v/>
      </c>
      <c r="AE195" s="136">
        <f>IF($C195="","",IF(N($R195)&gt;0,$R195,$H195))</f>
        <v/>
      </c>
      <c r="AF195" s="1" t="n"/>
      <c r="AG195" s="1" t="n"/>
      <c r="AH195" s="1" t="n"/>
      <c r="AI195" s="1" t="n"/>
      <c r="AJ195" s="1" t="n"/>
      <c r="AK195" s="1" t="n"/>
    </row>
    <row r="196" ht="15" customHeight="1" s="311">
      <c r="A196" s="41">
        <f>IF($C196="","",ROW()-5)</f>
        <v/>
      </c>
      <c r="B196" s="146" t="n"/>
      <c r="C196" s="146" t="n"/>
      <c r="D196" s="146" t="n"/>
      <c r="E196" s="146" t="n"/>
      <c r="F196" s="146" t="n"/>
      <c r="G196" s="136" t="n"/>
      <c r="H196" s="136" t="n"/>
      <c r="I196" s="76" t="n"/>
      <c r="J196" s="76" t="n"/>
      <c r="K196" s="57">
        <f>IF($C196="","",IF($B196="Pagada",0,ROUND(MAX(0,N($I196)+N($T196)-N($J196)-N($AD196)),2)))</f>
        <v/>
      </c>
      <c r="L196" s="146" t="n"/>
      <c r="M196" s="59">
        <f>IF(OR($C196="",$AE196="",$K196=0),"",$AE196-TODAY())</f>
        <v/>
      </c>
      <c r="N196" s="62">
        <f>IF($C196="","",IF($K196=0,"✅ Saldada",IF($M196="","",IF($M196&lt;0,IF(N($R196)&gt;0,"🔴 APLAZADA VENCIDA","🔴 VENCIDA"),IF(N($R196)&gt;0,"🕓 Aplazada",IF($M196&lt;=3,"🟠 ≤3 días",IF($M196&lt;=7,"🟡 ≤7 días",IF($M196&lt;=30,"🔵 ≤30 días","⚪ &gt;30 días"))))))))</f>
        <v/>
      </c>
      <c r="O196" s="64">
        <f>IF($AE196="","",TEXT($AE196,"YYYY-MM"))</f>
        <v/>
      </c>
      <c r="P196" s="83" t="n"/>
      <c r="Q196" s="145" t="n"/>
      <c r="R196" s="136" t="n"/>
      <c r="S196" s="145" t="n"/>
      <c r="T196" s="76" t="n"/>
      <c r="U196" s="145" t="n"/>
      <c r="V196" s="145" t="n"/>
      <c r="W196" s="1" t="n"/>
      <c r="X196" s="1" t="n"/>
      <c r="Y196" s="1" t="n"/>
      <c r="Z196" s="1" t="n"/>
      <c r="AA196" s="67">
        <f>IF(OR($C196="",$K196=0,$P196=""),"",VALUE(LEFT($P196,1))*100000+N($M196)+ROW()/100000)</f>
        <v/>
      </c>
      <c r="AB196" s="67">
        <f>IF(OR($C196="",$K196=0,$AE196=""),"",$M196+ROW()/100000)</f>
        <v/>
      </c>
      <c r="AC196" s="41">
        <f t="array" ref="AC196">IF($C196="","",IFERROR(INDEX(Disponibilidad!$O$6:$O$18,MATCH($L196,Disponibilidad!$B$6:$B$18,0)),"Hogar"))</f>
        <v/>
      </c>
      <c r="AD196" s="74">
        <f>IF($C196="","",SUMIFS(Caja!$H$6:$H$505,Caja!$J$6:$J$505,$A196,Caja!$C$6:$C$505,"Pago"))</f>
        <v/>
      </c>
      <c r="AE196" s="136">
        <f>IF($C196="","",IF(N($R196)&gt;0,$R196,$H196))</f>
        <v/>
      </c>
      <c r="AF196" s="1" t="n"/>
      <c r="AG196" s="1" t="n"/>
      <c r="AH196" s="1" t="n"/>
      <c r="AI196" s="1" t="n"/>
      <c r="AJ196" s="1" t="n"/>
      <c r="AK196" s="1" t="n"/>
    </row>
    <row r="197" ht="15" customHeight="1" s="311">
      <c r="A197" s="41">
        <f>IF($C197="","",ROW()-5)</f>
        <v/>
      </c>
      <c r="B197" s="146" t="n"/>
      <c r="C197" s="146" t="n"/>
      <c r="D197" s="146" t="n"/>
      <c r="E197" s="146" t="n"/>
      <c r="F197" s="146" t="n"/>
      <c r="G197" s="136" t="n"/>
      <c r="H197" s="136" t="n"/>
      <c r="I197" s="76" t="n"/>
      <c r="J197" s="76" t="n"/>
      <c r="K197" s="57">
        <f>IF($C197="","",IF($B197="Pagada",0,ROUND(MAX(0,N($I197)+N($T197)-N($J197)-N($AD197)),2)))</f>
        <v/>
      </c>
      <c r="L197" s="146" t="n"/>
      <c r="M197" s="59">
        <f>IF(OR($C197="",$AE197="",$K197=0),"",$AE197-TODAY())</f>
        <v/>
      </c>
      <c r="N197" s="62">
        <f>IF($C197="","",IF($K197=0,"✅ Saldada",IF($M197="","",IF($M197&lt;0,IF(N($R197)&gt;0,"🔴 APLAZADA VENCIDA","🔴 VENCIDA"),IF(N($R197)&gt;0,"🕓 Aplazada",IF($M197&lt;=3,"🟠 ≤3 días",IF($M197&lt;=7,"🟡 ≤7 días",IF($M197&lt;=30,"🔵 ≤30 días","⚪ &gt;30 días"))))))))</f>
        <v/>
      </c>
      <c r="O197" s="64">
        <f>IF($AE197="","",TEXT($AE197,"YYYY-MM"))</f>
        <v/>
      </c>
      <c r="P197" s="83" t="n"/>
      <c r="Q197" s="145" t="n"/>
      <c r="R197" s="136" t="n"/>
      <c r="S197" s="145" t="n"/>
      <c r="T197" s="76" t="n"/>
      <c r="U197" s="145" t="n"/>
      <c r="V197" s="145" t="n"/>
      <c r="W197" s="1" t="n"/>
      <c r="X197" s="1" t="n"/>
      <c r="Y197" s="1" t="n"/>
      <c r="Z197" s="1" t="n"/>
      <c r="AA197" s="67">
        <f>IF(OR($C197="",$K197=0,$P197=""),"",VALUE(LEFT($P197,1))*100000+N($M197)+ROW()/100000)</f>
        <v/>
      </c>
      <c r="AB197" s="67">
        <f>IF(OR($C197="",$K197=0,$AE197=""),"",$M197+ROW()/100000)</f>
        <v/>
      </c>
      <c r="AC197" s="41">
        <f t="array" ref="AC197">IF($C197="","",IFERROR(INDEX(Disponibilidad!$O$6:$O$18,MATCH($L197,Disponibilidad!$B$6:$B$18,0)),"Hogar"))</f>
        <v/>
      </c>
      <c r="AD197" s="74">
        <f>IF($C197="","",SUMIFS(Caja!$H$6:$H$505,Caja!$J$6:$J$505,$A197,Caja!$C$6:$C$505,"Pago"))</f>
        <v/>
      </c>
      <c r="AE197" s="136">
        <f>IF($C197="","",IF(N($R197)&gt;0,$R197,$H197))</f>
        <v/>
      </c>
      <c r="AF197" s="1" t="n"/>
      <c r="AG197" s="1" t="n"/>
      <c r="AH197" s="1" t="n"/>
      <c r="AI197" s="1" t="n"/>
      <c r="AJ197" s="1" t="n"/>
      <c r="AK197" s="1" t="n"/>
    </row>
    <row r="198" ht="15" customHeight="1" s="311">
      <c r="A198" s="41">
        <f>IF($C198="","",ROW()-5)</f>
        <v/>
      </c>
      <c r="B198" s="146" t="n"/>
      <c r="C198" s="146" t="n"/>
      <c r="D198" s="146" t="n"/>
      <c r="E198" s="146" t="n"/>
      <c r="F198" s="146" t="n"/>
      <c r="G198" s="136" t="n"/>
      <c r="H198" s="136" t="n"/>
      <c r="I198" s="76" t="n"/>
      <c r="J198" s="76" t="n"/>
      <c r="K198" s="57">
        <f>IF($C198="","",IF($B198="Pagada",0,ROUND(MAX(0,N($I198)+N($T198)-N($J198)-N($AD198)),2)))</f>
        <v/>
      </c>
      <c r="L198" s="146" t="n"/>
      <c r="M198" s="59">
        <f>IF(OR($C198="",$AE198="",$K198=0),"",$AE198-TODAY())</f>
        <v/>
      </c>
      <c r="N198" s="62">
        <f>IF($C198="","",IF($K198=0,"✅ Saldada",IF($M198="","",IF($M198&lt;0,IF(N($R198)&gt;0,"🔴 APLAZADA VENCIDA","🔴 VENCIDA"),IF(N($R198)&gt;0,"🕓 Aplazada",IF($M198&lt;=3,"🟠 ≤3 días",IF($M198&lt;=7,"🟡 ≤7 días",IF($M198&lt;=30,"🔵 ≤30 días","⚪ &gt;30 días"))))))))</f>
        <v/>
      </c>
      <c r="O198" s="64">
        <f>IF($AE198="","",TEXT($AE198,"YYYY-MM"))</f>
        <v/>
      </c>
      <c r="P198" s="83" t="n"/>
      <c r="Q198" s="145" t="n"/>
      <c r="R198" s="136" t="n"/>
      <c r="S198" s="145" t="n"/>
      <c r="T198" s="76" t="n"/>
      <c r="U198" s="145" t="n"/>
      <c r="V198" s="145" t="n"/>
      <c r="W198" s="1" t="n"/>
      <c r="X198" s="1" t="n"/>
      <c r="Y198" s="1" t="n"/>
      <c r="Z198" s="1" t="n"/>
      <c r="AA198" s="67">
        <f>IF(OR($C198="",$K198=0,$P198=""),"",VALUE(LEFT($P198,1))*100000+N($M198)+ROW()/100000)</f>
        <v/>
      </c>
      <c r="AB198" s="67">
        <f>IF(OR($C198="",$K198=0,$AE198=""),"",$M198+ROW()/100000)</f>
        <v/>
      </c>
      <c r="AC198" s="41">
        <f t="array" ref="AC198">IF($C198="","",IFERROR(INDEX(Disponibilidad!$O$6:$O$18,MATCH($L198,Disponibilidad!$B$6:$B$18,0)),"Hogar"))</f>
        <v/>
      </c>
      <c r="AD198" s="74">
        <f>IF($C198="","",SUMIFS(Caja!$H$6:$H$505,Caja!$J$6:$J$505,$A198,Caja!$C$6:$C$505,"Pago"))</f>
        <v/>
      </c>
      <c r="AE198" s="136">
        <f>IF($C198="","",IF(N($R198)&gt;0,$R198,$H198))</f>
        <v/>
      </c>
      <c r="AF198" s="1" t="n"/>
      <c r="AG198" s="1" t="n"/>
      <c r="AH198" s="1" t="n"/>
      <c r="AI198" s="1" t="n"/>
      <c r="AJ198" s="1" t="n"/>
      <c r="AK198" s="1" t="n"/>
    </row>
    <row r="199" ht="15" customHeight="1" s="311">
      <c r="A199" s="41">
        <f>IF($C199="","",ROW()-5)</f>
        <v/>
      </c>
      <c r="B199" s="146" t="n"/>
      <c r="C199" s="146" t="n"/>
      <c r="D199" s="146" t="n"/>
      <c r="E199" s="146" t="n"/>
      <c r="F199" s="146" t="n"/>
      <c r="G199" s="136" t="n"/>
      <c r="H199" s="136" t="n"/>
      <c r="I199" s="76" t="n"/>
      <c r="J199" s="76" t="n"/>
      <c r="K199" s="57">
        <f>IF($C199="","",IF($B199="Pagada",0,ROUND(MAX(0,N($I199)+N($T199)-N($J199)-N($AD199)),2)))</f>
        <v/>
      </c>
      <c r="L199" s="146" t="n"/>
      <c r="M199" s="59">
        <f>IF(OR($C199="",$AE199="",$K199=0),"",$AE199-TODAY())</f>
        <v/>
      </c>
      <c r="N199" s="62">
        <f>IF($C199="","",IF($K199=0,"✅ Saldada",IF($M199="","",IF($M199&lt;0,IF(N($R199)&gt;0,"🔴 APLAZADA VENCIDA","🔴 VENCIDA"),IF(N($R199)&gt;0,"🕓 Aplazada",IF($M199&lt;=3,"🟠 ≤3 días",IF($M199&lt;=7,"🟡 ≤7 días",IF($M199&lt;=30,"🔵 ≤30 días","⚪ &gt;30 días"))))))))</f>
        <v/>
      </c>
      <c r="O199" s="64">
        <f>IF($AE199="","",TEXT($AE199,"YYYY-MM"))</f>
        <v/>
      </c>
      <c r="P199" s="83" t="n"/>
      <c r="Q199" s="145" t="n"/>
      <c r="R199" s="136" t="n"/>
      <c r="S199" s="145" t="n"/>
      <c r="T199" s="76" t="n"/>
      <c r="U199" s="145" t="n"/>
      <c r="V199" s="145" t="n"/>
      <c r="W199" s="1" t="n"/>
      <c r="X199" s="1" t="n"/>
      <c r="Y199" s="1" t="n"/>
      <c r="Z199" s="1" t="n"/>
      <c r="AA199" s="67">
        <f>IF(OR($C199="",$K199=0,$P199=""),"",VALUE(LEFT($P199,1))*100000+N($M199)+ROW()/100000)</f>
        <v/>
      </c>
      <c r="AB199" s="67">
        <f>IF(OR($C199="",$K199=0,$AE199=""),"",$M199+ROW()/100000)</f>
        <v/>
      </c>
      <c r="AC199" s="41">
        <f t="array" ref="AC199">IF($C199="","",IFERROR(INDEX(Disponibilidad!$O$6:$O$18,MATCH($L199,Disponibilidad!$B$6:$B$18,0)),"Hogar"))</f>
        <v/>
      </c>
      <c r="AD199" s="74">
        <f>IF($C199="","",SUMIFS(Caja!$H$6:$H$505,Caja!$J$6:$J$505,$A199,Caja!$C$6:$C$505,"Pago"))</f>
        <v/>
      </c>
      <c r="AE199" s="136">
        <f>IF($C199="","",IF(N($R199)&gt;0,$R199,$H199))</f>
        <v/>
      </c>
      <c r="AF199" s="1" t="n"/>
      <c r="AG199" s="1" t="n"/>
      <c r="AH199" s="1" t="n"/>
      <c r="AI199" s="1" t="n"/>
      <c r="AJ199" s="1" t="n"/>
      <c r="AK199" s="1" t="n"/>
    </row>
    <row r="200" ht="15" customHeight="1" s="311">
      <c r="A200" s="41">
        <f>IF($C200="","",ROW()-5)</f>
        <v/>
      </c>
      <c r="B200" s="146" t="n"/>
      <c r="C200" s="146" t="n"/>
      <c r="D200" s="146" t="n"/>
      <c r="E200" s="146" t="n"/>
      <c r="F200" s="146" t="n"/>
      <c r="G200" s="136" t="n"/>
      <c r="H200" s="136" t="n"/>
      <c r="I200" s="76" t="n"/>
      <c r="J200" s="76" t="n"/>
      <c r="K200" s="57">
        <f>IF($C200="","",IF($B200="Pagada",0,ROUND(MAX(0,N($I200)+N($T200)-N($J200)-N($AD200)),2)))</f>
        <v/>
      </c>
      <c r="L200" s="146" t="n"/>
      <c r="M200" s="59">
        <f>IF(OR($C200="",$AE200="",$K200=0),"",$AE200-TODAY())</f>
        <v/>
      </c>
      <c r="N200" s="62">
        <f>IF($C200="","",IF($K200=0,"✅ Saldada",IF($M200="","",IF($M200&lt;0,IF(N($R200)&gt;0,"🔴 APLAZADA VENCIDA","🔴 VENCIDA"),IF(N($R200)&gt;0,"🕓 Aplazada",IF($M200&lt;=3,"🟠 ≤3 días",IF($M200&lt;=7,"🟡 ≤7 días",IF($M200&lt;=30,"🔵 ≤30 días","⚪ &gt;30 días"))))))))</f>
        <v/>
      </c>
      <c r="O200" s="64">
        <f>IF($AE200="","",TEXT($AE200,"YYYY-MM"))</f>
        <v/>
      </c>
      <c r="P200" s="83" t="n"/>
      <c r="Q200" s="145" t="n"/>
      <c r="R200" s="136" t="n"/>
      <c r="S200" s="145" t="n"/>
      <c r="T200" s="76" t="n"/>
      <c r="U200" s="145" t="n"/>
      <c r="V200" s="145" t="n"/>
      <c r="W200" s="1" t="n"/>
      <c r="X200" s="1" t="n"/>
      <c r="Y200" s="1" t="n"/>
      <c r="Z200" s="1" t="n"/>
      <c r="AA200" s="67">
        <f>IF(OR($C200="",$K200=0,$P200=""),"",VALUE(LEFT($P200,1))*100000+N($M200)+ROW()/100000)</f>
        <v/>
      </c>
      <c r="AB200" s="67">
        <f>IF(OR($C200="",$K200=0,$AE200=""),"",$M200+ROW()/100000)</f>
        <v/>
      </c>
      <c r="AC200" s="41">
        <f t="array" ref="AC200">IF($C200="","",IFERROR(INDEX(Disponibilidad!$O$6:$O$18,MATCH($L200,Disponibilidad!$B$6:$B$18,0)),"Hogar"))</f>
        <v/>
      </c>
      <c r="AD200" s="74">
        <f>IF($C200="","",SUMIFS(Caja!$H$6:$H$505,Caja!$J$6:$J$505,$A200,Caja!$C$6:$C$505,"Pago"))</f>
        <v/>
      </c>
      <c r="AE200" s="136">
        <f>IF($C200="","",IF(N($R200)&gt;0,$R200,$H200))</f>
        <v/>
      </c>
      <c r="AF200" s="1" t="n"/>
      <c r="AG200" s="1" t="n"/>
      <c r="AH200" s="1" t="n"/>
      <c r="AI200" s="1" t="n"/>
      <c r="AJ200" s="1" t="n"/>
      <c r="AK200" s="1" t="n"/>
    </row>
    <row r="201" ht="15" customHeight="1" s="311">
      <c r="A201" s="41">
        <f>IF($C201="","",ROW()-5)</f>
        <v/>
      </c>
      <c r="B201" s="146" t="n"/>
      <c r="C201" s="146" t="n"/>
      <c r="D201" s="146" t="n"/>
      <c r="E201" s="146" t="n"/>
      <c r="F201" s="146" t="n"/>
      <c r="G201" s="136" t="n"/>
      <c r="H201" s="136" t="n"/>
      <c r="I201" s="76" t="n"/>
      <c r="J201" s="76" t="n"/>
      <c r="K201" s="57">
        <f>IF($C201="","",IF($B201="Pagada",0,ROUND(MAX(0,N($I201)+N($T201)-N($J201)-N($AD201)),2)))</f>
        <v/>
      </c>
      <c r="L201" s="146" t="n"/>
      <c r="M201" s="59">
        <f>IF(OR($C201="",$AE201="",$K201=0),"",$AE201-TODAY())</f>
        <v/>
      </c>
      <c r="N201" s="62">
        <f>IF($C201="","",IF($K201=0,"✅ Saldada",IF($M201="","",IF($M201&lt;0,IF(N($R201)&gt;0,"🔴 APLAZADA VENCIDA","🔴 VENCIDA"),IF(N($R201)&gt;0,"🕓 Aplazada",IF($M201&lt;=3,"🟠 ≤3 días",IF($M201&lt;=7,"🟡 ≤7 días",IF($M201&lt;=30,"🔵 ≤30 días","⚪ &gt;30 días"))))))))</f>
        <v/>
      </c>
      <c r="O201" s="64">
        <f>IF($AE201="","",TEXT($AE201,"YYYY-MM"))</f>
        <v/>
      </c>
      <c r="P201" s="83" t="n"/>
      <c r="Q201" s="145" t="n"/>
      <c r="R201" s="136" t="n"/>
      <c r="S201" s="145" t="n"/>
      <c r="T201" s="76" t="n"/>
      <c r="U201" s="145" t="n"/>
      <c r="V201" s="145" t="n"/>
      <c r="W201" s="1" t="n"/>
      <c r="X201" s="1" t="n"/>
      <c r="Y201" s="1" t="n"/>
      <c r="Z201" s="1" t="n"/>
      <c r="AA201" s="67">
        <f>IF(OR($C201="",$K201=0,$P201=""),"",VALUE(LEFT($P201,1))*100000+N($M201)+ROW()/100000)</f>
        <v/>
      </c>
      <c r="AB201" s="67">
        <f>IF(OR($C201="",$K201=0,$AE201=""),"",$M201+ROW()/100000)</f>
        <v/>
      </c>
      <c r="AC201" s="41">
        <f t="array" ref="AC201">IF($C201="","",IFERROR(INDEX(Disponibilidad!$O$6:$O$18,MATCH($L201,Disponibilidad!$B$6:$B$18,0)),"Hogar"))</f>
        <v/>
      </c>
      <c r="AD201" s="74">
        <f>IF($C201="","",SUMIFS(Caja!$H$6:$H$505,Caja!$J$6:$J$505,$A201,Caja!$C$6:$C$505,"Pago"))</f>
        <v/>
      </c>
      <c r="AE201" s="136">
        <f>IF($C201="","",IF(N($R201)&gt;0,$R201,$H201))</f>
        <v/>
      </c>
      <c r="AF201" s="1" t="n"/>
      <c r="AG201" s="1" t="n"/>
      <c r="AH201" s="1" t="n"/>
      <c r="AI201" s="1" t="n"/>
      <c r="AJ201" s="1" t="n"/>
      <c r="AK201" s="1" t="n"/>
    </row>
    <row r="202" ht="15" customHeight="1" s="311">
      <c r="A202" s="41">
        <f>IF($C202="","",ROW()-5)</f>
        <v/>
      </c>
      <c r="B202" s="146" t="n"/>
      <c r="C202" s="146" t="n"/>
      <c r="D202" s="146" t="n"/>
      <c r="E202" s="146" t="n"/>
      <c r="F202" s="146" t="n"/>
      <c r="G202" s="136" t="n"/>
      <c r="H202" s="136" t="n"/>
      <c r="I202" s="76" t="n"/>
      <c r="J202" s="76" t="n"/>
      <c r="K202" s="57">
        <f>IF($C202="","",IF($B202="Pagada",0,ROUND(MAX(0,N($I202)+N($T202)-N($J202)-N($AD202)),2)))</f>
        <v/>
      </c>
      <c r="L202" s="146" t="n"/>
      <c r="M202" s="59">
        <f>IF(OR($C202="",$AE202="",$K202=0),"",$AE202-TODAY())</f>
        <v/>
      </c>
      <c r="N202" s="62">
        <f>IF($C202="","",IF($K202=0,"✅ Saldada",IF($M202="","",IF($M202&lt;0,IF(N($R202)&gt;0,"🔴 APLAZADA VENCIDA","🔴 VENCIDA"),IF(N($R202)&gt;0,"🕓 Aplazada",IF($M202&lt;=3,"🟠 ≤3 días",IF($M202&lt;=7,"🟡 ≤7 días",IF($M202&lt;=30,"🔵 ≤30 días","⚪ &gt;30 días"))))))))</f>
        <v/>
      </c>
      <c r="O202" s="64">
        <f>IF($AE202="","",TEXT($AE202,"YYYY-MM"))</f>
        <v/>
      </c>
      <c r="P202" s="83" t="n"/>
      <c r="Q202" s="145" t="n"/>
      <c r="R202" s="136" t="n"/>
      <c r="S202" s="145" t="n"/>
      <c r="T202" s="76" t="n"/>
      <c r="U202" s="145" t="n"/>
      <c r="V202" s="145" t="n"/>
      <c r="W202" s="1" t="n"/>
      <c r="X202" s="1" t="n"/>
      <c r="Y202" s="1" t="n"/>
      <c r="Z202" s="1" t="n"/>
      <c r="AA202" s="67">
        <f>IF(OR($C202="",$K202=0,$P202=""),"",VALUE(LEFT($P202,1))*100000+N($M202)+ROW()/100000)</f>
        <v/>
      </c>
      <c r="AB202" s="67">
        <f>IF(OR($C202="",$K202=0,$AE202=""),"",$M202+ROW()/100000)</f>
        <v/>
      </c>
      <c r="AC202" s="41">
        <f t="array" ref="AC202">IF($C202="","",IFERROR(INDEX(Disponibilidad!$O$6:$O$18,MATCH($L202,Disponibilidad!$B$6:$B$18,0)),"Hogar"))</f>
        <v/>
      </c>
      <c r="AD202" s="74">
        <f>IF($C202="","",SUMIFS(Caja!$H$6:$H$505,Caja!$J$6:$J$505,$A202,Caja!$C$6:$C$505,"Pago"))</f>
        <v/>
      </c>
      <c r="AE202" s="136">
        <f>IF($C202="","",IF(N($R202)&gt;0,$R202,$H202))</f>
        <v/>
      </c>
      <c r="AF202" s="1" t="n"/>
      <c r="AG202" s="1" t="n"/>
      <c r="AH202" s="1" t="n"/>
      <c r="AI202" s="1" t="n"/>
      <c r="AJ202" s="1" t="n"/>
      <c r="AK202" s="1" t="n"/>
    </row>
    <row r="203" ht="15" customHeight="1" s="311">
      <c r="A203" s="41">
        <f>IF($C203="","",ROW()-5)</f>
        <v/>
      </c>
      <c r="B203" s="146" t="n"/>
      <c r="C203" s="146" t="n"/>
      <c r="D203" s="146" t="n"/>
      <c r="E203" s="146" t="n"/>
      <c r="F203" s="146" t="n"/>
      <c r="G203" s="136" t="n"/>
      <c r="H203" s="136" t="n"/>
      <c r="I203" s="76" t="n"/>
      <c r="J203" s="76" t="n"/>
      <c r="K203" s="57">
        <f>IF($C203="","",IF($B203="Pagada",0,ROUND(MAX(0,N($I203)+N($T203)-N($J203)-N($AD203)),2)))</f>
        <v/>
      </c>
      <c r="L203" s="146" t="n"/>
      <c r="M203" s="59">
        <f>IF(OR($C203="",$AE203="",$K203=0),"",$AE203-TODAY())</f>
        <v/>
      </c>
      <c r="N203" s="62">
        <f>IF($C203="","",IF($K203=0,"✅ Saldada",IF($M203="","",IF($M203&lt;0,IF(N($R203)&gt;0,"🔴 APLAZADA VENCIDA","🔴 VENCIDA"),IF(N($R203)&gt;0,"🕓 Aplazada",IF($M203&lt;=3,"🟠 ≤3 días",IF($M203&lt;=7,"🟡 ≤7 días",IF($M203&lt;=30,"🔵 ≤30 días","⚪ &gt;30 días"))))))))</f>
        <v/>
      </c>
      <c r="O203" s="64">
        <f>IF($AE203="","",TEXT($AE203,"YYYY-MM"))</f>
        <v/>
      </c>
      <c r="P203" s="83" t="n"/>
      <c r="Q203" s="145" t="n"/>
      <c r="R203" s="136" t="n"/>
      <c r="S203" s="145" t="n"/>
      <c r="T203" s="76" t="n"/>
      <c r="U203" s="145" t="n"/>
      <c r="V203" s="145" t="n"/>
      <c r="W203" s="1" t="n"/>
      <c r="X203" s="1" t="n"/>
      <c r="Y203" s="1" t="n"/>
      <c r="Z203" s="1" t="n"/>
      <c r="AA203" s="67">
        <f>IF(OR($C203="",$K203=0,$P203=""),"",VALUE(LEFT($P203,1))*100000+N($M203)+ROW()/100000)</f>
        <v/>
      </c>
      <c r="AB203" s="67">
        <f>IF(OR($C203="",$K203=0,$AE203=""),"",$M203+ROW()/100000)</f>
        <v/>
      </c>
      <c r="AC203" s="41">
        <f t="array" ref="AC203">IF($C203="","",IFERROR(INDEX(Disponibilidad!$O$6:$O$18,MATCH($L203,Disponibilidad!$B$6:$B$18,0)),"Hogar"))</f>
        <v/>
      </c>
      <c r="AD203" s="74">
        <f>IF($C203="","",SUMIFS(Caja!$H$6:$H$505,Caja!$J$6:$J$505,$A203,Caja!$C$6:$C$505,"Pago"))</f>
        <v/>
      </c>
      <c r="AE203" s="136">
        <f>IF($C203="","",IF(N($R203)&gt;0,$R203,$H203))</f>
        <v/>
      </c>
      <c r="AF203" s="1" t="n"/>
      <c r="AG203" s="1" t="n"/>
      <c r="AH203" s="1" t="n"/>
      <c r="AI203" s="1" t="n"/>
      <c r="AJ203" s="1" t="n"/>
      <c r="AK203" s="1" t="n"/>
    </row>
    <row r="204" ht="15" customHeight="1" s="311">
      <c r="A204" s="41">
        <f>IF($C204="","",ROW()-5)</f>
        <v/>
      </c>
      <c r="B204" s="146" t="n"/>
      <c r="C204" s="146" t="n"/>
      <c r="D204" s="146" t="n"/>
      <c r="E204" s="146" t="n"/>
      <c r="F204" s="146" t="n"/>
      <c r="G204" s="136" t="n"/>
      <c r="H204" s="136" t="n"/>
      <c r="I204" s="76" t="n"/>
      <c r="J204" s="76" t="n"/>
      <c r="K204" s="57">
        <f>IF($C204="","",IF($B204="Pagada",0,ROUND(MAX(0,N($I204)+N($T204)-N($J204)-N($AD204)),2)))</f>
        <v/>
      </c>
      <c r="L204" s="146" t="n"/>
      <c r="M204" s="59">
        <f>IF(OR($C204="",$AE204="",$K204=0),"",$AE204-TODAY())</f>
        <v/>
      </c>
      <c r="N204" s="62">
        <f>IF($C204="","",IF($K204=0,"✅ Saldada",IF($M204="","",IF($M204&lt;0,IF(N($R204)&gt;0,"🔴 APLAZADA VENCIDA","🔴 VENCIDA"),IF(N($R204)&gt;0,"🕓 Aplazada",IF($M204&lt;=3,"🟠 ≤3 días",IF($M204&lt;=7,"🟡 ≤7 días",IF($M204&lt;=30,"🔵 ≤30 días","⚪ &gt;30 días"))))))))</f>
        <v/>
      </c>
      <c r="O204" s="64">
        <f>IF($AE204="","",TEXT($AE204,"YYYY-MM"))</f>
        <v/>
      </c>
      <c r="P204" s="83" t="n"/>
      <c r="Q204" s="145" t="n"/>
      <c r="R204" s="136" t="n"/>
      <c r="S204" s="145" t="n"/>
      <c r="T204" s="76" t="n"/>
      <c r="U204" s="145" t="n"/>
      <c r="V204" s="145" t="n"/>
      <c r="W204" s="1" t="n"/>
      <c r="X204" s="1" t="n"/>
      <c r="Y204" s="1" t="n"/>
      <c r="Z204" s="1" t="n"/>
      <c r="AA204" s="67">
        <f>IF(OR($C204="",$K204=0,$P204=""),"",VALUE(LEFT($P204,1))*100000+N($M204)+ROW()/100000)</f>
        <v/>
      </c>
      <c r="AB204" s="67">
        <f>IF(OR($C204="",$K204=0,$AE204=""),"",$M204+ROW()/100000)</f>
        <v/>
      </c>
      <c r="AC204" s="41">
        <f t="array" ref="AC204">IF($C204="","",IFERROR(INDEX(Disponibilidad!$O$6:$O$18,MATCH($L204,Disponibilidad!$B$6:$B$18,0)),"Hogar"))</f>
        <v/>
      </c>
      <c r="AD204" s="74">
        <f>IF($C204="","",SUMIFS(Caja!$H$6:$H$505,Caja!$J$6:$J$505,$A204,Caja!$C$6:$C$505,"Pago"))</f>
        <v/>
      </c>
      <c r="AE204" s="136">
        <f>IF($C204="","",IF(N($R204)&gt;0,$R204,$H204))</f>
        <v/>
      </c>
      <c r="AF204" s="1" t="n"/>
      <c r="AG204" s="1" t="n"/>
      <c r="AH204" s="1" t="n"/>
      <c r="AI204" s="1" t="n"/>
      <c r="AJ204" s="1" t="n"/>
      <c r="AK204" s="1" t="n"/>
    </row>
    <row r="205" ht="15" customHeight="1" s="311">
      <c r="A205" s="41">
        <f>IF($C205="","",ROW()-5)</f>
        <v/>
      </c>
      <c r="B205" s="146" t="n"/>
      <c r="C205" s="146" t="n"/>
      <c r="D205" s="146" t="n"/>
      <c r="E205" s="146" t="n"/>
      <c r="F205" s="146" t="n"/>
      <c r="G205" s="136" t="n"/>
      <c r="H205" s="136" t="n"/>
      <c r="I205" s="76" t="n"/>
      <c r="J205" s="76" t="n"/>
      <c r="K205" s="57">
        <f>IF($C205="","",IF($B205="Pagada",0,ROUND(MAX(0,N($I205)+N($T205)-N($J205)-N($AD205)),2)))</f>
        <v/>
      </c>
      <c r="L205" s="146" t="n"/>
      <c r="M205" s="59">
        <f>IF(OR($C205="",$AE205="",$K205=0),"",$AE205-TODAY())</f>
        <v/>
      </c>
      <c r="N205" s="62">
        <f>IF($C205="","",IF($K205=0,"✅ Saldada",IF($M205="","",IF($M205&lt;0,IF(N($R205)&gt;0,"🔴 APLAZADA VENCIDA","🔴 VENCIDA"),IF(N($R205)&gt;0,"🕓 Aplazada",IF($M205&lt;=3,"🟠 ≤3 días",IF($M205&lt;=7,"🟡 ≤7 días",IF($M205&lt;=30,"🔵 ≤30 días","⚪ &gt;30 días"))))))))</f>
        <v/>
      </c>
      <c r="O205" s="64">
        <f>IF($AE205="","",TEXT($AE205,"YYYY-MM"))</f>
        <v/>
      </c>
      <c r="P205" s="83" t="n"/>
      <c r="Q205" s="145" t="n"/>
      <c r="R205" s="136" t="n"/>
      <c r="S205" s="145" t="n"/>
      <c r="T205" s="76" t="n"/>
      <c r="U205" s="145" t="n"/>
      <c r="V205" s="145" t="n"/>
      <c r="W205" s="1" t="n"/>
      <c r="X205" s="1" t="n"/>
      <c r="Y205" s="1" t="n"/>
      <c r="Z205" s="1" t="n"/>
      <c r="AA205" s="67">
        <f>IF(OR($C205="",$K205=0,$P205=""),"",VALUE(LEFT($P205,1))*100000+N($M205)+ROW()/100000)</f>
        <v/>
      </c>
      <c r="AB205" s="67">
        <f>IF(OR($C205="",$K205=0,$AE205=""),"",$M205+ROW()/100000)</f>
        <v/>
      </c>
      <c r="AC205" s="41">
        <f t="array" ref="AC205">IF($C205="","",IFERROR(INDEX(Disponibilidad!$O$6:$O$18,MATCH($L205,Disponibilidad!$B$6:$B$18,0)),"Hogar"))</f>
        <v/>
      </c>
      <c r="AD205" s="74">
        <f>IF($C205="","",SUMIFS(Caja!$H$6:$H$505,Caja!$J$6:$J$505,$A205,Caja!$C$6:$C$505,"Pago"))</f>
        <v/>
      </c>
      <c r="AE205" s="136">
        <f>IF($C205="","",IF(N($R205)&gt;0,$R205,$H205))</f>
        <v/>
      </c>
      <c r="AF205" s="1" t="n"/>
      <c r="AG205" s="1" t="n"/>
      <c r="AH205" s="1" t="n"/>
      <c r="AI205" s="1" t="n"/>
      <c r="AJ205" s="1" t="n"/>
      <c r="AK205" s="1" t="n"/>
    </row>
    <row r="206" ht="15" customHeight="1" s="311">
      <c r="A206" s="39" t="n"/>
      <c r="B206" s="39" t="n"/>
      <c r="C206" s="38" t="inlineStr">
        <is>
          <t>TOTALES</t>
        </is>
      </c>
      <c r="D206" s="39" t="n"/>
      <c r="E206" s="39" t="n"/>
      <c r="F206" s="39" t="n"/>
      <c r="G206" s="39" t="n"/>
      <c r="H206" s="39" t="n"/>
      <c r="I206" s="86">
        <f>SUM(I$6:I$205)</f>
        <v/>
      </c>
      <c r="J206" s="86">
        <f>SUM(J$6:J$205)</f>
        <v/>
      </c>
      <c r="K206" s="86">
        <f>SUM(K$6:K$205)</f>
        <v/>
      </c>
      <c r="L206" s="39" t="n"/>
      <c r="M206" s="39" t="n"/>
      <c r="N206" s="39" t="n"/>
      <c r="O206" s="39" t="n"/>
      <c r="P206" s="145" t="n"/>
      <c r="Q206" s="145" t="n"/>
      <c r="R206" s="145" t="n"/>
      <c r="S206" s="145" t="n"/>
      <c r="T206" s="86">
        <f>SUM(T$6:T$205)</f>
        <v/>
      </c>
      <c r="U206" s="145" t="n"/>
      <c r="V206" s="145" t="n"/>
      <c r="W206" s="1" t="n"/>
      <c r="X206" s="1" t="n"/>
      <c r="Y206" s="1" t="n"/>
      <c r="Z206" s="1" t="n"/>
      <c r="AA206" s="1" t="n"/>
      <c r="AB206" s="145" t="n"/>
      <c r="AC206" s="145" t="n"/>
      <c r="AD206" s="145" t="n"/>
      <c r="AE206" s="145" t="n"/>
      <c r="AF206" s="1" t="n"/>
      <c r="AG206" s="1" t="n"/>
      <c r="AH206" s="1" t="n"/>
      <c r="AI206" s="1" t="n"/>
      <c r="AJ206" s="1" t="n"/>
      <c r="AK206" s="1"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 t="n"/>
      <c r="X207" s="1" t="n"/>
      <c r="Y207" s="1" t="n"/>
      <c r="Z207" s="1" t="n"/>
      <c r="AA207" s="20" t="inlineStr">
        <is>
          <t>Columna técnica de la hoja Prioridad: ordena por nivel de prioridad (1 Urgente → 4 Baja) y, dentro de cada nivel, por días restantes. Solo se rellena en las facturas que tienen prioridad marcada y saldo pendiente: por eso Prioridad enseña esas y ninguna más. No la borres.</t>
        </is>
      </c>
      <c r="AB207" s="20" t="inlineStr">
        <is>
          <t>Columna técnica: ordena por días restantes y desempata por fila. La usa Tesorería para listar las más urgentes sin fórmulas matriciales. No la borres.</t>
        </is>
      </c>
      <c r="AC207" s="20" t="inlineStr">
        <is>
          <t>Se deduce sola de la cuenta de pago: cada cuenta tiene su ámbito en la hoja Disponibilidad. Sirve para separar las columnas del Balance.</t>
        </is>
      </c>
      <c r="AD207" s="20" t="inlineStr">
        <is>
          <t>Suma de los pagos registrados en la hoja Caja para esta factura (columna "Factura vinculada"). Se descuenta del saldo igual que la columna Abonado, así que puedes usar cualquiera de las dos vías: apuntar el abono a mano aquí, o registrar el pago en Caja y que baje solo.</t>
        </is>
      </c>
      <c r="AE207" s="145" t="n"/>
      <c r="AF207" s="1" t="n"/>
      <c r="AG207" s="1" t="n"/>
      <c r="AH207" s="1" t="n"/>
      <c r="AI207" s="1" t="n"/>
      <c r="AJ207" s="1" t="n"/>
      <c r="AK207" s="1"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 t="n"/>
      <c r="X208" s="1" t="n"/>
      <c r="Y208" s="1" t="n"/>
      <c r="Z208" s="1" t="n"/>
      <c r="AA208" s="1" t="n"/>
      <c r="AB208" s="145" t="n"/>
      <c r="AC208" s="145" t="n"/>
      <c r="AD208" s="145" t="n"/>
      <c r="AE208" s="145" t="n"/>
      <c r="AF208" s="1" t="n"/>
      <c r="AG208" s="1" t="n"/>
      <c r="AH208" s="1" t="n"/>
      <c r="AI208" s="1" t="n"/>
      <c r="AJ208" s="1" t="n"/>
      <c r="AK208" s="1"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 t="n"/>
      <c r="X209" s="1" t="n"/>
      <c r="Y209" s="1" t="n"/>
      <c r="Z209" s="1" t="n"/>
      <c r="AA209" s="1" t="n"/>
      <c r="AB209" s="145" t="n"/>
      <c r="AC209" s="145" t="n"/>
      <c r="AD209" s="145" t="n"/>
      <c r="AE209" s="145" t="n"/>
      <c r="AF209" s="1" t="n"/>
      <c r="AG209" s="1" t="n"/>
      <c r="AH209" s="1" t="n"/>
      <c r="AI209" s="1" t="n"/>
      <c r="AJ209" s="1" t="n"/>
      <c r="AK209" s="1"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 t="n"/>
      <c r="X210" s="1" t="n"/>
      <c r="Y210" s="1" t="n"/>
      <c r="Z210" s="1" t="n"/>
      <c r="AA210" s="1" t="n"/>
      <c r="AB210" s="145" t="n"/>
      <c r="AC210" s="145" t="n"/>
      <c r="AD210" s="145" t="n"/>
      <c r="AE210" s="145" t="n"/>
      <c r="AF210" s="1" t="n"/>
      <c r="AG210" s="1" t="n"/>
      <c r="AH210" s="1" t="n"/>
      <c r="AI210" s="1" t="n"/>
      <c r="AJ210" s="1" t="n"/>
      <c r="AK210" s="1"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 t="n"/>
      <c r="X211" s="1" t="n"/>
      <c r="Y211" s="1" t="n"/>
      <c r="Z211" s="1" t="n"/>
      <c r="AA211" s="1" t="n"/>
      <c r="AB211" s="145" t="n"/>
      <c r="AC211" s="145" t="n"/>
      <c r="AD211" s="145" t="n"/>
      <c r="AE211" s="145" t="n"/>
      <c r="AF211" s="1" t="n"/>
      <c r="AG211" s="1" t="n"/>
      <c r="AH211" s="1" t="n"/>
      <c r="AI211" s="1" t="n"/>
      <c r="AJ211" s="1" t="n"/>
      <c r="AK211" s="1"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 t="n"/>
      <c r="X212" s="1" t="n"/>
      <c r="Y212" s="1" t="n"/>
      <c r="Z212" s="1" t="n"/>
      <c r="AA212" s="1" t="n"/>
      <c r="AB212" s="145" t="n"/>
      <c r="AC212" s="145" t="n"/>
      <c r="AD212" s="145" t="n"/>
      <c r="AE212" s="145" t="n"/>
      <c r="AF212" s="1" t="n"/>
      <c r="AG212" s="1" t="n"/>
      <c r="AH212" s="1" t="n"/>
      <c r="AI212" s="1" t="n"/>
      <c r="AJ212" s="1" t="n"/>
      <c r="AK212" s="1"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 t="n"/>
      <c r="X213" s="1" t="n"/>
      <c r="Y213" s="1" t="n"/>
      <c r="Z213" s="1" t="n"/>
      <c r="AA213" s="1" t="n"/>
      <c r="AB213" s="145" t="n"/>
      <c r="AC213" s="145" t="n"/>
      <c r="AD213" s="145" t="n"/>
      <c r="AE213" s="145" t="n"/>
      <c r="AF213" s="1" t="n"/>
      <c r="AG213" s="1" t="n"/>
      <c r="AH213" s="1" t="n"/>
      <c r="AI213" s="1" t="n"/>
      <c r="AJ213" s="1" t="n"/>
      <c r="AK213" s="1"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 t="n"/>
      <c r="X214" s="1" t="n"/>
      <c r="Y214" s="1" t="n"/>
      <c r="Z214" s="1" t="n"/>
      <c r="AA214" s="1" t="n"/>
      <c r="AB214" s="145" t="n"/>
      <c r="AC214" s="145" t="n"/>
      <c r="AD214" s="145" t="n"/>
      <c r="AE214" s="145" t="n"/>
      <c r="AF214" s="1" t="n"/>
      <c r="AG214" s="1" t="n"/>
      <c r="AH214" s="1" t="n"/>
      <c r="AI214" s="1" t="n"/>
      <c r="AJ214" s="1" t="n"/>
      <c r="AK214" s="1"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 t="n"/>
      <c r="X215" s="1" t="n"/>
      <c r="Y215" s="1" t="n"/>
      <c r="Z215" s="1" t="n"/>
      <c r="AA215" s="1" t="n"/>
      <c r="AB215" s="145" t="n"/>
      <c r="AC215" s="145" t="n"/>
      <c r="AD215" s="145" t="n"/>
      <c r="AE215" s="145" t="n"/>
      <c r="AF215" s="1" t="n"/>
      <c r="AG215" s="1" t="n"/>
      <c r="AH215" s="1" t="n"/>
      <c r="AI215" s="1" t="n"/>
      <c r="AJ215" s="1" t="n"/>
      <c r="AK215" s="1"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 t="n"/>
      <c r="X216" s="1" t="n"/>
      <c r="Y216" s="1" t="n"/>
      <c r="Z216" s="1" t="n"/>
      <c r="AA216" s="1" t="n"/>
      <c r="AB216" s="145" t="n"/>
      <c r="AC216" s="145" t="n"/>
      <c r="AD216" s="145" t="n"/>
      <c r="AE216" s="145" t="n"/>
      <c r="AF216" s="1" t="n"/>
      <c r="AG216" s="1" t="n"/>
      <c r="AH216" s="1" t="n"/>
      <c r="AI216" s="1" t="n"/>
      <c r="AJ216" s="1" t="n"/>
      <c r="AK216" s="1"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 t="n"/>
      <c r="X217" s="1" t="n"/>
      <c r="Y217" s="1" t="n"/>
      <c r="Z217" s="1" t="n"/>
      <c r="AA217" s="1" t="n"/>
      <c r="AB217" s="145" t="n"/>
      <c r="AC217" s="145" t="n"/>
      <c r="AD217" s="145" t="n"/>
      <c r="AE217" s="145" t="n"/>
      <c r="AF217" s="1" t="n"/>
      <c r="AG217" s="1" t="n"/>
      <c r="AH217" s="1" t="n"/>
      <c r="AI217" s="1" t="n"/>
      <c r="AJ217" s="1" t="n"/>
      <c r="AK217" s="1"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 t="n"/>
      <c r="X218" s="1" t="n"/>
      <c r="Y218" s="1" t="n"/>
      <c r="Z218" s="1" t="n"/>
      <c r="AA218" s="1" t="n"/>
      <c r="AB218" s="145" t="n"/>
      <c r="AC218" s="145" t="n"/>
      <c r="AD218" s="145" t="n"/>
      <c r="AE218" s="145" t="n"/>
      <c r="AF218" s="1" t="n"/>
      <c r="AG218" s="1" t="n"/>
      <c r="AH218" s="1" t="n"/>
      <c r="AI218" s="1" t="n"/>
      <c r="AJ218" s="1" t="n"/>
      <c r="AK218" s="1"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 t="n"/>
      <c r="X219" s="1" t="n"/>
      <c r="Y219" s="1" t="n"/>
      <c r="Z219" s="1" t="n"/>
      <c r="AA219" s="1" t="n"/>
      <c r="AB219" s="145" t="n"/>
      <c r="AC219" s="145" t="n"/>
      <c r="AD219" s="145" t="n"/>
      <c r="AE219" s="145" t="n"/>
      <c r="AF219" s="1" t="n"/>
      <c r="AG219" s="1" t="n"/>
      <c r="AH219" s="1" t="n"/>
      <c r="AI219" s="1" t="n"/>
      <c r="AJ219" s="1" t="n"/>
      <c r="AK219" s="1"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 t="n"/>
      <c r="X220" s="1" t="n"/>
      <c r="Y220" s="1" t="n"/>
      <c r="Z220" s="1" t="n"/>
      <c r="AA220" s="1" t="n"/>
      <c r="AB220" s="145" t="n"/>
      <c r="AC220" s="145" t="n"/>
      <c r="AD220" s="145" t="n"/>
      <c r="AE220" s="145" t="n"/>
      <c r="AF220" s="1" t="n"/>
      <c r="AG220" s="1" t="n"/>
      <c r="AH220" s="1" t="n"/>
      <c r="AI220" s="1" t="n"/>
      <c r="AJ220" s="1" t="n"/>
      <c r="AK220" s="1"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 t="n"/>
      <c r="X221" s="1" t="n"/>
      <c r="Y221" s="1" t="n"/>
      <c r="Z221" s="1" t="n"/>
      <c r="AA221" s="1" t="n"/>
      <c r="AB221" s="145" t="n"/>
      <c r="AC221" s="145" t="n"/>
      <c r="AD221" s="145" t="n"/>
      <c r="AE221" s="145" t="n"/>
      <c r="AF221" s="1" t="n"/>
      <c r="AG221" s="1" t="n"/>
      <c r="AH221" s="1" t="n"/>
      <c r="AI221" s="1" t="n"/>
      <c r="AJ221" s="1" t="n"/>
      <c r="AK221" s="1"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 t="n"/>
      <c r="X222" s="1" t="n"/>
      <c r="Y222" s="1" t="n"/>
      <c r="Z222" s="1" t="n"/>
      <c r="AA222" s="1" t="n"/>
      <c r="AB222" s="145" t="n"/>
      <c r="AC222" s="145" t="n"/>
      <c r="AD222" s="145" t="n"/>
      <c r="AE222" s="145" t="n"/>
      <c r="AF222" s="1" t="n"/>
      <c r="AG222" s="1" t="n"/>
      <c r="AH222" s="1" t="n"/>
      <c r="AI222" s="1" t="n"/>
      <c r="AJ222" s="1" t="n"/>
      <c r="AK222" s="1"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 t="n"/>
      <c r="X223" s="1" t="n"/>
      <c r="Y223" s="1" t="n"/>
      <c r="Z223" s="1" t="n"/>
      <c r="AA223" s="1" t="n"/>
      <c r="AB223" s="145" t="n"/>
      <c r="AC223" s="145" t="n"/>
      <c r="AD223" s="145" t="n"/>
      <c r="AE223" s="145" t="n"/>
      <c r="AF223" s="1" t="n"/>
      <c r="AG223" s="1" t="n"/>
      <c r="AH223" s="1" t="n"/>
      <c r="AI223" s="1" t="n"/>
      <c r="AJ223" s="1" t="n"/>
      <c r="AK223" s="1"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 t="n"/>
      <c r="X224" s="1" t="n"/>
      <c r="Y224" s="1" t="n"/>
      <c r="Z224" s="1" t="n"/>
      <c r="AA224" s="1" t="n"/>
      <c r="AB224" s="145" t="n"/>
      <c r="AC224" s="145" t="n"/>
      <c r="AD224" s="145" t="n"/>
      <c r="AE224" s="145" t="n"/>
      <c r="AF224" s="1" t="n"/>
      <c r="AG224" s="1" t="n"/>
      <c r="AH224" s="1" t="n"/>
      <c r="AI224" s="1" t="n"/>
      <c r="AJ224" s="1" t="n"/>
      <c r="AK224" s="1"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 t="n"/>
      <c r="X225" s="1" t="n"/>
      <c r="Y225" s="1" t="n"/>
      <c r="Z225" s="1" t="n"/>
      <c r="AA225" s="1" t="n"/>
      <c r="AB225" s="145" t="n"/>
      <c r="AC225" s="145" t="n"/>
      <c r="AD225" s="145" t="n"/>
      <c r="AE225" s="145" t="n"/>
      <c r="AF225" s="1" t="n"/>
      <c r="AG225" s="1" t="n"/>
      <c r="AH225" s="1" t="n"/>
      <c r="AI225" s="1" t="n"/>
      <c r="AJ225" s="1" t="n"/>
      <c r="AK225" s="1"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 t="n"/>
      <c r="X226" s="1" t="n"/>
      <c r="Y226" s="1" t="n"/>
      <c r="Z226" s="1" t="n"/>
      <c r="AA226" s="1" t="n"/>
      <c r="AB226" s="145" t="n"/>
      <c r="AC226" s="145" t="n"/>
      <c r="AD226" s="145" t="n"/>
      <c r="AE226" s="145" t="n"/>
      <c r="AF226" s="1" t="n"/>
      <c r="AG226" s="1" t="n"/>
      <c r="AH226" s="1" t="n"/>
      <c r="AI226" s="1" t="n"/>
      <c r="AJ226" s="1" t="n"/>
      <c r="AK226" s="1"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 t="n"/>
      <c r="X227" s="1" t="n"/>
      <c r="Y227" s="1" t="n"/>
      <c r="Z227" s="1" t="n"/>
      <c r="AA227" s="1" t="n"/>
      <c r="AB227" s="145" t="n"/>
      <c r="AC227" s="145" t="n"/>
      <c r="AD227" s="145" t="n"/>
      <c r="AE227" s="145" t="n"/>
      <c r="AF227" s="1" t="n"/>
      <c r="AG227" s="1" t="n"/>
      <c r="AH227" s="1" t="n"/>
      <c r="AI227" s="1" t="n"/>
      <c r="AJ227" s="1" t="n"/>
      <c r="AK227" s="1"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 t="n"/>
      <c r="X228" s="1" t="n"/>
      <c r="Y228" s="1" t="n"/>
      <c r="Z228" s="1" t="n"/>
      <c r="AA228" s="1" t="n"/>
      <c r="AB228" s="145" t="n"/>
      <c r="AC228" s="145" t="n"/>
      <c r="AD228" s="145" t="n"/>
      <c r="AE228" s="145" t="n"/>
      <c r="AF228" s="1" t="n"/>
      <c r="AG228" s="1" t="n"/>
      <c r="AH228" s="1" t="n"/>
      <c r="AI228" s="1" t="n"/>
      <c r="AJ228" s="1" t="n"/>
      <c r="AK228" s="1"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 t="n"/>
      <c r="X229" s="1" t="n"/>
      <c r="Y229" s="1" t="n"/>
      <c r="Z229" s="1" t="n"/>
      <c r="AA229" s="1" t="n"/>
      <c r="AB229" s="145" t="n"/>
      <c r="AC229" s="145" t="n"/>
      <c r="AD229" s="145" t="n"/>
      <c r="AE229" s="145" t="n"/>
      <c r="AF229" s="1" t="n"/>
      <c r="AG229" s="1" t="n"/>
      <c r="AH229" s="1" t="n"/>
      <c r="AI229" s="1" t="n"/>
      <c r="AJ229" s="1" t="n"/>
      <c r="AK229" s="1"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 t="n"/>
      <c r="X230" s="1" t="n"/>
      <c r="Y230" s="1" t="n"/>
      <c r="Z230" s="1" t="n"/>
      <c r="AA230" s="1" t="n"/>
      <c r="AB230" s="145" t="n"/>
      <c r="AC230" s="145" t="n"/>
      <c r="AD230" s="145" t="n"/>
      <c r="AE230" s="145" t="n"/>
      <c r="AF230" s="1" t="n"/>
      <c r="AG230" s="1" t="n"/>
      <c r="AH230" s="1" t="n"/>
      <c r="AI230" s="1" t="n"/>
      <c r="AJ230" s="1" t="n"/>
      <c r="AK230" s="1"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 t="n"/>
      <c r="X231" s="1" t="n"/>
      <c r="Y231" s="1" t="n"/>
      <c r="Z231" s="1" t="n"/>
      <c r="AA231" s="1" t="n"/>
      <c r="AB231" s="145" t="n"/>
      <c r="AC231" s="145" t="n"/>
      <c r="AD231" s="145" t="n"/>
      <c r="AE231" s="145" t="n"/>
      <c r="AF231" s="1" t="n"/>
      <c r="AG231" s="1" t="n"/>
      <c r="AH231" s="1" t="n"/>
      <c r="AI231" s="1" t="n"/>
      <c r="AJ231" s="1" t="n"/>
      <c r="AK231" s="1"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 t="n"/>
      <c r="X232" s="1" t="n"/>
      <c r="Y232" s="1" t="n"/>
      <c r="Z232" s="1" t="n"/>
      <c r="AA232" s="1" t="n"/>
      <c r="AB232" s="145" t="n"/>
      <c r="AC232" s="145" t="n"/>
      <c r="AD232" s="145" t="n"/>
      <c r="AE232" s="145" t="n"/>
      <c r="AF232" s="1" t="n"/>
      <c r="AG232" s="1" t="n"/>
      <c r="AH232" s="1" t="n"/>
      <c r="AI232" s="1" t="n"/>
      <c r="AJ232" s="1" t="n"/>
      <c r="AK232" s="1"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 t="n"/>
      <c r="X233" s="1" t="n"/>
      <c r="Y233" s="1" t="n"/>
      <c r="Z233" s="1" t="n"/>
      <c r="AA233" s="1" t="n"/>
      <c r="AB233" s="145" t="n"/>
      <c r="AC233" s="145" t="n"/>
      <c r="AD233" s="145" t="n"/>
      <c r="AE233" s="145" t="n"/>
      <c r="AF233" s="1" t="n"/>
      <c r="AG233" s="1" t="n"/>
      <c r="AH233" s="1" t="n"/>
      <c r="AI233" s="1" t="n"/>
      <c r="AJ233" s="1" t="n"/>
      <c r="AK233" s="1"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 t="n"/>
      <c r="X234" s="1" t="n"/>
      <c r="Y234" s="1" t="n"/>
      <c r="Z234" s="1" t="n"/>
      <c r="AA234" s="1" t="n"/>
      <c r="AB234" s="145" t="n"/>
      <c r="AC234" s="145" t="n"/>
      <c r="AD234" s="145" t="n"/>
      <c r="AE234" s="145" t="n"/>
      <c r="AF234" s="1" t="n"/>
      <c r="AG234" s="1" t="n"/>
      <c r="AH234" s="1" t="n"/>
      <c r="AI234" s="1" t="n"/>
      <c r="AJ234" s="1" t="n"/>
      <c r="AK234" s="1"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 t="n"/>
      <c r="X235" s="1" t="n"/>
      <c r="Y235" s="1" t="n"/>
      <c r="Z235" s="1" t="n"/>
      <c r="AA235" s="1" t="n"/>
      <c r="AB235" s="145" t="n"/>
      <c r="AC235" s="145" t="n"/>
      <c r="AD235" s="145" t="n"/>
      <c r="AE235" s="145" t="n"/>
      <c r="AF235" s="1" t="n"/>
      <c r="AG235" s="1" t="n"/>
      <c r="AH235" s="1" t="n"/>
      <c r="AI235" s="1" t="n"/>
      <c r="AJ235" s="1" t="n"/>
      <c r="AK235" s="1"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 t="n"/>
      <c r="X236" s="1" t="n"/>
      <c r="Y236" s="1" t="n"/>
      <c r="Z236" s="1" t="n"/>
      <c r="AA236" s="1" t="n"/>
      <c r="AB236" s="145" t="n"/>
      <c r="AC236" s="145" t="n"/>
      <c r="AD236" s="145" t="n"/>
      <c r="AE236" s="145" t="n"/>
      <c r="AF236" s="1" t="n"/>
      <c r="AG236" s="1" t="n"/>
      <c r="AH236" s="1" t="n"/>
      <c r="AI236" s="1" t="n"/>
      <c r="AJ236" s="1" t="n"/>
      <c r="AK236" s="1"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 t="n"/>
      <c r="X237" s="1" t="n"/>
      <c r="Y237" s="1" t="n"/>
      <c r="Z237" s="1" t="n"/>
      <c r="AA237" s="1" t="n"/>
      <c r="AB237" s="145" t="n"/>
      <c r="AC237" s="145" t="n"/>
      <c r="AD237" s="145" t="n"/>
      <c r="AE237" s="145" t="n"/>
      <c r="AF237" s="1" t="n"/>
      <c r="AG237" s="1" t="n"/>
      <c r="AH237" s="1" t="n"/>
      <c r="AI237" s="1" t="n"/>
      <c r="AJ237" s="1" t="n"/>
      <c r="AK237" s="1"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 t="n"/>
      <c r="X238" s="1" t="n"/>
      <c r="Y238" s="1" t="n"/>
      <c r="Z238" s="1" t="n"/>
      <c r="AA238" s="1" t="n"/>
      <c r="AB238" s="145" t="n"/>
      <c r="AC238" s="145" t="n"/>
      <c r="AD238" s="145" t="n"/>
      <c r="AE238" s="145" t="n"/>
      <c r="AF238" s="1" t="n"/>
      <c r="AG238" s="1" t="n"/>
      <c r="AH238" s="1" t="n"/>
      <c r="AI238" s="1" t="n"/>
      <c r="AJ238" s="1" t="n"/>
      <c r="AK238" s="1"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 t="n"/>
      <c r="X239" s="1" t="n"/>
      <c r="Y239" s="1" t="n"/>
      <c r="Z239" s="1" t="n"/>
      <c r="AA239" s="1" t="n"/>
      <c r="AB239" s="145" t="n"/>
      <c r="AC239" s="145" t="n"/>
      <c r="AD239" s="145" t="n"/>
      <c r="AE239" s="145" t="n"/>
      <c r="AF239" s="1" t="n"/>
      <c r="AG239" s="1" t="n"/>
      <c r="AH239" s="1" t="n"/>
      <c r="AI239" s="1" t="n"/>
      <c r="AJ239" s="1" t="n"/>
      <c r="AK239" s="1"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 t="n"/>
      <c r="X240" s="1" t="n"/>
      <c r="Y240" s="1" t="n"/>
      <c r="Z240" s="1" t="n"/>
      <c r="AA240" s="1" t="n"/>
      <c r="AB240" s="145" t="n"/>
      <c r="AC240" s="145" t="n"/>
      <c r="AD240" s="145" t="n"/>
      <c r="AE240" s="145" t="n"/>
      <c r="AF240" s="1" t="n"/>
      <c r="AG240" s="1" t="n"/>
      <c r="AH240" s="1" t="n"/>
      <c r="AI240" s="1" t="n"/>
      <c r="AJ240" s="1" t="n"/>
      <c r="AK240" s="1"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 t="n"/>
      <c r="X241" s="1" t="n"/>
      <c r="Y241" s="1" t="n"/>
      <c r="Z241" s="1" t="n"/>
      <c r="AA241" s="1" t="n"/>
      <c r="AB241" s="145" t="n"/>
      <c r="AC241" s="145" t="n"/>
      <c r="AD241" s="145" t="n"/>
      <c r="AE241" s="145" t="n"/>
      <c r="AF241" s="1" t="n"/>
      <c r="AG241" s="1" t="n"/>
      <c r="AH241" s="1" t="n"/>
      <c r="AI241" s="1" t="n"/>
      <c r="AJ241" s="1" t="n"/>
      <c r="AK241" s="1"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 t="n"/>
      <c r="X242" s="1" t="n"/>
      <c r="Y242" s="1" t="n"/>
      <c r="Z242" s="1" t="n"/>
      <c r="AA242" s="1" t="n"/>
      <c r="AB242" s="145" t="n"/>
      <c r="AC242" s="145" t="n"/>
      <c r="AD242" s="145" t="n"/>
      <c r="AE242" s="145" t="n"/>
      <c r="AF242" s="1" t="n"/>
      <c r="AG242" s="1" t="n"/>
      <c r="AH242" s="1" t="n"/>
      <c r="AI242" s="1" t="n"/>
      <c r="AJ242" s="1" t="n"/>
      <c r="AK242" s="1"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 t="n"/>
      <c r="X243" s="1" t="n"/>
      <c r="Y243" s="1" t="n"/>
      <c r="Z243" s="1" t="n"/>
      <c r="AA243" s="1" t="n"/>
      <c r="AB243" s="145" t="n"/>
      <c r="AC243" s="145" t="n"/>
      <c r="AD243" s="145" t="n"/>
      <c r="AE243" s="145" t="n"/>
      <c r="AF243" s="1" t="n"/>
      <c r="AG243" s="1" t="n"/>
      <c r="AH243" s="1" t="n"/>
      <c r="AI243" s="1" t="n"/>
      <c r="AJ243" s="1" t="n"/>
      <c r="AK243" s="1"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 t="n"/>
      <c r="X244" s="1" t="n"/>
      <c r="Y244" s="1" t="n"/>
      <c r="Z244" s="1" t="n"/>
      <c r="AA244" s="1" t="n"/>
      <c r="AB244" s="145" t="n"/>
      <c r="AC244" s="145" t="n"/>
      <c r="AD244" s="145" t="n"/>
      <c r="AE244" s="145" t="n"/>
      <c r="AF244" s="1" t="n"/>
      <c r="AG244" s="1" t="n"/>
      <c r="AH244" s="1" t="n"/>
      <c r="AI244" s="1" t="n"/>
      <c r="AJ244" s="1" t="n"/>
      <c r="AK244" s="1"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 t="n"/>
      <c r="X245" s="1" t="n"/>
      <c r="Y245" s="1" t="n"/>
      <c r="Z245" s="1" t="n"/>
      <c r="AA245" s="1" t="n"/>
      <c r="AB245" s="145" t="n"/>
      <c r="AC245" s="145" t="n"/>
      <c r="AD245" s="145" t="n"/>
      <c r="AE245" s="145" t="n"/>
      <c r="AF245" s="1" t="n"/>
      <c r="AG245" s="1" t="n"/>
      <c r="AH245" s="1" t="n"/>
      <c r="AI245" s="1" t="n"/>
      <c r="AJ245" s="1" t="n"/>
      <c r="AK245" s="1"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 t="n"/>
      <c r="X246" s="1" t="n"/>
      <c r="Y246" s="1" t="n"/>
      <c r="Z246" s="1" t="n"/>
      <c r="AA246" s="1" t="n"/>
      <c r="AB246" s="145" t="n"/>
      <c r="AC246" s="145" t="n"/>
      <c r="AD246" s="145" t="n"/>
      <c r="AE246" s="145" t="n"/>
      <c r="AF246" s="1" t="n"/>
      <c r="AG246" s="1" t="n"/>
      <c r="AH246" s="1" t="n"/>
      <c r="AI246" s="1" t="n"/>
      <c r="AJ246" s="1" t="n"/>
      <c r="AK246" s="1"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 t="n"/>
      <c r="X247" s="1" t="n"/>
      <c r="Y247" s="1" t="n"/>
      <c r="Z247" s="1" t="n"/>
      <c r="AA247" s="1" t="n"/>
      <c r="AB247" s="145" t="n"/>
      <c r="AC247" s="145" t="n"/>
      <c r="AD247" s="145" t="n"/>
      <c r="AE247" s="145" t="n"/>
      <c r="AF247" s="1" t="n"/>
      <c r="AG247" s="1" t="n"/>
      <c r="AH247" s="1" t="n"/>
      <c r="AI247" s="1" t="n"/>
      <c r="AJ247" s="1" t="n"/>
      <c r="AK247" s="1"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 t="n"/>
      <c r="X248" s="1" t="n"/>
      <c r="Y248" s="1" t="n"/>
      <c r="Z248" s="1" t="n"/>
      <c r="AA248" s="1" t="n"/>
      <c r="AB248" s="145" t="n"/>
      <c r="AC248" s="145" t="n"/>
      <c r="AD248" s="145" t="n"/>
      <c r="AE248" s="145" t="n"/>
      <c r="AF248" s="1" t="n"/>
      <c r="AG248" s="1" t="n"/>
      <c r="AH248" s="1" t="n"/>
      <c r="AI248" s="1" t="n"/>
      <c r="AJ248" s="1" t="n"/>
      <c r="AK248" s="1"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 t="n"/>
      <c r="X249" s="1" t="n"/>
      <c r="Y249" s="1" t="n"/>
      <c r="Z249" s="1" t="n"/>
      <c r="AA249" s="1" t="n"/>
      <c r="AB249" s="145" t="n"/>
      <c r="AC249" s="145" t="n"/>
      <c r="AD249" s="145" t="n"/>
      <c r="AE249" s="145" t="n"/>
      <c r="AF249" s="1" t="n"/>
      <c r="AG249" s="1" t="n"/>
      <c r="AH249" s="1" t="n"/>
      <c r="AI249" s="1" t="n"/>
      <c r="AJ249" s="1" t="n"/>
      <c r="AK249" s="1"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 t="n"/>
      <c r="X250" s="1" t="n"/>
      <c r="Y250" s="1" t="n"/>
      <c r="Z250" s="1" t="n"/>
      <c r="AA250" s="1" t="n"/>
      <c r="AB250" s="145" t="n"/>
      <c r="AC250" s="145" t="n"/>
      <c r="AD250" s="145" t="n"/>
      <c r="AE250" s="145" t="n"/>
      <c r="AF250" s="1" t="n"/>
      <c r="AG250" s="1" t="n"/>
      <c r="AH250" s="1" t="n"/>
      <c r="AI250" s="1" t="n"/>
      <c r="AJ250" s="1" t="n"/>
      <c r="AK250" s="1"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 t="n"/>
      <c r="X251" s="1" t="n"/>
      <c r="Y251" s="1" t="n"/>
      <c r="Z251" s="1" t="n"/>
      <c r="AA251" s="1" t="n"/>
      <c r="AB251" s="145" t="n"/>
      <c r="AC251" s="145" t="n"/>
      <c r="AD251" s="145" t="n"/>
      <c r="AE251" s="145" t="n"/>
      <c r="AF251" s="1" t="n"/>
      <c r="AG251" s="1" t="n"/>
      <c r="AH251" s="1" t="n"/>
      <c r="AI251" s="1" t="n"/>
      <c r="AJ251" s="1" t="n"/>
      <c r="AK251" s="1"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 t="n"/>
      <c r="X252" s="1" t="n"/>
      <c r="Y252" s="1" t="n"/>
      <c r="Z252" s="1" t="n"/>
      <c r="AA252" s="1" t="n"/>
      <c r="AB252" s="145" t="n"/>
      <c r="AC252" s="145" t="n"/>
      <c r="AD252" s="145" t="n"/>
      <c r="AE252" s="145" t="n"/>
      <c r="AF252" s="1" t="n"/>
      <c r="AG252" s="1" t="n"/>
      <c r="AH252" s="1" t="n"/>
      <c r="AI252" s="1" t="n"/>
      <c r="AJ252" s="1" t="n"/>
      <c r="AK252" s="1"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 t="n"/>
      <c r="X253" s="1" t="n"/>
      <c r="Y253" s="1" t="n"/>
      <c r="Z253" s="1" t="n"/>
      <c r="AA253" s="1" t="n"/>
      <c r="AB253" s="145" t="n"/>
      <c r="AC253" s="145" t="n"/>
      <c r="AD253" s="145" t="n"/>
      <c r="AE253" s="145" t="n"/>
      <c r="AF253" s="1" t="n"/>
      <c r="AG253" s="1" t="n"/>
      <c r="AH253" s="1" t="n"/>
      <c r="AI253" s="1" t="n"/>
      <c r="AJ253" s="1" t="n"/>
      <c r="AK253" s="1"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 t="n"/>
      <c r="X254" s="1" t="n"/>
      <c r="Y254" s="1" t="n"/>
      <c r="Z254" s="1" t="n"/>
      <c r="AA254" s="1" t="n"/>
      <c r="AB254" s="145" t="n"/>
      <c r="AC254" s="145" t="n"/>
      <c r="AD254" s="145" t="n"/>
      <c r="AE254" s="145" t="n"/>
      <c r="AF254" s="1" t="n"/>
      <c r="AG254" s="1" t="n"/>
      <c r="AH254" s="1" t="n"/>
      <c r="AI254" s="1" t="n"/>
      <c r="AJ254" s="1" t="n"/>
      <c r="AK254" s="1" t="n"/>
    </row>
    <row r="255" ht="15.75" customHeight="1" s="311">
      <c r="A255" s="145" t="n"/>
      <c r="B255" s="145" t="n"/>
      <c r="C255" s="145"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 t="n"/>
      <c r="X255" s="1" t="n"/>
      <c r="Y255" s="1" t="n"/>
      <c r="Z255" s="1" t="n"/>
      <c r="AA255" s="1" t="n"/>
      <c r="AB255" s="145" t="n"/>
      <c r="AC255" s="145" t="n"/>
      <c r="AD255" s="145" t="n"/>
      <c r="AE255" s="145" t="n"/>
      <c r="AF255" s="1" t="n"/>
      <c r="AG255" s="1" t="n"/>
      <c r="AH255" s="1" t="n"/>
      <c r="AI255" s="1" t="n"/>
      <c r="AJ255" s="1" t="n"/>
      <c r="AK255" s="1" t="n"/>
    </row>
    <row r="256" ht="15.75" customHeight="1" s="311">
      <c r="A256" s="145" t="n"/>
      <c r="B256" s="145" t="n"/>
      <c r="C256" s="145"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 t="n"/>
      <c r="X256" s="1" t="n"/>
      <c r="Y256" s="1" t="n"/>
      <c r="Z256" s="1" t="n"/>
      <c r="AA256" s="1" t="n"/>
      <c r="AB256" s="145" t="n"/>
      <c r="AC256" s="145" t="n"/>
      <c r="AD256" s="145" t="n"/>
      <c r="AE256" s="145" t="n"/>
      <c r="AF256" s="1" t="n"/>
      <c r="AG256" s="1" t="n"/>
      <c r="AH256" s="1" t="n"/>
      <c r="AI256" s="1" t="n"/>
      <c r="AJ256" s="1" t="n"/>
      <c r="AK256" s="1" t="n"/>
    </row>
    <row r="257" ht="15.75" customHeight="1" s="311">
      <c r="A257" s="145" t="n"/>
      <c r="B257" s="145" t="n"/>
      <c r="C257" s="145"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 t="n"/>
      <c r="X257" s="1" t="n"/>
      <c r="Y257" s="1" t="n"/>
      <c r="Z257" s="1" t="n"/>
      <c r="AA257" s="1" t="n"/>
      <c r="AB257" s="145" t="n"/>
      <c r="AC257" s="145" t="n"/>
      <c r="AD257" s="145" t="n"/>
      <c r="AE257" s="145" t="n"/>
      <c r="AF257" s="1" t="n"/>
      <c r="AG257" s="1" t="n"/>
      <c r="AH257" s="1" t="n"/>
      <c r="AI257" s="1" t="n"/>
      <c r="AJ257" s="1" t="n"/>
      <c r="AK257" s="1" t="n"/>
    </row>
    <row r="258" ht="15.75" customHeight="1" s="311">
      <c r="A258" s="145" t="n"/>
      <c r="B258" s="145" t="n"/>
      <c r="C258" s="145"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 t="n"/>
      <c r="X258" s="1" t="n"/>
      <c r="Y258" s="1" t="n"/>
      <c r="Z258" s="1" t="n"/>
      <c r="AA258" s="1" t="n"/>
      <c r="AB258" s="145" t="n"/>
      <c r="AC258" s="145" t="n"/>
      <c r="AD258" s="145" t="n"/>
      <c r="AE258" s="145" t="n"/>
      <c r="AF258" s="1" t="n"/>
      <c r="AG258" s="1" t="n"/>
      <c r="AH258" s="1" t="n"/>
      <c r="AI258" s="1" t="n"/>
      <c r="AJ258" s="1" t="n"/>
      <c r="AK258" s="1" t="n"/>
    </row>
    <row r="259" ht="15.75" customHeight="1" s="311">
      <c r="A259" s="145" t="n"/>
      <c r="B259" s="145" t="n"/>
      <c r="C259" s="145"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 t="n"/>
      <c r="X259" s="1" t="n"/>
      <c r="Y259" s="1" t="n"/>
      <c r="Z259" s="1" t="n"/>
      <c r="AA259" s="1" t="n"/>
      <c r="AB259" s="145" t="n"/>
      <c r="AC259" s="145" t="n"/>
      <c r="AD259" s="145" t="n"/>
      <c r="AE259" s="145" t="n"/>
      <c r="AF259" s="1" t="n"/>
      <c r="AG259" s="1" t="n"/>
      <c r="AH259" s="1" t="n"/>
      <c r="AI259" s="1" t="n"/>
      <c r="AJ259" s="1" t="n"/>
      <c r="AK259" s="1" t="n"/>
    </row>
    <row r="260" ht="15.75" customHeight="1" s="311">
      <c r="A260" s="145" t="n"/>
      <c r="B260" s="145" t="n"/>
      <c r="C260" s="145"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 t="n"/>
      <c r="X260" s="1" t="n"/>
      <c r="Y260" s="1" t="n"/>
      <c r="Z260" s="1" t="n"/>
      <c r="AA260" s="1" t="n"/>
      <c r="AB260" s="145" t="n"/>
      <c r="AC260" s="145" t="n"/>
      <c r="AD260" s="145" t="n"/>
      <c r="AE260" s="145" t="n"/>
      <c r="AF260" s="1" t="n"/>
      <c r="AG260" s="1" t="n"/>
      <c r="AH260" s="1" t="n"/>
      <c r="AI260" s="1" t="n"/>
      <c r="AJ260" s="1" t="n"/>
      <c r="AK260" s="1" t="n"/>
    </row>
    <row r="261" ht="15.75" customHeight="1" s="311">
      <c r="A261" s="145" t="n"/>
      <c r="B261" s="145" t="n"/>
      <c r="C261" s="145"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 t="n"/>
      <c r="X261" s="1" t="n"/>
      <c r="Y261" s="1" t="n"/>
      <c r="Z261" s="1" t="n"/>
      <c r="AA261" s="1" t="n"/>
      <c r="AB261" s="145" t="n"/>
      <c r="AC261" s="145" t="n"/>
      <c r="AD261" s="145" t="n"/>
      <c r="AE261" s="145" t="n"/>
      <c r="AF261" s="1" t="n"/>
      <c r="AG261" s="1" t="n"/>
      <c r="AH261" s="1" t="n"/>
      <c r="AI261" s="1" t="n"/>
      <c r="AJ261" s="1" t="n"/>
      <c r="AK261" s="1" t="n"/>
    </row>
    <row r="262" ht="15.75" customHeight="1" s="311">
      <c r="A262" s="145" t="n"/>
      <c r="B262" s="145" t="n"/>
      <c r="C262" s="145"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 t="n"/>
      <c r="X262" s="1" t="n"/>
      <c r="Y262" s="1" t="n"/>
      <c r="Z262" s="1" t="n"/>
      <c r="AA262" s="1" t="n"/>
      <c r="AB262" s="145" t="n"/>
      <c r="AC262" s="145" t="n"/>
      <c r="AD262" s="145" t="n"/>
      <c r="AE262" s="145" t="n"/>
      <c r="AF262" s="1" t="n"/>
      <c r="AG262" s="1" t="n"/>
      <c r="AH262" s="1" t="n"/>
      <c r="AI262" s="1" t="n"/>
      <c r="AJ262" s="1" t="n"/>
      <c r="AK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c r="AK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c r="AK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c r="AK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c r="AK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c r="AK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c r="AK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c r="AK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c r="AK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c r="AK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c r="AK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c r="AK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c r="AK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c r="AK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c r="AK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c r="AK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c r="AK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c r="AK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c r="AK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c r="AK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c r="AK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c r="AK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c r="AK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c r="AK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c r="AK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c r="AK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c r="AK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c r="AK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c r="AK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c r="AK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c r="AK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c r="AK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c r="AK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c r="AK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c r="AK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c r="AK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c r="AK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c r="AK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c r="AK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c r="AK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c r="AK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c r="AK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c r="AK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c r="AK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c r="AK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c r="AK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c r="AK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c r="AK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c r="AK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c r="AK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c r="AK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c r="AK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c r="AK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c r="AK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c r="AK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c r="AK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c r="AK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c r="AK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c r="AK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c r="AK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c r="AK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c r="AK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c r="AK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c r="AK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c r="AK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c r="AK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c r="AK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c r="AK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c r="AK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c r="AK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c r="AK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c r="AK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c r="AK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c r="AK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c r="AK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c r="AK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c r="AK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c r="AK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c r="AK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c r="AK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c r="AK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c r="AK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c r="AK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c r="AK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c r="AK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c r="AK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c r="AK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c r="AK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c r="AK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c r="AK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c r="AK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c r="AK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c r="AK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c r="AK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c r="AK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c r="AK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c r="AK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c r="AK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c r="AK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c r="AK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c r="AK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c r="AK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c r="AK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c r="AK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c r="AK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c r="AK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c r="AK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c r="AK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c r="AK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c r="AK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c r="AK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c r="AK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c r="AK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c r="AK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c r="AK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c r="AK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c r="AK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c r="AK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c r="AK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c r="AK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c r="AK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c r="AK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c r="AK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c r="AK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c r="AK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c r="AK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c r="AK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c r="AK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c r="AK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c r="AK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c r="AK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c r="AK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c r="AK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c r="AK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c r="AK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c r="AK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c r="AK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c r="AK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c r="AK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c r="AK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c r="AK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c r="AK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c r="AK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c r="AK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c r="AK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c r="AK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c r="AK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c r="AK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c r="AK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c r="AK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c r="AK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c r="AK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c r="AK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c r="AK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c r="AK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c r="AK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c r="AK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c r="AK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c r="AK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c r="AK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c r="AK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c r="AK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c r="AK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c r="AK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c r="AK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c r="AK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c r="AK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c r="AK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c r="AK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c r="AK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c r="AK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c r="AK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c r="AK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c r="AK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c r="AK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c r="AK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c r="AK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c r="AK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c r="AK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c r="AK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c r="AK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c r="AK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c r="AK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c r="AK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c r="AK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c r="AK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c r="AK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c r="AK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c r="AK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c r="AK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c r="AK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c r="AK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c r="AK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c r="AK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c r="AK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c r="AK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c r="AK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c r="AK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c r="AK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c r="AK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c r="AK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c r="AK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c r="AK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c r="AK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c r="AK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c r="AK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c r="AK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c r="AK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c r="AK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c r="AK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c r="AK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c r="AK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c r="AK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c r="AK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c r="AK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c r="AK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c r="AK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c r="AK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c r="AK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c r="AK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c r="AK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c r="AK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c r="AK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c r="AK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c r="AK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c r="AK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c r="AK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c r="AK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c r="AK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c r="AK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c r="AK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c r="AK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c r="AK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c r="AK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c r="AK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c r="AK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c r="AK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c r="AK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c r="AK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c r="AK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c r="AK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c r="AK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c r="AK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c r="AK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c r="AK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c r="AK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c r="AK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c r="AK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c r="AK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c r="AK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c r="AK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c r="AK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c r="AK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c r="AK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c r="AK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c r="AK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c r="AK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c r="AK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c r="AK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c r="AK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c r="AK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c r="AK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c r="AK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c r="AK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c r="AK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c r="AK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c r="AK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c r="AK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c r="AK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c r="AK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c r="AK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c r="AK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c r="AK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c r="AK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c r="AK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c r="AK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c r="AK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c r="AK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c r="AK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c r="AK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c r="AK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c r="AK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c r="AK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c r="AK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c r="AK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c r="AK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c r="AK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c r="AK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c r="AK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c r="AK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c r="AK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c r="AK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c r="AK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c r="AK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c r="AK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c r="AK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c r="AK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c r="AK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c r="AK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c r="AK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c r="AK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c r="AK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c r="AK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c r="AK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c r="AK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c r="AK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c r="AK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c r="AK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c r="AK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c r="AK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c r="AK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c r="AK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c r="AK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c r="AK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c r="AK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c r="AK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c r="AK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c r="AK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c r="AK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c r="AK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c r="AK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c r="AK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c r="AA638" s="1" t="n"/>
      <c r="AB638" s="1" t="n"/>
      <c r="AC638" s="1" t="n"/>
      <c r="AD638" s="1" t="n"/>
      <c r="AE638" s="1" t="n"/>
      <c r="AF638" s="1" t="n"/>
      <c r="AG638" s="1" t="n"/>
      <c r="AH638" s="1" t="n"/>
      <c r="AI638" s="1" t="n"/>
      <c r="AJ638" s="1" t="n"/>
      <c r="AK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c r="AA639" s="1" t="n"/>
      <c r="AB639" s="1" t="n"/>
      <c r="AC639" s="1" t="n"/>
      <c r="AD639" s="1" t="n"/>
      <c r="AE639" s="1" t="n"/>
      <c r="AF639" s="1" t="n"/>
      <c r="AG639" s="1" t="n"/>
      <c r="AH639" s="1" t="n"/>
      <c r="AI639" s="1" t="n"/>
      <c r="AJ639" s="1" t="n"/>
      <c r="AK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c r="AA640" s="1" t="n"/>
      <c r="AB640" s="1" t="n"/>
      <c r="AC640" s="1" t="n"/>
      <c r="AD640" s="1" t="n"/>
      <c r="AE640" s="1" t="n"/>
      <c r="AF640" s="1" t="n"/>
      <c r="AG640" s="1" t="n"/>
      <c r="AH640" s="1" t="n"/>
      <c r="AI640" s="1" t="n"/>
      <c r="AJ640" s="1" t="n"/>
      <c r="AK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c r="AA641" s="1" t="n"/>
      <c r="AB641" s="1" t="n"/>
      <c r="AC641" s="1" t="n"/>
      <c r="AD641" s="1" t="n"/>
      <c r="AE641" s="1" t="n"/>
      <c r="AF641" s="1" t="n"/>
      <c r="AG641" s="1" t="n"/>
      <c r="AH641" s="1" t="n"/>
      <c r="AI641" s="1" t="n"/>
      <c r="AJ641" s="1" t="n"/>
      <c r="AK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c r="AA642" s="1" t="n"/>
      <c r="AB642" s="1" t="n"/>
      <c r="AC642" s="1" t="n"/>
      <c r="AD642" s="1" t="n"/>
      <c r="AE642" s="1" t="n"/>
      <c r="AF642" s="1" t="n"/>
      <c r="AG642" s="1" t="n"/>
      <c r="AH642" s="1" t="n"/>
      <c r="AI642" s="1" t="n"/>
      <c r="AJ642" s="1" t="n"/>
      <c r="AK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c r="AA643" s="1" t="n"/>
      <c r="AB643" s="1" t="n"/>
      <c r="AC643" s="1" t="n"/>
      <c r="AD643" s="1" t="n"/>
      <c r="AE643" s="1" t="n"/>
      <c r="AF643" s="1" t="n"/>
      <c r="AG643" s="1" t="n"/>
      <c r="AH643" s="1" t="n"/>
      <c r="AI643" s="1" t="n"/>
      <c r="AJ643" s="1" t="n"/>
      <c r="AK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c r="AA644" s="1" t="n"/>
      <c r="AB644" s="1" t="n"/>
      <c r="AC644" s="1" t="n"/>
      <c r="AD644" s="1" t="n"/>
      <c r="AE644" s="1" t="n"/>
      <c r="AF644" s="1" t="n"/>
      <c r="AG644" s="1" t="n"/>
      <c r="AH644" s="1" t="n"/>
      <c r="AI644" s="1" t="n"/>
      <c r="AJ644" s="1" t="n"/>
      <c r="AK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c r="AA645" s="1" t="n"/>
      <c r="AB645" s="1" t="n"/>
      <c r="AC645" s="1" t="n"/>
      <c r="AD645" s="1" t="n"/>
      <c r="AE645" s="1" t="n"/>
      <c r="AF645" s="1" t="n"/>
      <c r="AG645" s="1" t="n"/>
      <c r="AH645" s="1" t="n"/>
      <c r="AI645" s="1" t="n"/>
      <c r="AJ645" s="1" t="n"/>
      <c r="AK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c r="AA646" s="1" t="n"/>
      <c r="AB646" s="1" t="n"/>
      <c r="AC646" s="1" t="n"/>
      <c r="AD646" s="1" t="n"/>
      <c r="AE646" s="1" t="n"/>
      <c r="AF646" s="1" t="n"/>
      <c r="AG646" s="1" t="n"/>
      <c r="AH646" s="1" t="n"/>
      <c r="AI646" s="1" t="n"/>
      <c r="AJ646" s="1" t="n"/>
      <c r="AK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c r="AA647" s="1" t="n"/>
      <c r="AB647" s="1" t="n"/>
      <c r="AC647" s="1" t="n"/>
      <c r="AD647" s="1" t="n"/>
      <c r="AE647" s="1" t="n"/>
      <c r="AF647" s="1" t="n"/>
      <c r="AG647" s="1" t="n"/>
      <c r="AH647" s="1" t="n"/>
      <c r="AI647" s="1" t="n"/>
      <c r="AJ647" s="1" t="n"/>
      <c r="AK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c r="AA648" s="1" t="n"/>
      <c r="AB648" s="1" t="n"/>
      <c r="AC648" s="1" t="n"/>
      <c r="AD648" s="1" t="n"/>
      <c r="AE648" s="1" t="n"/>
      <c r="AF648" s="1" t="n"/>
      <c r="AG648" s="1" t="n"/>
      <c r="AH648" s="1" t="n"/>
      <c r="AI648" s="1" t="n"/>
      <c r="AJ648" s="1" t="n"/>
      <c r="AK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c r="AA649" s="1" t="n"/>
      <c r="AB649" s="1" t="n"/>
      <c r="AC649" s="1" t="n"/>
      <c r="AD649" s="1" t="n"/>
      <c r="AE649" s="1" t="n"/>
      <c r="AF649" s="1" t="n"/>
      <c r="AG649" s="1" t="n"/>
      <c r="AH649" s="1" t="n"/>
      <c r="AI649" s="1" t="n"/>
      <c r="AJ649" s="1" t="n"/>
      <c r="AK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c r="AA650" s="1" t="n"/>
      <c r="AB650" s="1" t="n"/>
      <c r="AC650" s="1" t="n"/>
      <c r="AD650" s="1" t="n"/>
      <c r="AE650" s="1" t="n"/>
      <c r="AF650" s="1" t="n"/>
      <c r="AG650" s="1" t="n"/>
      <c r="AH650" s="1" t="n"/>
      <c r="AI650" s="1" t="n"/>
      <c r="AJ650" s="1" t="n"/>
      <c r="AK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c r="AA651" s="1" t="n"/>
      <c r="AB651" s="1" t="n"/>
      <c r="AC651" s="1" t="n"/>
      <c r="AD651" s="1" t="n"/>
      <c r="AE651" s="1" t="n"/>
      <c r="AF651" s="1" t="n"/>
      <c r="AG651" s="1" t="n"/>
      <c r="AH651" s="1" t="n"/>
      <c r="AI651" s="1" t="n"/>
      <c r="AJ651" s="1" t="n"/>
      <c r="AK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c r="AA652" s="1" t="n"/>
      <c r="AB652" s="1" t="n"/>
      <c r="AC652" s="1" t="n"/>
      <c r="AD652" s="1" t="n"/>
      <c r="AE652" s="1" t="n"/>
      <c r="AF652" s="1" t="n"/>
      <c r="AG652" s="1" t="n"/>
      <c r="AH652" s="1" t="n"/>
      <c r="AI652" s="1" t="n"/>
      <c r="AJ652" s="1" t="n"/>
      <c r="AK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c r="AA653" s="1" t="n"/>
      <c r="AB653" s="1" t="n"/>
      <c r="AC653" s="1" t="n"/>
      <c r="AD653" s="1" t="n"/>
      <c r="AE653" s="1" t="n"/>
      <c r="AF653" s="1" t="n"/>
      <c r="AG653" s="1" t="n"/>
      <c r="AH653" s="1" t="n"/>
      <c r="AI653" s="1" t="n"/>
      <c r="AJ653" s="1" t="n"/>
      <c r="AK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c r="AA654" s="1" t="n"/>
      <c r="AB654" s="1" t="n"/>
      <c r="AC654" s="1" t="n"/>
      <c r="AD654" s="1" t="n"/>
      <c r="AE654" s="1" t="n"/>
      <c r="AF654" s="1" t="n"/>
      <c r="AG654" s="1" t="n"/>
      <c r="AH654" s="1" t="n"/>
      <c r="AI654" s="1" t="n"/>
      <c r="AJ654" s="1" t="n"/>
      <c r="AK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c r="AA655" s="1" t="n"/>
      <c r="AB655" s="1" t="n"/>
      <c r="AC655" s="1" t="n"/>
      <c r="AD655" s="1" t="n"/>
      <c r="AE655" s="1" t="n"/>
      <c r="AF655" s="1" t="n"/>
      <c r="AG655" s="1" t="n"/>
      <c r="AH655" s="1" t="n"/>
      <c r="AI655" s="1" t="n"/>
      <c r="AJ655" s="1" t="n"/>
      <c r="AK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c r="AA656" s="1" t="n"/>
      <c r="AB656" s="1" t="n"/>
      <c r="AC656" s="1" t="n"/>
      <c r="AD656" s="1" t="n"/>
      <c r="AE656" s="1" t="n"/>
      <c r="AF656" s="1" t="n"/>
      <c r="AG656" s="1" t="n"/>
      <c r="AH656" s="1" t="n"/>
      <c r="AI656" s="1" t="n"/>
      <c r="AJ656" s="1" t="n"/>
      <c r="AK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c r="AA657" s="1" t="n"/>
      <c r="AB657" s="1" t="n"/>
      <c r="AC657" s="1" t="n"/>
      <c r="AD657" s="1" t="n"/>
      <c r="AE657" s="1" t="n"/>
      <c r="AF657" s="1" t="n"/>
      <c r="AG657" s="1" t="n"/>
      <c r="AH657" s="1" t="n"/>
      <c r="AI657" s="1" t="n"/>
      <c r="AJ657" s="1" t="n"/>
      <c r="AK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c r="AA658" s="1" t="n"/>
      <c r="AB658" s="1" t="n"/>
      <c r="AC658" s="1" t="n"/>
      <c r="AD658" s="1" t="n"/>
      <c r="AE658" s="1" t="n"/>
      <c r="AF658" s="1" t="n"/>
      <c r="AG658" s="1" t="n"/>
      <c r="AH658" s="1" t="n"/>
      <c r="AI658" s="1" t="n"/>
      <c r="AJ658" s="1" t="n"/>
      <c r="AK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c r="AA659" s="1" t="n"/>
      <c r="AB659" s="1" t="n"/>
      <c r="AC659" s="1" t="n"/>
      <c r="AD659" s="1" t="n"/>
      <c r="AE659" s="1" t="n"/>
      <c r="AF659" s="1" t="n"/>
      <c r="AG659" s="1" t="n"/>
      <c r="AH659" s="1" t="n"/>
      <c r="AI659" s="1" t="n"/>
      <c r="AJ659" s="1" t="n"/>
      <c r="AK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c r="AA660" s="1" t="n"/>
      <c r="AB660" s="1" t="n"/>
      <c r="AC660" s="1" t="n"/>
      <c r="AD660" s="1" t="n"/>
      <c r="AE660" s="1" t="n"/>
      <c r="AF660" s="1" t="n"/>
      <c r="AG660" s="1" t="n"/>
      <c r="AH660" s="1" t="n"/>
      <c r="AI660" s="1" t="n"/>
      <c r="AJ660" s="1" t="n"/>
      <c r="AK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c r="AA661" s="1" t="n"/>
      <c r="AB661" s="1" t="n"/>
      <c r="AC661" s="1" t="n"/>
      <c r="AD661" s="1" t="n"/>
      <c r="AE661" s="1" t="n"/>
      <c r="AF661" s="1" t="n"/>
      <c r="AG661" s="1" t="n"/>
      <c r="AH661" s="1" t="n"/>
      <c r="AI661" s="1" t="n"/>
      <c r="AJ661" s="1" t="n"/>
      <c r="AK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c r="AA662" s="1" t="n"/>
      <c r="AB662" s="1" t="n"/>
      <c r="AC662" s="1" t="n"/>
      <c r="AD662" s="1" t="n"/>
      <c r="AE662" s="1" t="n"/>
      <c r="AF662" s="1" t="n"/>
      <c r="AG662" s="1" t="n"/>
      <c r="AH662" s="1" t="n"/>
      <c r="AI662" s="1" t="n"/>
      <c r="AJ662" s="1" t="n"/>
      <c r="AK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c r="AA663" s="1" t="n"/>
      <c r="AB663" s="1" t="n"/>
      <c r="AC663" s="1" t="n"/>
      <c r="AD663" s="1" t="n"/>
      <c r="AE663" s="1" t="n"/>
      <c r="AF663" s="1" t="n"/>
      <c r="AG663" s="1" t="n"/>
      <c r="AH663" s="1" t="n"/>
      <c r="AI663" s="1" t="n"/>
      <c r="AJ663" s="1" t="n"/>
      <c r="AK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c r="AA664" s="1" t="n"/>
      <c r="AB664" s="1" t="n"/>
      <c r="AC664" s="1" t="n"/>
      <c r="AD664" s="1" t="n"/>
      <c r="AE664" s="1" t="n"/>
      <c r="AF664" s="1" t="n"/>
      <c r="AG664" s="1" t="n"/>
      <c r="AH664" s="1" t="n"/>
      <c r="AI664" s="1" t="n"/>
      <c r="AJ664" s="1" t="n"/>
      <c r="AK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c r="AA665" s="1" t="n"/>
      <c r="AB665" s="1" t="n"/>
      <c r="AC665" s="1" t="n"/>
      <c r="AD665" s="1" t="n"/>
      <c r="AE665" s="1" t="n"/>
      <c r="AF665" s="1" t="n"/>
      <c r="AG665" s="1" t="n"/>
      <c r="AH665" s="1" t="n"/>
      <c r="AI665" s="1" t="n"/>
      <c r="AJ665" s="1" t="n"/>
      <c r="AK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c r="AA666" s="1" t="n"/>
      <c r="AB666" s="1" t="n"/>
      <c r="AC666" s="1" t="n"/>
      <c r="AD666" s="1" t="n"/>
      <c r="AE666" s="1" t="n"/>
      <c r="AF666" s="1" t="n"/>
      <c r="AG666" s="1" t="n"/>
      <c r="AH666" s="1" t="n"/>
      <c r="AI666" s="1" t="n"/>
      <c r="AJ666" s="1" t="n"/>
      <c r="AK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c r="AA667" s="1" t="n"/>
      <c r="AB667" s="1" t="n"/>
      <c r="AC667" s="1" t="n"/>
      <c r="AD667" s="1" t="n"/>
      <c r="AE667" s="1" t="n"/>
      <c r="AF667" s="1" t="n"/>
      <c r="AG667" s="1" t="n"/>
      <c r="AH667" s="1" t="n"/>
      <c r="AI667" s="1" t="n"/>
      <c r="AJ667" s="1" t="n"/>
      <c r="AK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c r="AA668" s="1" t="n"/>
      <c r="AB668" s="1" t="n"/>
      <c r="AC668" s="1" t="n"/>
      <c r="AD668" s="1" t="n"/>
      <c r="AE668" s="1" t="n"/>
      <c r="AF668" s="1" t="n"/>
      <c r="AG668" s="1" t="n"/>
      <c r="AH668" s="1" t="n"/>
      <c r="AI668" s="1" t="n"/>
      <c r="AJ668" s="1" t="n"/>
      <c r="AK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c r="AA669" s="1" t="n"/>
      <c r="AB669" s="1" t="n"/>
      <c r="AC669" s="1" t="n"/>
      <c r="AD669" s="1" t="n"/>
      <c r="AE669" s="1" t="n"/>
      <c r="AF669" s="1" t="n"/>
      <c r="AG669" s="1" t="n"/>
      <c r="AH669" s="1" t="n"/>
      <c r="AI669" s="1" t="n"/>
      <c r="AJ669" s="1" t="n"/>
      <c r="AK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c r="AA670" s="1" t="n"/>
      <c r="AB670" s="1" t="n"/>
      <c r="AC670" s="1" t="n"/>
      <c r="AD670" s="1" t="n"/>
      <c r="AE670" s="1" t="n"/>
      <c r="AF670" s="1" t="n"/>
      <c r="AG670" s="1" t="n"/>
      <c r="AH670" s="1" t="n"/>
      <c r="AI670" s="1" t="n"/>
      <c r="AJ670" s="1" t="n"/>
      <c r="AK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c r="AA671" s="1" t="n"/>
      <c r="AB671" s="1" t="n"/>
      <c r="AC671" s="1" t="n"/>
      <c r="AD671" s="1" t="n"/>
      <c r="AE671" s="1" t="n"/>
      <c r="AF671" s="1" t="n"/>
      <c r="AG671" s="1" t="n"/>
      <c r="AH671" s="1" t="n"/>
      <c r="AI671" s="1" t="n"/>
      <c r="AJ671" s="1" t="n"/>
      <c r="AK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c r="AA672" s="1" t="n"/>
      <c r="AB672" s="1" t="n"/>
      <c r="AC672" s="1" t="n"/>
      <c r="AD672" s="1" t="n"/>
      <c r="AE672" s="1" t="n"/>
      <c r="AF672" s="1" t="n"/>
      <c r="AG672" s="1" t="n"/>
      <c r="AH672" s="1" t="n"/>
      <c r="AI672" s="1" t="n"/>
      <c r="AJ672" s="1" t="n"/>
      <c r="AK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c r="AA673" s="1" t="n"/>
      <c r="AB673" s="1" t="n"/>
      <c r="AC673" s="1" t="n"/>
      <c r="AD673" s="1" t="n"/>
      <c r="AE673" s="1" t="n"/>
      <c r="AF673" s="1" t="n"/>
      <c r="AG673" s="1" t="n"/>
      <c r="AH673" s="1" t="n"/>
      <c r="AI673" s="1" t="n"/>
      <c r="AJ673" s="1" t="n"/>
      <c r="AK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c r="AA674" s="1" t="n"/>
      <c r="AB674" s="1" t="n"/>
      <c r="AC674" s="1" t="n"/>
      <c r="AD674" s="1" t="n"/>
      <c r="AE674" s="1" t="n"/>
      <c r="AF674" s="1" t="n"/>
      <c r="AG674" s="1" t="n"/>
      <c r="AH674" s="1" t="n"/>
      <c r="AI674" s="1" t="n"/>
      <c r="AJ674" s="1" t="n"/>
      <c r="AK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c r="AA675" s="1" t="n"/>
      <c r="AB675" s="1" t="n"/>
      <c r="AC675" s="1" t="n"/>
      <c r="AD675" s="1" t="n"/>
      <c r="AE675" s="1" t="n"/>
      <c r="AF675" s="1" t="n"/>
      <c r="AG675" s="1" t="n"/>
      <c r="AH675" s="1" t="n"/>
      <c r="AI675" s="1" t="n"/>
      <c r="AJ675" s="1" t="n"/>
      <c r="AK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c r="AA676" s="1" t="n"/>
      <c r="AB676" s="1" t="n"/>
      <c r="AC676" s="1" t="n"/>
      <c r="AD676" s="1" t="n"/>
      <c r="AE676" s="1" t="n"/>
      <c r="AF676" s="1" t="n"/>
      <c r="AG676" s="1" t="n"/>
      <c r="AH676" s="1" t="n"/>
      <c r="AI676" s="1" t="n"/>
      <c r="AJ676" s="1" t="n"/>
      <c r="AK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c r="AA677" s="1" t="n"/>
      <c r="AB677" s="1" t="n"/>
      <c r="AC677" s="1" t="n"/>
      <c r="AD677" s="1" t="n"/>
      <c r="AE677" s="1" t="n"/>
      <c r="AF677" s="1" t="n"/>
      <c r="AG677" s="1" t="n"/>
      <c r="AH677" s="1" t="n"/>
      <c r="AI677" s="1" t="n"/>
      <c r="AJ677" s="1" t="n"/>
      <c r="AK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c r="AA678" s="1" t="n"/>
      <c r="AB678" s="1" t="n"/>
      <c r="AC678" s="1" t="n"/>
      <c r="AD678" s="1" t="n"/>
      <c r="AE678" s="1" t="n"/>
      <c r="AF678" s="1" t="n"/>
      <c r="AG678" s="1" t="n"/>
      <c r="AH678" s="1" t="n"/>
      <c r="AI678" s="1" t="n"/>
      <c r="AJ678" s="1" t="n"/>
      <c r="AK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c r="AA679" s="1" t="n"/>
      <c r="AB679" s="1" t="n"/>
      <c r="AC679" s="1" t="n"/>
      <c r="AD679" s="1" t="n"/>
      <c r="AE679" s="1" t="n"/>
      <c r="AF679" s="1" t="n"/>
      <c r="AG679" s="1" t="n"/>
      <c r="AH679" s="1" t="n"/>
      <c r="AI679" s="1" t="n"/>
      <c r="AJ679" s="1" t="n"/>
      <c r="AK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c r="AA680" s="1" t="n"/>
      <c r="AB680" s="1" t="n"/>
      <c r="AC680" s="1" t="n"/>
      <c r="AD680" s="1" t="n"/>
      <c r="AE680" s="1" t="n"/>
      <c r="AF680" s="1" t="n"/>
      <c r="AG680" s="1" t="n"/>
      <c r="AH680" s="1" t="n"/>
      <c r="AI680" s="1" t="n"/>
      <c r="AJ680" s="1" t="n"/>
      <c r="AK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c r="AA681" s="1" t="n"/>
      <c r="AB681" s="1" t="n"/>
      <c r="AC681" s="1" t="n"/>
      <c r="AD681" s="1" t="n"/>
      <c r="AE681" s="1" t="n"/>
      <c r="AF681" s="1" t="n"/>
      <c r="AG681" s="1" t="n"/>
      <c r="AH681" s="1" t="n"/>
      <c r="AI681" s="1" t="n"/>
      <c r="AJ681" s="1" t="n"/>
      <c r="AK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c r="AA682" s="1" t="n"/>
      <c r="AB682" s="1" t="n"/>
      <c r="AC682" s="1" t="n"/>
      <c r="AD682" s="1" t="n"/>
      <c r="AE682" s="1" t="n"/>
      <c r="AF682" s="1" t="n"/>
      <c r="AG682" s="1" t="n"/>
      <c r="AH682" s="1" t="n"/>
      <c r="AI682" s="1" t="n"/>
      <c r="AJ682" s="1" t="n"/>
      <c r="AK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c r="AA683" s="1" t="n"/>
      <c r="AB683" s="1" t="n"/>
      <c r="AC683" s="1" t="n"/>
      <c r="AD683" s="1" t="n"/>
      <c r="AE683" s="1" t="n"/>
      <c r="AF683" s="1" t="n"/>
      <c r="AG683" s="1" t="n"/>
      <c r="AH683" s="1" t="n"/>
      <c r="AI683" s="1" t="n"/>
      <c r="AJ683" s="1" t="n"/>
      <c r="AK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c r="AA684" s="1" t="n"/>
      <c r="AB684" s="1" t="n"/>
      <c r="AC684" s="1" t="n"/>
      <c r="AD684" s="1" t="n"/>
      <c r="AE684" s="1" t="n"/>
      <c r="AF684" s="1" t="n"/>
      <c r="AG684" s="1" t="n"/>
      <c r="AH684" s="1" t="n"/>
      <c r="AI684" s="1" t="n"/>
      <c r="AJ684" s="1" t="n"/>
      <c r="AK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c r="AA685" s="1" t="n"/>
      <c r="AB685" s="1" t="n"/>
      <c r="AC685" s="1" t="n"/>
      <c r="AD685" s="1" t="n"/>
      <c r="AE685" s="1" t="n"/>
      <c r="AF685" s="1" t="n"/>
      <c r="AG685" s="1" t="n"/>
      <c r="AH685" s="1" t="n"/>
      <c r="AI685" s="1" t="n"/>
      <c r="AJ685" s="1" t="n"/>
      <c r="AK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c r="AA686" s="1" t="n"/>
      <c r="AB686" s="1" t="n"/>
      <c r="AC686" s="1" t="n"/>
      <c r="AD686" s="1" t="n"/>
      <c r="AE686" s="1" t="n"/>
      <c r="AF686" s="1" t="n"/>
      <c r="AG686" s="1" t="n"/>
      <c r="AH686" s="1" t="n"/>
      <c r="AI686" s="1" t="n"/>
      <c r="AJ686" s="1" t="n"/>
      <c r="AK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c r="AA687" s="1" t="n"/>
      <c r="AB687" s="1" t="n"/>
      <c r="AC687" s="1" t="n"/>
      <c r="AD687" s="1" t="n"/>
      <c r="AE687" s="1" t="n"/>
      <c r="AF687" s="1" t="n"/>
      <c r="AG687" s="1" t="n"/>
      <c r="AH687" s="1" t="n"/>
      <c r="AI687" s="1" t="n"/>
      <c r="AJ687" s="1" t="n"/>
      <c r="AK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c r="AA688" s="1" t="n"/>
      <c r="AB688" s="1" t="n"/>
      <c r="AC688" s="1" t="n"/>
      <c r="AD688" s="1" t="n"/>
      <c r="AE688" s="1" t="n"/>
      <c r="AF688" s="1" t="n"/>
      <c r="AG688" s="1" t="n"/>
      <c r="AH688" s="1" t="n"/>
      <c r="AI688" s="1" t="n"/>
      <c r="AJ688" s="1" t="n"/>
      <c r="AK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c r="AA689" s="1" t="n"/>
      <c r="AB689" s="1" t="n"/>
      <c r="AC689" s="1" t="n"/>
      <c r="AD689" s="1" t="n"/>
      <c r="AE689" s="1" t="n"/>
      <c r="AF689" s="1" t="n"/>
      <c r="AG689" s="1" t="n"/>
      <c r="AH689" s="1" t="n"/>
      <c r="AI689" s="1" t="n"/>
      <c r="AJ689" s="1" t="n"/>
      <c r="AK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c r="AA690" s="1" t="n"/>
      <c r="AB690" s="1" t="n"/>
      <c r="AC690" s="1" t="n"/>
      <c r="AD690" s="1" t="n"/>
      <c r="AE690" s="1" t="n"/>
      <c r="AF690" s="1" t="n"/>
      <c r="AG690" s="1" t="n"/>
      <c r="AH690" s="1" t="n"/>
      <c r="AI690" s="1" t="n"/>
      <c r="AJ690" s="1" t="n"/>
      <c r="AK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c r="AA691" s="1" t="n"/>
      <c r="AB691" s="1" t="n"/>
      <c r="AC691" s="1" t="n"/>
      <c r="AD691" s="1" t="n"/>
      <c r="AE691" s="1" t="n"/>
      <c r="AF691" s="1" t="n"/>
      <c r="AG691" s="1" t="n"/>
      <c r="AH691" s="1" t="n"/>
      <c r="AI691" s="1" t="n"/>
      <c r="AJ691" s="1" t="n"/>
      <c r="AK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c r="AA692" s="1" t="n"/>
      <c r="AB692" s="1" t="n"/>
      <c r="AC692" s="1" t="n"/>
      <c r="AD692" s="1" t="n"/>
      <c r="AE692" s="1" t="n"/>
      <c r="AF692" s="1" t="n"/>
      <c r="AG692" s="1" t="n"/>
      <c r="AH692" s="1" t="n"/>
      <c r="AI692" s="1" t="n"/>
      <c r="AJ692" s="1" t="n"/>
      <c r="AK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c r="AA693" s="1" t="n"/>
      <c r="AB693" s="1" t="n"/>
      <c r="AC693" s="1" t="n"/>
      <c r="AD693" s="1" t="n"/>
      <c r="AE693" s="1" t="n"/>
      <c r="AF693" s="1" t="n"/>
      <c r="AG693" s="1" t="n"/>
      <c r="AH693" s="1" t="n"/>
      <c r="AI693" s="1" t="n"/>
      <c r="AJ693" s="1" t="n"/>
      <c r="AK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c r="AA694" s="1" t="n"/>
      <c r="AB694" s="1" t="n"/>
      <c r="AC694" s="1" t="n"/>
      <c r="AD694" s="1" t="n"/>
      <c r="AE694" s="1" t="n"/>
      <c r="AF694" s="1" t="n"/>
      <c r="AG694" s="1" t="n"/>
      <c r="AH694" s="1" t="n"/>
      <c r="AI694" s="1" t="n"/>
      <c r="AJ694" s="1" t="n"/>
      <c r="AK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c r="AA695" s="1" t="n"/>
      <c r="AB695" s="1" t="n"/>
      <c r="AC695" s="1" t="n"/>
      <c r="AD695" s="1" t="n"/>
      <c r="AE695" s="1" t="n"/>
      <c r="AF695" s="1" t="n"/>
      <c r="AG695" s="1" t="n"/>
      <c r="AH695" s="1" t="n"/>
      <c r="AI695" s="1" t="n"/>
      <c r="AJ695" s="1" t="n"/>
      <c r="AK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c r="AA696" s="1" t="n"/>
      <c r="AB696" s="1" t="n"/>
      <c r="AC696" s="1" t="n"/>
      <c r="AD696" s="1" t="n"/>
      <c r="AE696" s="1" t="n"/>
      <c r="AF696" s="1" t="n"/>
      <c r="AG696" s="1" t="n"/>
      <c r="AH696" s="1" t="n"/>
      <c r="AI696" s="1" t="n"/>
      <c r="AJ696" s="1" t="n"/>
      <c r="AK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c r="AA697" s="1" t="n"/>
      <c r="AB697" s="1" t="n"/>
      <c r="AC697" s="1" t="n"/>
      <c r="AD697" s="1" t="n"/>
      <c r="AE697" s="1" t="n"/>
      <c r="AF697" s="1" t="n"/>
      <c r="AG697" s="1" t="n"/>
      <c r="AH697" s="1" t="n"/>
      <c r="AI697" s="1" t="n"/>
      <c r="AJ697" s="1" t="n"/>
      <c r="AK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c r="AA698" s="1" t="n"/>
      <c r="AB698" s="1" t="n"/>
      <c r="AC698" s="1" t="n"/>
      <c r="AD698" s="1" t="n"/>
      <c r="AE698" s="1" t="n"/>
      <c r="AF698" s="1" t="n"/>
      <c r="AG698" s="1" t="n"/>
      <c r="AH698" s="1" t="n"/>
      <c r="AI698" s="1" t="n"/>
      <c r="AJ698" s="1" t="n"/>
      <c r="AK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c r="AA699" s="1" t="n"/>
      <c r="AB699" s="1" t="n"/>
      <c r="AC699" s="1" t="n"/>
      <c r="AD699" s="1" t="n"/>
      <c r="AE699" s="1" t="n"/>
      <c r="AF699" s="1" t="n"/>
      <c r="AG699" s="1" t="n"/>
      <c r="AH699" s="1" t="n"/>
      <c r="AI699" s="1" t="n"/>
      <c r="AJ699" s="1" t="n"/>
      <c r="AK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c r="AA700" s="1" t="n"/>
      <c r="AB700" s="1" t="n"/>
      <c r="AC700" s="1" t="n"/>
      <c r="AD700" s="1" t="n"/>
      <c r="AE700" s="1" t="n"/>
      <c r="AF700" s="1" t="n"/>
      <c r="AG700" s="1" t="n"/>
      <c r="AH700" s="1" t="n"/>
      <c r="AI700" s="1" t="n"/>
      <c r="AJ700" s="1" t="n"/>
      <c r="AK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c r="AA701" s="1" t="n"/>
      <c r="AB701" s="1" t="n"/>
      <c r="AC701" s="1" t="n"/>
      <c r="AD701" s="1" t="n"/>
      <c r="AE701" s="1" t="n"/>
      <c r="AF701" s="1" t="n"/>
      <c r="AG701" s="1" t="n"/>
      <c r="AH701" s="1" t="n"/>
      <c r="AI701" s="1" t="n"/>
      <c r="AJ701" s="1" t="n"/>
      <c r="AK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c r="AA702" s="1" t="n"/>
      <c r="AB702" s="1" t="n"/>
      <c r="AC702" s="1" t="n"/>
      <c r="AD702" s="1" t="n"/>
      <c r="AE702" s="1" t="n"/>
      <c r="AF702" s="1" t="n"/>
      <c r="AG702" s="1" t="n"/>
      <c r="AH702" s="1" t="n"/>
      <c r="AI702" s="1" t="n"/>
      <c r="AJ702" s="1" t="n"/>
      <c r="AK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c r="AA703" s="1" t="n"/>
      <c r="AB703" s="1" t="n"/>
      <c r="AC703" s="1" t="n"/>
      <c r="AD703" s="1" t="n"/>
      <c r="AE703" s="1" t="n"/>
      <c r="AF703" s="1" t="n"/>
      <c r="AG703" s="1" t="n"/>
      <c r="AH703" s="1" t="n"/>
      <c r="AI703" s="1" t="n"/>
      <c r="AJ703" s="1" t="n"/>
      <c r="AK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c r="AA704" s="1" t="n"/>
      <c r="AB704" s="1" t="n"/>
      <c r="AC704" s="1" t="n"/>
      <c r="AD704" s="1" t="n"/>
      <c r="AE704" s="1" t="n"/>
      <c r="AF704" s="1" t="n"/>
      <c r="AG704" s="1" t="n"/>
      <c r="AH704" s="1" t="n"/>
      <c r="AI704" s="1" t="n"/>
      <c r="AJ704" s="1" t="n"/>
      <c r="AK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c r="AA705" s="1" t="n"/>
      <c r="AB705" s="1" t="n"/>
      <c r="AC705" s="1" t="n"/>
      <c r="AD705" s="1" t="n"/>
      <c r="AE705" s="1" t="n"/>
      <c r="AF705" s="1" t="n"/>
      <c r="AG705" s="1" t="n"/>
      <c r="AH705" s="1" t="n"/>
      <c r="AI705" s="1" t="n"/>
      <c r="AJ705" s="1" t="n"/>
      <c r="AK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c r="AA706" s="1" t="n"/>
      <c r="AB706" s="1" t="n"/>
      <c r="AC706" s="1" t="n"/>
      <c r="AD706" s="1" t="n"/>
      <c r="AE706" s="1" t="n"/>
      <c r="AF706" s="1" t="n"/>
      <c r="AG706" s="1" t="n"/>
      <c r="AH706" s="1" t="n"/>
      <c r="AI706" s="1" t="n"/>
      <c r="AJ706" s="1" t="n"/>
      <c r="AK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c r="AA707" s="1" t="n"/>
      <c r="AB707" s="1" t="n"/>
      <c r="AC707" s="1" t="n"/>
      <c r="AD707" s="1" t="n"/>
      <c r="AE707" s="1" t="n"/>
      <c r="AF707" s="1" t="n"/>
      <c r="AG707" s="1" t="n"/>
      <c r="AH707" s="1" t="n"/>
      <c r="AI707" s="1" t="n"/>
      <c r="AJ707" s="1" t="n"/>
      <c r="AK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c r="AA708" s="1" t="n"/>
      <c r="AB708" s="1" t="n"/>
      <c r="AC708" s="1" t="n"/>
      <c r="AD708" s="1" t="n"/>
      <c r="AE708" s="1" t="n"/>
      <c r="AF708" s="1" t="n"/>
      <c r="AG708" s="1" t="n"/>
      <c r="AH708" s="1" t="n"/>
      <c r="AI708" s="1" t="n"/>
      <c r="AJ708" s="1" t="n"/>
      <c r="AK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c r="AA709" s="1" t="n"/>
      <c r="AB709" s="1" t="n"/>
      <c r="AC709" s="1" t="n"/>
      <c r="AD709" s="1" t="n"/>
      <c r="AE709" s="1" t="n"/>
      <c r="AF709" s="1" t="n"/>
      <c r="AG709" s="1" t="n"/>
      <c r="AH709" s="1" t="n"/>
      <c r="AI709" s="1" t="n"/>
      <c r="AJ709" s="1" t="n"/>
      <c r="AK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c r="AA710" s="1" t="n"/>
      <c r="AB710" s="1" t="n"/>
      <c r="AC710" s="1" t="n"/>
      <c r="AD710" s="1" t="n"/>
      <c r="AE710" s="1" t="n"/>
      <c r="AF710" s="1" t="n"/>
      <c r="AG710" s="1" t="n"/>
      <c r="AH710" s="1" t="n"/>
      <c r="AI710" s="1" t="n"/>
      <c r="AJ710" s="1" t="n"/>
      <c r="AK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c r="AA711" s="1" t="n"/>
      <c r="AB711" s="1" t="n"/>
      <c r="AC711" s="1" t="n"/>
      <c r="AD711" s="1" t="n"/>
      <c r="AE711" s="1" t="n"/>
      <c r="AF711" s="1" t="n"/>
      <c r="AG711" s="1" t="n"/>
      <c r="AH711" s="1" t="n"/>
      <c r="AI711" s="1" t="n"/>
      <c r="AJ711" s="1" t="n"/>
      <c r="AK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c r="AA712" s="1" t="n"/>
      <c r="AB712" s="1" t="n"/>
      <c r="AC712" s="1" t="n"/>
      <c r="AD712" s="1" t="n"/>
      <c r="AE712" s="1" t="n"/>
      <c r="AF712" s="1" t="n"/>
      <c r="AG712" s="1" t="n"/>
      <c r="AH712" s="1" t="n"/>
      <c r="AI712" s="1" t="n"/>
      <c r="AJ712" s="1" t="n"/>
      <c r="AK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c r="AA713" s="1" t="n"/>
      <c r="AB713" s="1" t="n"/>
      <c r="AC713" s="1" t="n"/>
      <c r="AD713" s="1" t="n"/>
      <c r="AE713" s="1" t="n"/>
      <c r="AF713" s="1" t="n"/>
      <c r="AG713" s="1" t="n"/>
      <c r="AH713" s="1" t="n"/>
      <c r="AI713" s="1" t="n"/>
      <c r="AJ713" s="1" t="n"/>
      <c r="AK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c r="AA714" s="1" t="n"/>
      <c r="AB714" s="1" t="n"/>
      <c r="AC714" s="1" t="n"/>
      <c r="AD714" s="1" t="n"/>
      <c r="AE714" s="1" t="n"/>
      <c r="AF714" s="1" t="n"/>
      <c r="AG714" s="1" t="n"/>
      <c r="AH714" s="1" t="n"/>
      <c r="AI714" s="1" t="n"/>
      <c r="AJ714" s="1" t="n"/>
      <c r="AK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c r="AA715" s="1" t="n"/>
      <c r="AB715" s="1" t="n"/>
      <c r="AC715" s="1" t="n"/>
      <c r="AD715" s="1" t="n"/>
      <c r="AE715" s="1" t="n"/>
      <c r="AF715" s="1" t="n"/>
      <c r="AG715" s="1" t="n"/>
      <c r="AH715" s="1" t="n"/>
      <c r="AI715" s="1" t="n"/>
      <c r="AJ715" s="1" t="n"/>
      <c r="AK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c r="AA716" s="1" t="n"/>
      <c r="AB716" s="1" t="n"/>
      <c r="AC716" s="1" t="n"/>
      <c r="AD716" s="1" t="n"/>
      <c r="AE716" s="1" t="n"/>
      <c r="AF716" s="1" t="n"/>
      <c r="AG716" s="1" t="n"/>
      <c r="AH716" s="1" t="n"/>
      <c r="AI716" s="1" t="n"/>
      <c r="AJ716" s="1" t="n"/>
      <c r="AK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c r="AA717" s="1" t="n"/>
      <c r="AB717" s="1" t="n"/>
      <c r="AC717" s="1" t="n"/>
      <c r="AD717" s="1" t="n"/>
      <c r="AE717" s="1" t="n"/>
      <c r="AF717" s="1" t="n"/>
      <c r="AG717" s="1" t="n"/>
      <c r="AH717" s="1" t="n"/>
      <c r="AI717" s="1" t="n"/>
      <c r="AJ717" s="1" t="n"/>
      <c r="AK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c r="AA718" s="1" t="n"/>
      <c r="AB718" s="1" t="n"/>
      <c r="AC718" s="1" t="n"/>
      <c r="AD718" s="1" t="n"/>
      <c r="AE718" s="1" t="n"/>
      <c r="AF718" s="1" t="n"/>
      <c r="AG718" s="1" t="n"/>
      <c r="AH718" s="1" t="n"/>
      <c r="AI718" s="1" t="n"/>
      <c r="AJ718" s="1" t="n"/>
      <c r="AK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c r="AA719" s="1" t="n"/>
      <c r="AB719" s="1" t="n"/>
      <c r="AC719" s="1" t="n"/>
      <c r="AD719" s="1" t="n"/>
      <c r="AE719" s="1" t="n"/>
      <c r="AF719" s="1" t="n"/>
      <c r="AG719" s="1" t="n"/>
      <c r="AH719" s="1" t="n"/>
      <c r="AI719" s="1" t="n"/>
      <c r="AJ719" s="1" t="n"/>
      <c r="AK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c r="AA720" s="1" t="n"/>
      <c r="AB720" s="1" t="n"/>
      <c r="AC720" s="1" t="n"/>
      <c r="AD720" s="1" t="n"/>
      <c r="AE720" s="1" t="n"/>
      <c r="AF720" s="1" t="n"/>
      <c r="AG720" s="1" t="n"/>
      <c r="AH720" s="1" t="n"/>
      <c r="AI720" s="1" t="n"/>
      <c r="AJ720" s="1" t="n"/>
      <c r="AK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c r="AA721" s="1" t="n"/>
      <c r="AB721" s="1" t="n"/>
      <c r="AC721" s="1" t="n"/>
      <c r="AD721" s="1" t="n"/>
      <c r="AE721" s="1" t="n"/>
      <c r="AF721" s="1" t="n"/>
      <c r="AG721" s="1" t="n"/>
      <c r="AH721" s="1" t="n"/>
      <c r="AI721" s="1" t="n"/>
      <c r="AJ721" s="1" t="n"/>
      <c r="AK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c r="AA722" s="1" t="n"/>
      <c r="AB722" s="1" t="n"/>
      <c r="AC722" s="1" t="n"/>
      <c r="AD722" s="1" t="n"/>
      <c r="AE722" s="1" t="n"/>
      <c r="AF722" s="1" t="n"/>
      <c r="AG722" s="1" t="n"/>
      <c r="AH722" s="1" t="n"/>
      <c r="AI722" s="1" t="n"/>
      <c r="AJ722" s="1" t="n"/>
      <c r="AK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c r="AA723" s="1" t="n"/>
      <c r="AB723" s="1" t="n"/>
      <c r="AC723" s="1" t="n"/>
      <c r="AD723" s="1" t="n"/>
      <c r="AE723" s="1" t="n"/>
      <c r="AF723" s="1" t="n"/>
      <c r="AG723" s="1" t="n"/>
      <c r="AH723" s="1" t="n"/>
      <c r="AI723" s="1" t="n"/>
      <c r="AJ723" s="1" t="n"/>
      <c r="AK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c r="AA724" s="1" t="n"/>
      <c r="AB724" s="1" t="n"/>
      <c r="AC724" s="1" t="n"/>
      <c r="AD724" s="1" t="n"/>
      <c r="AE724" s="1" t="n"/>
      <c r="AF724" s="1" t="n"/>
      <c r="AG724" s="1" t="n"/>
      <c r="AH724" s="1" t="n"/>
      <c r="AI724" s="1" t="n"/>
      <c r="AJ724" s="1" t="n"/>
      <c r="AK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c r="AA725" s="1" t="n"/>
      <c r="AB725" s="1" t="n"/>
      <c r="AC725" s="1" t="n"/>
      <c r="AD725" s="1" t="n"/>
      <c r="AE725" s="1" t="n"/>
      <c r="AF725" s="1" t="n"/>
      <c r="AG725" s="1" t="n"/>
      <c r="AH725" s="1" t="n"/>
      <c r="AI725" s="1" t="n"/>
      <c r="AJ725" s="1" t="n"/>
      <c r="AK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c r="AA726" s="1" t="n"/>
      <c r="AB726" s="1" t="n"/>
      <c r="AC726" s="1" t="n"/>
      <c r="AD726" s="1" t="n"/>
      <c r="AE726" s="1" t="n"/>
      <c r="AF726" s="1" t="n"/>
      <c r="AG726" s="1" t="n"/>
      <c r="AH726" s="1" t="n"/>
      <c r="AI726" s="1" t="n"/>
      <c r="AJ726" s="1" t="n"/>
      <c r="AK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c r="AA727" s="1" t="n"/>
      <c r="AB727" s="1" t="n"/>
      <c r="AC727" s="1" t="n"/>
      <c r="AD727" s="1" t="n"/>
      <c r="AE727" s="1" t="n"/>
      <c r="AF727" s="1" t="n"/>
      <c r="AG727" s="1" t="n"/>
      <c r="AH727" s="1" t="n"/>
      <c r="AI727" s="1" t="n"/>
      <c r="AJ727" s="1" t="n"/>
      <c r="AK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c r="AA728" s="1" t="n"/>
      <c r="AB728" s="1" t="n"/>
      <c r="AC728" s="1" t="n"/>
      <c r="AD728" s="1" t="n"/>
      <c r="AE728" s="1" t="n"/>
      <c r="AF728" s="1" t="n"/>
      <c r="AG728" s="1" t="n"/>
      <c r="AH728" s="1" t="n"/>
      <c r="AI728" s="1" t="n"/>
      <c r="AJ728" s="1" t="n"/>
      <c r="AK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c r="AA729" s="1" t="n"/>
      <c r="AB729" s="1" t="n"/>
      <c r="AC729" s="1" t="n"/>
      <c r="AD729" s="1" t="n"/>
      <c r="AE729" s="1" t="n"/>
      <c r="AF729" s="1" t="n"/>
      <c r="AG729" s="1" t="n"/>
      <c r="AH729" s="1" t="n"/>
      <c r="AI729" s="1" t="n"/>
      <c r="AJ729" s="1" t="n"/>
      <c r="AK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c r="AA730" s="1" t="n"/>
      <c r="AB730" s="1" t="n"/>
      <c r="AC730" s="1" t="n"/>
      <c r="AD730" s="1" t="n"/>
      <c r="AE730" s="1" t="n"/>
      <c r="AF730" s="1" t="n"/>
      <c r="AG730" s="1" t="n"/>
      <c r="AH730" s="1" t="n"/>
      <c r="AI730" s="1" t="n"/>
      <c r="AJ730" s="1" t="n"/>
      <c r="AK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c r="AA731" s="1" t="n"/>
      <c r="AB731" s="1" t="n"/>
      <c r="AC731" s="1" t="n"/>
      <c r="AD731" s="1" t="n"/>
      <c r="AE731" s="1" t="n"/>
      <c r="AF731" s="1" t="n"/>
      <c r="AG731" s="1" t="n"/>
      <c r="AH731" s="1" t="n"/>
      <c r="AI731" s="1" t="n"/>
      <c r="AJ731" s="1" t="n"/>
      <c r="AK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c r="AA732" s="1" t="n"/>
      <c r="AB732" s="1" t="n"/>
      <c r="AC732" s="1" t="n"/>
      <c r="AD732" s="1" t="n"/>
      <c r="AE732" s="1" t="n"/>
      <c r="AF732" s="1" t="n"/>
      <c r="AG732" s="1" t="n"/>
      <c r="AH732" s="1" t="n"/>
      <c r="AI732" s="1" t="n"/>
      <c r="AJ732" s="1" t="n"/>
      <c r="AK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c r="AA733" s="1" t="n"/>
      <c r="AB733" s="1" t="n"/>
      <c r="AC733" s="1" t="n"/>
      <c r="AD733" s="1" t="n"/>
      <c r="AE733" s="1" t="n"/>
      <c r="AF733" s="1" t="n"/>
      <c r="AG733" s="1" t="n"/>
      <c r="AH733" s="1" t="n"/>
      <c r="AI733" s="1" t="n"/>
      <c r="AJ733" s="1" t="n"/>
      <c r="AK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c r="AA734" s="1" t="n"/>
      <c r="AB734" s="1" t="n"/>
      <c r="AC734" s="1" t="n"/>
      <c r="AD734" s="1" t="n"/>
      <c r="AE734" s="1" t="n"/>
      <c r="AF734" s="1" t="n"/>
      <c r="AG734" s="1" t="n"/>
      <c r="AH734" s="1" t="n"/>
      <c r="AI734" s="1" t="n"/>
      <c r="AJ734" s="1" t="n"/>
      <c r="AK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c r="AA735" s="1" t="n"/>
      <c r="AB735" s="1" t="n"/>
      <c r="AC735" s="1" t="n"/>
      <c r="AD735" s="1" t="n"/>
      <c r="AE735" s="1" t="n"/>
      <c r="AF735" s="1" t="n"/>
      <c r="AG735" s="1" t="n"/>
      <c r="AH735" s="1" t="n"/>
      <c r="AI735" s="1" t="n"/>
      <c r="AJ735" s="1" t="n"/>
      <c r="AK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c r="AA736" s="1" t="n"/>
      <c r="AB736" s="1" t="n"/>
      <c r="AC736" s="1" t="n"/>
      <c r="AD736" s="1" t="n"/>
      <c r="AE736" s="1" t="n"/>
      <c r="AF736" s="1" t="n"/>
      <c r="AG736" s="1" t="n"/>
      <c r="AH736" s="1" t="n"/>
      <c r="AI736" s="1" t="n"/>
      <c r="AJ736" s="1" t="n"/>
      <c r="AK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c r="AA737" s="1" t="n"/>
      <c r="AB737" s="1" t="n"/>
      <c r="AC737" s="1" t="n"/>
      <c r="AD737" s="1" t="n"/>
      <c r="AE737" s="1" t="n"/>
      <c r="AF737" s="1" t="n"/>
      <c r="AG737" s="1" t="n"/>
      <c r="AH737" s="1" t="n"/>
      <c r="AI737" s="1" t="n"/>
      <c r="AJ737" s="1" t="n"/>
      <c r="AK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c r="AA738" s="1" t="n"/>
      <c r="AB738" s="1" t="n"/>
      <c r="AC738" s="1" t="n"/>
      <c r="AD738" s="1" t="n"/>
      <c r="AE738" s="1" t="n"/>
      <c r="AF738" s="1" t="n"/>
      <c r="AG738" s="1" t="n"/>
      <c r="AH738" s="1" t="n"/>
      <c r="AI738" s="1" t="n"/>
      <c r="AJ738" s="1" t="n"/>
      <c r="AK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c r="AA739" s="1" t="n"/>
      <c r="AB739" s="1" t="n"/>
      <c r="AC739" s="1" t="n"/>
      <c r="AD739" s="1" t="n"/>
      <c r="AE739" s="1" t="n"/>
      <c r="AF739" s="1" t="n"/>
      <c r="AG739" s="1" t="n"/>
      <c r="AH739" s="1" t="n"/>
      <c r="AI739" s="1" t="n"/>
      <c r="AJ739" s="1" t="n"/>
      <c r="AK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c r="AA740" s="1" t="n"/>
      <c r="AB740" s="1" t="n"/>
      <c r="AC740" s="1" t="n"/>
      <c r="AD740" s="1" t="n"/>
      <c r="AE740" s="1" t="n"/>
      <c r="AF740" s="1" t="n"/>
      <c r="AG740" s="1" t="n"/>
      <c r="AH740" s="1" t="n"/>
      <c r="AI740" s="1" t="n"/>
      <c r="AJ740" s="1" t="n"/>
      <c r="AK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c r="AA741" s="1" t="n"/>
      <c r="AB741" s="1" t="n"/>
      <c r="AC741" s="1" t="n"/>
      <c r="AD741" s="1" t="n"/>
      <c r="AE741" s="1" t="n"/>
      <c r="AF741" s="1" t="n"/>
      <c r="AG741" s="1" t="n"/>
      <c r="AH741" s="1" t="n"/>
      <c r="AI741" s="1" t="n"/>
      <c r="AJ741" s="1" t="n"/>
      <c r="AK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c r="AA742" s="1" t="n"/>
      <c r="AB742" s="1" t="n"/>
      <c r="AC742" s="1" t="n"/>
      <c r="AD742" s="1" t="n"/>
      <c r="AE742" s="1" t="n"/>
      <c r="AF742" s="1" t="n"/>
      <c r="AG742" s="1" t="n"/>
      <c r="AH742" s="1" t="n"/>
      <c r="AI742" s="1" t="n"/>
      <c r="AJ742" s="1" t="n"/>
      <c r="AK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c r="AA743" s="1" t="n"/>
      <c r="AB743" s="1" t="n"/>
      <c r="AC743" s="1" t="n"/>
      <c r="AD743" s="1" t="n"/>
      <c r="AE743" s="1" t="n"/>
      <c r="AF743" s="1" t="n"/>
      <c r="AG743" s="1" t="n"/>
      <c r="AH743" s="1" t="n"/>
      <c r="AI743" s="1" t="n"/>
      <c r="AJ743" s="1" t="n"/>
      <c r="AK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c r="AA744" s="1" t="n"/>
      <c r="AB744" s="1" t="n"/>
      <c r="AC744" s="1" t="n"/>
      <c r="AD744" s="1" t="n"/>
      <c r="AE744" s="1" t="n"/>
      <c r="AF744" s="1" t="n"/>
      <c r="AG744" s="1" t="n"/>
      <c r="AH744" s="1" t="n"/>
      <c r="AI744" s="1" t="n"/>
      <c r="AJ744" s="1" t="n"/>
      <c r="AK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c r="AA745" s="1" t="n"/>
      <c r="AB745" s="1" t="n"/>
      <c r="AC745" s="1" t="n"/>
      <c r="AD745" s="1" t="n"/>
      <c r="AE745" s="1" t="n"/>
      <c r="AF745" s="1" t="n"/>
      <c r="AG745" s="1" t="n"/>
      <c r="AH745" s="1" t="n"/>
      <c r="AI745" s="1" t="n"/>
      <c r="AJ745" s="1" t="n"/>
      <c r="AK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c r="AA746" s="1" t="n"/>
      <c r="AB746" s="1" t="n"/>
      <c r="AC746" s="1" t="n"/>
      <c r="AD746" s="1" t="n"/>
      <c r="AE746" s="1" t="n"/>
      <c r="AF746" s="1" t="n"/>
      <c r="AG746" s="1" t="n"/>
      <c r="AH746" s="1" t="n"/>
      <c r="AI746" s="1" t="n"/>
      <c r="AJ746" s="1" t="n"/>
      <c r="AK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c r="AA747" s="1" t="n"/>
      <c r="AB747" s="1" t="n"/>
      <c r="AC747" s="1" t="n"/>
      <c r="AD747" s="1" t="n"/>
      <c r="AE747" s="1" t="n"/>
      <c r="AF747" s="1" t="n"/>
      <c r="AG747" s="1" t="n"/>
      <c r="AH747" s="1" t="n"/>
      <c r="AI747" s="1" t="n"/>
      <c r="AJ747" s="1" t="n"/>
      <c r="AK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c r="AA748" s="1" t="n"/>
      <c r="AB748" s="1" t="n"/>
      <c r="AC748" s="1" t="n"/>
      <c r="AD748" s="1" t="n"/>
      <c r="AE748" s="1" t="n"/>
      <c r="AF748" s="1" t="n"/>
      <c r="AG748" s="1" t="n"/>
      <c r="AH748" s="1" t="n"/>
      <c r="AI748" s="1" t="n"/>
      <c r="AJ748" s="1" t="n"/>
      <c r="AK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c r="AA749" s="1" t="n"/>
      <c r="AB749" s="1" t="n"/>
      <c r="AC749" s="1" t="n"/>
      <c r="AD749" s="1" t="n"/>
      <c r="AE749" s="1" t="n"/>
      <c r="AF749" s="1" t="n"/>
      <c r="AG749" s="1" t="n"/>
      <c r="AH749" s="1" t="n"/>
      <c r="AI749" s="1" t="n"/>
      <c r="AJ749" s="1" t="n"/>
      <c r="AK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c r="AA750" s="1" t="n"/>
      <c r="AB750" s="1" t="n"/>
      <c r="AC750" s="1" t="n"/>
      <c r="AD750" s="1" t="n"/>
      <c r="AE750" s="1" t="n"/>
      <c r="AF750" s="1" t="n"/>
      <c r="AG750" s="1" t="n"/>
      <c r="AH750" s="1" t="n"/>
      <c r="AI750" s="1" t="n"/>
      <c r="AJ750" s="1" t="n"/>
      <c r="AK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c r="AA751" s="1" t="n"/>
      <c r="AB751" s="1" t="n"/>
      <c r="AC751" s="1" t="n"/>
      <c r="AD751" s="1" t="n"/>
      <c r="AE751" s="1" t="n"/>
      <c r="AF751" s="1" t="n"/>
      <c r="AG751" s="1" t="n"/>
      <c r="AH751" s="1" t="n"/>
      <c r="AI751" s="1" t="n"/>
      <c r="AJ751" s="1" t="n"/>
      <c r="AK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c r="AA752" s="1" t="n"/>
      <c r="AB752" s="1" t="n"/>
      <c r="AC752" s="1" t="n"/>
      <c r="AD752" s="1" t="n"/>
      <c r="AE752" s="1" t="n"/>
      <c r="AF752" s="1" t="n"/>
      <c r="AG752" s="1" t="n"/>
      <c r="AH752" s="1" t="n"/>
      <c r="AI752" s="1" t="n"/>
      <c r="AJ752" s="1" t="n"/>
      <c r="AK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c r="AA753" s="1" t="n"/>
      <c r="AB753" s="1" t="n"/>
      <c r="AC753" s="1" t="n"/>
      <c r="AD753" s="1" t="n"/>
      <c r="AE753" s="1" t="n"/>
      <c r="AF753" s="1" t="n"/>
      <c r="AG753" s="1" t="n"/>
      <c r="AH753" s="1" t="n"/>
      <c r="AI753" s="1" t="n"/>
      <c r="AJ753" s="1" t="n"/>
      <c r="AK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c r="AA754" s="1" t="n"/>
      <c r="AB754" s="1" t="n"/>
      <c r="AC754" s="1" t="n"/>
      <c r="AD754" s="1" t="n"/>
      <c r="AE754" s="1" t="n"/>
      <c r="AF754" s="1" t="n"/>
      <c r="AG754" s="1" t="n"/>
      <c r="AH754" s="1" t="n"/>
      <c r="AI754" s="1" t="n"/>
      <c r="AJ754" s="1" t="n"/>
      <c r="AK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c r="AA755" s="1" t="n"/>
      <c r="AB755" s="1" t="n"/>
      <c r="AC755" s="1" t="n"/>
      <c r="AD755" s="1" t="n"/>
      <c r="AE755" s="1" t="n"/>
      <c r="AF755" s="1" t="n"/>
      <c r="AG755" s="1" t="n"/>
      <c r="AH755" s="1" t="n"/>
      <c r="AI755" s="1" t="n"/>
      <c r="AJ755" s="1" t="n"/>
      <c r="AK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c r="AA756" s="1" t="n"/>
      <c r="AB756" s="1" t="n"/>
      <c r="AC756" s="1" t="n"/>
      <c r="AD756" s="1" t="n"/>
      <c r="AE756" s="1" t="n"/>
      <c r="AF756" s="1" t="n"/>
      <c r="AG756" s="1" t="n"/>
      <c r="AH756" s="1" t="n"/>
      <c r="AI756" s="1" t="n"/>
      <c r="AJ756" s="1" t="n"/>
      <c r="AK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c r="AA757" s="1" t="n"/>
      <c r="AB757" s="1" t="n"/>
      <c r="AC757" s="1" t="n"/>
      <c r="AD757" s="1" t="n"/>
      <c r="AE757" s="1" t="n"/>
      <c r="AF757" s="1" t="n"/>
      <c r="AG757" s="1" t="n"/>
      <c r="AH757" s="1" t="n"/>
      <c r="AI757" s="1" t="n"/>
      <c r="AJ757" s="1" t="n"/>
      <c r="AK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c r="AA758" s="1" t="n"/>
      <c r="AB758" s="1" t="n"/>
      <c r="AC758" s="1" t="n"/>
      <c r="AD758" s="1" t="n"/>
      <c r="AE758" s="1" t="n"/>
      <c r="AF758" s="1" t="n"/>
      <c r="AG758" s="1" t="n"/>
      <c r="AH758" s="1" t="n"/>
      <c r="AI758" s="1" t="n"/>
      <c r="AJ758" s="1" t="n"/>
      <c r="AK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c r="AA759" s="1" t="n"/>
      <c r="AB759" s="1" t="n"/>
      <c r="AC759" s="1" t="n"/>
      <c r="AD759" s="1" t="n"/>
      <c r="AE759" s="1" t="n"/>
      <c r="AF759" s="1" t="n"/>
      <c r="AG759" s="1" t="n"/>
      <c r="AH759" s="1" t="n"/>
      <c r="AI759" s="1" t="n"/>
      <c r="AJ759" s="1" t="n"/>
      <c r="AK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c r="AA760" s="1" t="n"/>
      <c r="AB760" s="1" t="n"/>
      <c r="AC760" s="1" t="n"/>
      <c r="AD760" s="1" t="n"/>
      <c r="AE760" s="1" t="n"/>
      <c r="AF760" s="1" t="n"/>
      <c r="AG760" s="1" t="n"/>
      <c r="AH760" s="1" t="n"/>
      <c r="AI760" s="1" t="n"/>
      <c r="AJ760" s="1" t="n"/>
      <c r="AK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c r="AA761" s="1" t="n"/>
      <c r="AB761" s="1" t="n"/>
      <c r="AC761" s="1" t="n"/>
      <c r="AD761" s="1" t="n"/>
      <c r="AE761" s="1" t="n"/>
      <c r="AF761" s="1" t="n"/>
      <c r="AG761" s="1" t="n"/>
      <c r="AH761" s="1" t="n"/>
      <c r="AI761" s="1" t="n"/>
      <c r="AJ761" s="1" t="n"/>
      <c r="AK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c r="AA762" s="1" t="n"/>
      <c r="AB762" s="1" t="n"/>
      <c r="AC762" s="1" t="n"/>
      <c r="AD762" s="1" t="n"/>
      <c r="AE762" s="1" t="n"/>
      <c r="AF762" s="1" t="n"/>
      <c r="AG762" s="1" t="n"/>
      <c r="AH762" s="1" t="n"/>
      <c r="AI762" s="1" t="n"/>
      <c r="AJ762" s="1" t="n"/>
      <c r="AK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c r="AA763" s="1" t="n"/>
      <c r="AB763" s="1" t="n"/>
      <c r="AC763" s="1" t="n"/>
      <c r="AD763" s="1" t="n"/>
      <c r="AE763" s="1" t="n"/>
      <c r="AF763" s="1" t="n"/>
      <c r="AG763" s="1" t="n"/>
      <c r="AH763" s="1" t="n"/>
      <c r="AI763" s="1" t="n"/>
      <c r="AJ763" s="1" t="n"/>
      <c r="AK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c r="AA764" s="1" t="n"/>
      <c r="AB764" s="1" t="n"/>
      <c r="AC764" s="1" t="n"/>
      <c r="AD764" s="1" t="n"/>
      <c r="AE764" s="1" t="n"/>
      <c r="AF764" s="1" t="n"/>
      <c r="AG764" s="1" t="n"/>
      <c r="AH764" s="1" t="n"/>
      <c r="AI764" s="1" t="n"/>
      <c r="AJ764" s="1" t="n"/>
      <c r="AK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c r="AA765" s="1" t="n"/>
      <c r="AB765" s="1" t="n"/>
      <c r="AC765" s="1" t="n"/>
      <c r="AD765" s="1" t="n"/>
      <c r="AE765" s="1" t="n"/>
      <c r="AF765" s="1" t="n"/>
      <c r="AG765" s="1" t="n"/>
      <c r="AH765" s="1" t="n"/>
      <c r="AI765" s="1" t="n"/>
      <c r="AJ765" s="1" t="n"/>
      <c r="AK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c r="AA766" s="1" t="n"/>
      <c r="AB766" s="1" t="n"/>
      <c r="AC766" s="1" t="n"/>
      <c r="AD766" s="1" t="n"/>
      <c r="AE766" s="1" t="n"/>
      <c r="AF766" s="1" t="n"/>
      <c r="AG766" s="1" t="n"/>
      <c r="AH766" s="1" t="n"/>
      <c r="AI766" s="1" t="n"/>
      <c r="AJ766" s="1" t="n"/>
      <c r="AK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c r="AA767" s="1" t="n"/>
      <c r="AB767" s="1" t="n"/>
      <c r="AC767" s="1" t="n"/>
      <c r="AD767" s="1" t="n"/>
      <c r="AE767" s="1" t="n"/>
      <c r="AF767" s="1" t="n"/>
      <c r="AG767" s="1" t="n"/>
      <c r="AH767" s="1" t="n"/>
      <c r="AI767" s="1" t="n"/>
      <c r="AJ767" s="1" t="n"/>
      <c r="AK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c r="AA768" s="1" t="n"/>
      <c r="AB768" s="1" t="n"/>
      <c r="AC768" s="1" t="n"/>
      <c r="AD768" s="1" t="n"/>
      <c r="AE768" s="1" t="n"/>
      <c r="AF768" s="1" t="n"/>
      <c r="AG768" s="1" t="n"/>
      <c r="AH768" s="1" t="n"/>
      <c r="AI768" s="1" t="n"/>
      <c r="AJ768" s="1" t="n"/>
      <c r="AK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c r="AA769" s="1" t="n"/>
      <c r="AB769" s="1" t="n"/>
      <c r="AC769" s="1" t="n"/>
      <c r="AD769" s="1" t="n"/>
      <c r="AE769" s="1" t="n"/>
      <c r="AF769" s="1" t="n"/>
      <c r="AG769" s="1" t="n"/>
      <c r="AH769" s="1" t="n"/>
      <c r="AI769" s="1" t="n"/>
      <c r="AJ769" s="1" t="n"/>
      <c r="AK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c r="AA770" s="1" t="n"/>
      <c r="AB770" s="1" t="n"/>
      <c r="AC770" s="1" t="n"/>
      <c r="AD770" s="1" t="n"/>
      <c r="AE770" s="1" t="n"/>
      <c r="AF770" s="1" t="n"/>
      <c r="AG770" s="1" t="n"/>
      <c r="AH770" s="1" t="n"/>
      <c r="AI770" s="1" t="n"/>
      <c r="AJ770" s="1" t="n"/>
      <c r="AK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c r="AA771" s="1" t="n"/>
      <c r="AB771" s="1" t="n"/>
      <c r="AC771" s="1" t="n"/>
      <c r="AD771" s="1" t="n"/>
      <c r="AE771" s="1" t="n"/>
      <c r="AF771" s="1" t="n"/>
      <c r="AG771" s="1" t="n"/>
      <c r="AH771" s="1" t="n"/>
      <c r="AI771" s="1" t="n"/>
      <c r="AJ771" s="1" t="n"/>
      <c r="AK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c r="AA772" s="1" t="n"/>
      <c r="AB772" s="1" t="n"/>
      <c r="AC772" s="1" t="n"/>
      <c r="AD772" s="1" t="n"/>
      <c r="AE772" s="1" t="n"/>
      <c r="AF772" s="1" t="n"/>
      <c r="AG772" s="1" t="n"/>
      <c r="AH772" s="1" t="n"/>
      <c r="AI772" s="1" t="n"/>
      <c r="AJ772" s="1" t="n"/>
      <c r="AK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c r="AA773" s="1" t="n"/>
      <c r="AB773" s="1" t="n"/>
      <c r="AC773" s="1" t="n"/>
      <c r="AD773" s="1" t="n"/>
      <c r="AE773" s="1" t="n"/>
      <c r="AF773" s="1" t="n"/>
      <c r="AG773" s="1" t="n"/>
      <c r="AH773" s="1" t="n"/>
      <c r="AI773" s="1" t="n"/>
      <c r="AJ773" s="1" t="n"/>
      <c r="AK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c r="AA774" s="1" t="n"/>
      <c r="AB774" s="1" t="n"/>
      <c r="AC774" s="1" t="n"/>
      <c r="AD774" s="1" t="n"/>
      <c r="AE774" s="1" t="n"/>
      <c r="AF774" s="1" t="n"/>
      <c r="AG774" s="1" t="n"/>
      <c r="AH774" s="1" t="n"/>
      <c r="AI774" s="1" t="n"/>
      <c r="AJ774" s="1" t="n"/>
      <c r="AK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c r="AA775" s="1" t="n"/>
      <c r="AB775" s="1" t="n"/>
      <c r="AC775" s="1" t="n"/>
      <c r="AD775" s="1" t="n"/>
      <c r="AE775" s="1" t="n"/>
      <c r="AF775" s="1" t="n"/>
      <c r="AG775" s="1" t="n"/>
      <c r="AH775" s="1" t="n"/>
      <c r="AI775" s="1" t="n"/>
      <c r="AJ775" s="1" t="n"/>
      <c r="AK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c r="AA776" s="1" t="n"/>
      <c r="AB776" s="1" t="n"/>
      <c r="AC776" s="1" t="n"/>
      <c r="AD776" s="1" t="n"/>
      <c r="AE776" s="1" t="n"/>
      <c r="AF776" s="1" t="n"/>
      <c r="AG776" s="1" t="n"/>
      <c r="AH776" s="1" t="n"/>
      <c r="AI776" s="1" t="n"/>
      <c r="AJ776" s="1" t="n"/>
      <c r="AK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c r="AA777" s="1" t="n"/>
      <c r="AB777" s="1" t="n"/>
      <c r="AC777" s="1" t="n"/>
      <c r="AD777" s="1" t="n"/>
      <c r="AE777" s="1" t="n"/>
      <c r="AF777" s="1" t="n"/>
      <c r="AG777" s="1" t="n"/>
      <c r="AH777" s="1" t="n"/>
      <c r="AI777" s="1" t="n"/>
      <c r="AJ777" s="1" t="n"/>
      <c r="AK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c r="AA778" s="1" t="n"/>
      <c r="AB778" s="1" t="n"/>
      <c r="AC778" s="1" t="n"/>
      <c r="AD778" s="1" t="n"/>
      <c r="AE778" s="1" t="n"/>
      <c r="AF778" s="1" t="n"/>
      <c r="AG778" s="1" t="n"/>
      <c r="AH778" s="1" t="n"/>
      <c r="AI778" s="1" t="n"/>
      <c r="AJ778" s="1" t="n"/>
      <c r="AK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c r="AA779" s="1" t="n"/>
      <c r="AB779" s="1" t="n"/>
      <c r="AC779" s="1" t="n"/>
      <c r="AD779" s="1" t="n"/>
      <c r="AE779" s="1" t="n"/>
      <c r="AF779" s="1" t="n"/>
      <c r="AG779" s="1" t="n"/>
      <c r="AH779" s="1" t="n"/>
      <c r="AI779" s="1" t="n"/>
      <c r="AJ779" s="1" t="n"/>
      <c r="AK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c r="AA780" s="1" t="n"/>
      <c r="AB780" s="1" t="n"/>
      <c r="AC780" s="1" t="n"/>
      <c r="AD780" s="1" t="n"/>
      <c r="AE780" s="1" t="n"/>
      <c r="AF780" s="1" t="n"/>
      <c r="AG780" s="1" t="n"/>
      <c r="AH780" s="1" t="n"/>
      <c r="AI780" s="1" t="n"/>
      <c r="AJ780" s="1" t="n"/>
      <c r="AK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c r="AA781" s="1" t="n"/>
      <c r="AB781" s="1" t="n"/>
      <c r="AC781" s="1" t="n"/>
      <c r="AD781" s="1" t="n"/>
      <c r="AE781" s="1" t="n"/>
      <c r="AF781" s="1" t="n"/>
      <c r="AG781" s="1" t="n"/>
      <c r="AH781" s="1" t="n"/>
      <c r="AI781" s="1" t="n"/>
      <c r="AJ781" s="1" t="n"/>
      <c r="AK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c r="AA782" s="1" t="n"/>
      <c r="AB782" s="1" t="n"/>
      <c r="AC782" s="1" t="n"/>
      <c r="AD782" s="1" t="n"/>
      <c r="AE782" s="1" t="n"/>
      <c r="AF782" s="1" t="n"/>
      <c r="AG782" s="1" t="n"/>
      <c r="AH782" s="1" t="n"/>
      <c r="AI782" s="1" t="n"/>
      <c r="AJ782" s="1" t="n"/>
      <c r="AK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c r="AA783" s="1" t="n"/>
      <c r="AB783" s="1" t="n"/>
      <c r="AC783" s="1" t="n"/>
      <c r="AD783" s="1" t="n"/>
      <c r="AE783" s="1" t="n"/>
      <c r="AF783" s="1" t="n"/>
      <c r="AG783" s="1" t="n"/>
      <c r="AH783" s="1" t="n"/>
      <c r="AI783" s="1" t="n"/>
      <c r="AJ783" s="1" t="n"/>
      <c r="AK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c r="AA784" s="1" t="n"/>
      <c r="AB784" s="1" t="n"/>
      <c r="AC784" s="1" t="n"/>
      <c r="AD784" s="1" t="n"/>
      <c r="AE784" s="1" t="n"/>
      <c r="AF784" s="1" t="n"/>
      <c r="AG784" s="1" t="n"/>
      <c r="AH784" s="1" t="n"/>
      <c r="AI784" s="1" t="n"/>
      <c r="AJ784" s="1" t="n"/>
      <c r="AK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c r="AA785" s="1" t="n"/>
      <c r="AB785" s="1" t="n"/>
      <c r="AC785" s="1" t="n"/>
      <c r="AD785" s="1" t="n"/>
      <c r="AE785" s="1" t="n"/>
      <c r="AF785" s="1" t="n"/>
      <c r="AG785" s="1" t="n"/>
      <c r="AH785" s="1" t="n"/>
      <c r="AI785" s="1" t="n"/>
      <c r="AJ785" s="1" t="n"/>
      <c r="AK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c r="AA786" s="1" t="n"/>
      <c r="AB786" s="1" t="n"/>
      <c r="AC786" s="1" t="n"/>
      <c r="AD786" s="1" t="n"/>
      <c r="AE786" s="1" t="n"/>
      <c r="AF786" s="1" t="n"/>
      <c r="AG786" s="1" t="n"/>
      <c r="AH786" s="1" t="n"/>
      <c r="AI786" s="1" t="n"/>
      <c r="AJ786" s="1" t="n"/>
      <c r="AK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c r="AA787" s="1" t="n"/>
      <c r="AB787" s="1" t="n"/>
      <c r="AC787" s="1" t="n"/>
      <c r="AD787" s="1" t="n"/>
      <c r="AE787" s="1" t="n"/>
      <c r="AF787" s="1" t="n"/>
      <c r="AG787" s="1" t="n"/>
      <c r="AH787" s="1" t="n"/>
      <c r="AI787" s="1" t="n"/>
      <c r="AJ787" s="1" t="n"/>
      <c r="AK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c r="AA788" s="1" t="n"/>
      <c r="AB788" s="1" t="n"/>
      <c r="AC788" s="1" t="n"/>
      <c r="AD788" s="1" t="n"/>
      <c r="AE788" s="1" t="n"/>
      <c r="AF788" s="1" t="n"/>
      <c r="AG788" s="1" t="n"/>
      <c r="AH788" s="1" t="n"/>
      <c r="AI788" s="1" t="n"/>
      <c r="AJ788" s="1" t="n"/>
      <c r="AK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c r="AA789" s="1" t="n"/>
      <c r="AB789" s="1" t="n"/>
      <c r="AC789" s="1" t="n"/>
      <c r="AD789" s="1" t="n"/>
      <c r="AE789" s="1" t="n"/>
      <c r="AF789" s="1" t="n"/>
      <c r="AG789" s="1" t="n"/>
      <c r="AH789" s="1" t="n"/>
      <c r="AI789" s="1" t="n"/>
      <c r="AJ789" s="1" t="n"/>
      <c r="AK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c r="AA790" s="1" t="n"/>
      <c r="AB790" s="1" t="n"/>
      <c r="AC790" s="1" t="n"/>
      <c r="AD790" s="1" t="n"/>
      <c r="AE790" s="1" t="n"/>
      <c r="AF790" s="1" t="n"/>
      <c r="AG790" s="1" t="n"/>
      <c r="AH790" s="1" t="n"/>
      <c r="AI790" s="1" t="n"/>
      <c r="AJ790" s="1" t="n"/>
      <c r="AK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c r="AA791" s="1" t="n"/>
      <c r="AB791" s="1" t="n"/>
      <c r="AC791" s="1" t="n"/>
      <c r="AD791" s="1" t="n"/>
      <c r="AE791" s="1" t="n"/>
      <c r="AF791" s="1" t="n"/>
      <c r="AG791" s="1" t="n"/>
      <c r="AH791" s="1" t="n"/>
      <c r="AI791" s="1" t="n"/>
      <c r="AJ791" s="1" t="n"/>
      <c r="AK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c r="AA792" s="1" t="n"/>
      <c r="AB792" s="1" t="n"/>
      <c r="AC792" s="1" t="n"/>
      <c r="AD792" s="1" t="n"/>
      <c r="AE792" s="1" t="n"/>
      <c r="AF792" s="1" t="n"/>
      <c r="AG792" s="1" t="n"/>
      <c r="AH792" s="1" t="n"/>
      <c r="AI792" s="1" t="n"/>
      <c r="AJ792" s="1" t="n"/>
      <c r="AK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c r="AA793" s="1" t="n"/>
      <c r="AB793" s="1" t="n"/>
      <c r="AC793" s="1" t="n"/>
      <c r="AD793" s="1" t="n"/>
      <c r="AE793" s="1" t="n"/>
      <c r="AF793" s="1" t="n"/>
      <c r="AG793" s="1" t="n"/>
      <c r="AH793" s="1" t="n"/>
      <c r="AI793" s="1" t="n"/>
      <c r="AJ793" s="1" t="n"/>
      <c r="AK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c r="AA794" s="1" t="n"/>
      <c r="AB794" s="1" t="n"/>
      <c r="AC794" s="1" t="n"/>
      <c r="AD794" s="1" t="n"/>
      <c r="AE794" s="1" t="n"/>
      <c r="AF794" s="1" t="n"/>
      <c r="AG794" s="1" t="n"/>
      <c r="AH794" s="1" t="n"/>
      <c r="AI794" s="1" t="n"/>
      <c r="AJ794" s="1" t="n"/>
      <c r="AK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c r="AA795" s="1" t="n"/>
      <c r="AB795" s="1" t="n"/>
      <c r="AC795" s="1" t="n"/>
      <c r="AD795" s="1" t="n"/>
      <c r="AE795" s="1" t="n"/>
      <c r="AF795" s="1" t="n"/>
      <c r="AG795" s="1" t="n"/>
      <c r="AH795" s="1" t="n"/>
      <c r="AI795" s="1" t="n"/>
      <c r="AJ795" s="1" t="n"/>
      <c r="AK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c r="AA796" s="1" t="n"/>
      <c r="AB796" s="1" t="n"/>
      <c r="AC796" s="1" t="n"/>
      <c r="AD796" s="1" t="n"/>
      <c r="AE796" s="1" t="n"/>
      <c r="AF796" s="1" t="n"/>
      <c r="AG796" s="1" t="n"/>
      <c r="AH796" s="1" t="n"/>
      <c r="AI796" s="1" t="n"/>
      <c r="AJ796" s="1" t="n"/>
      <c r="AK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c r="AA797" s="1" t="n"/>
      <c r="AB797" s="1" t="n"/>
      <c r="AC797" s="1" t="n"/>
      <c r="AD797" s="1" t="n"/>
      <c r="AE797" s="1" t="n"/>
      <c r="AF797" s="1" t="n"/>
      <c r="AG797" s="1" t="n"/>
      <c r="AH797" s="1" t="n"/>
      <c r="AI797" s="1" t="n"/>
      <c r="AJ797" s="1" t="n"/>
      <c r="AK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c r="AA798" s="1" t="n"/>
      <c r="AB798" s="1" t="n"/>
      <c r="AC798" s="1" t="n"/>
      <c r="AD798" s="1" t="n"/>
      <c r="AE798" s="1" t="n"/>
      <c r="AF798" s="1" t="n"/>
      <c r="AG798" s="1" t="n"/>
      <c r="AH798" s="1" t="n"/>
      <c r="AI798" s="1" t="n"/>
      <c r="AJ798" s="1" t="n"/>
      <c r="AK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c r="AA799" s="1" t="n"/>
      <c r="AB799" s="1" t="n"/>
      <c r="AC799" s="1" t="n"/>
      <c r="AD799" s="1" t="n"/>
      <c r="AE799" s="1" t="n"/>
      <c r="AF799" s="1" t="n"/>
      <c r="AG799" s="1" t="n"/>
      <c r="AH799" s="1" t="n"/>
      <c r="AI799" s="1" t="n"/>
      <c r="AJ799" s="1" t="n"/>
      <c r="AK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c r="AA800" s="1" t="n"/>
      <c r="AB800" s="1" t="n"/>
      <c r="AC800" s="1" t="n"/>
      <c r="AD800" s="1" t="n"/>
      <c r="AE800" s="1" t="n"/>
      <c r="AF800" s="1" t="n"/>
      <c r="AG800" s="1" t="n"/>
      <c r="AH800" s="1" t="n"/>
      <c r="AI800" s="1" t="n"/>
      <c r="AJ800" s="1" t="n"/>
      <c r="AK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c r="AA801" s="1" t="n"/>
      <c r="AB801" s="1" t="n"/>
      <c r="AC801" s="1" t="n"/>
      <c r="AD801" s="1" t="n"/>
      <c r="AE801" s="1" t="n"/>
      <c r="AF801" s="1" t="n"/>
      <c r="AG801" s="1" t="n"/>
      <c r="AH801" s="1" t="n"/>
      <c r="AI801" s="1" t="n"/>
      <c r="AJ801" s="1" t="n"/>
      <c r="AK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c r="AA802" s="1" t="n"/>
      <c r="AB802" s="1" t="n"/>
      <c r="AC802" s="1" t="n"/>
      <c r="AD802" s="1" t="n"/>
      <c r="AE802" s="1" t="n"/>
      <c r="AF802" s="1" t="n"/>
      <c r="AG802" s="1" t="n"/>
      <c r="AH802" s="1" t="n"/>
      <c r="AI802" s="1" t="n"/>
      <c r="AJ802" s="1" t="n"/>
      <c r="AK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c r="AA803" s="1" t="n"/>
      <c r="AB803" s="1" t="n"/>
      <c r="AC803" s="1" t="n"/>
      <c r="AD803" s="1" t="n"/>
      <c r="AE803" s="1" t="n"/>
      <c r="AF803" s="1" t="n"/>
      <c r="AG803" s="1" t="n"/>
      <c r="AH803" s="1" t="n"/>
      <c r="AI803" s="1" t="n"/>
      <c r="AJ803" s="1" t="n"/>
      <c r="AK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c r="AA804" s="1" t="n"/>
      <c r="AB804" s="1" t="n"/>
      <c r="AC804" s="1" t="n"/>
      <c r="AD804" s="1" t="n"/>
      <c r="AE804" s="1" t="n"/>
      <c r="AF804" s="1" t="n"/>
      <c r="AG804" s="1" t="n"/>
      <c r="AH804" s="1" t="n"/>
      <c r="AI804" s="1" t="n"/>
      <c r="AJ804" s="1" t="n"/>
      <c r="AK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c r="AA805" s="1" t="n"/>
      <c r="AB805" s="1" t="n"/>
      <c r="AC805" s="1" t="n"/>
      <c r="AD805" s="1" t="n"/>
      <c r="AE805" s="1" t="n"/>
      <c r="AF805" s="1" t="n"/>
      <c r="AG805" s="1" t="n"/>
      <c r="AH805" s="1" t="n"/>
      <c r="AI805" s="1" t="n"/>
      <c r="AJ805" s="1" t="n"/>
      <c r="AK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c r="AA806" s="1" t="n"/>
      <c r="AB806" s="1" t="n"/>
      <c r="AC806" s="1" t="n"/>
      <c r="AD806" s="1" t="n"/>
      <c r="AE806" s="1" t="n"/>
      <c r="AF806" s="1" t="n"/>
      <c r="AG806" s="1" t="n"/>
      <c r="AH806" s="1" t="n"/>
      <c r="AI806" s="1" t="n"/>
      <c r="AJ806" s="1" t="n"/>
      <c r="AK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c r="AA807" s="1" t="n"/>
      <c r="AB807" s="1" t="n"/>
      <c r="AC807" s="1" t="n"/>
      <c r="AD807" s="1" t="n"/>
      <c r="AE807" s="1" t="n"/>
      <c r="AF807" s="1" t="n"/>
      <c r="AG807" s="1" t="n"/>
      <c r="AH807" s="1" t="n"/>
      <c r="AI807" s="1" t="n"/>
      <c r="AJ807" s="1" t="n"/>
      <c r="AK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c r="AA808" s="1" t="n"/>
      <c r="AB808" s="1" t="n"/>
      <c r="AC808" s="1" t="n"/>
      <c r="AD808" s="1" t="n"/>
      <c r="AE808" s="1" t="n"/>
      <c r="AF808" s="1" t="n"/>
      <c r="AG808" s="1" t="n"/>
      <c r="AH808" s="1" t="n"/>
      <c r="AI808" s="1" t="n"/>
      <c r="AJ808" s="1" t="n"/>
      <c r="AK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c r="AA809" s="1" t="n"/>
      <c r="AB809" s="1" t="n"/>
      <c r="AC809" s="1" t="n"/>
      <c r="AD809" s="1" t="n"/>
      <c r="AE809" s="1" t="n"/>
      <c r="AF809" s="1" t="n"/>
      <c r="AG809" s="1" t="n"/>
      <c r="AH809" s="1" t="n"/>
      <c r="AI809" s="1" t="n"/>
      <c r="AJ809" s="1" t="n"/>
      <c r="AK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c r="AA810" s="1" t="n"/>
      <c r="AB810" s="1" t="n"/>
      <c r="AC810" s="1" t="n"/>
      <c r="AD810" s="1" t="n"/>
      <c r="AE810" s="1" t="n"/>
      <c r="AF810" s="1" t="n"/>
      <c r="AG810" s="1" t="n"/>
      <c r="AH810" s="1" t="n"/>
      <c r="AI810" s="1" t="n"/>
      <c r="AJ810" s="1" t="n"/>
      <c r="AK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c r="AA811" s="1" t="n"/>
      <c r="AB811" s="1" t="n"/>
      <c r="AC811" s="1" t="n"/>
      <c r="AD811" s="1" t="n"/>
      <c r="AE811" s="1" t="n"/>
      <c r="AF811" s="1" t="n"/>
      <c r="AG811" s="1" t="n"/>
      <c r="AH811" s="1" t="n"/>
      <c r="AI811" s="1" t="n"/>
      <c r="AJ811" s="1" t="n"/>
      <c r="AK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c r="AA812" s="1" t="n"/>
      <c r="AB812" s="1" t="n"/>
      <c r="AC812" s="1" t="n"/>
      <c r="AD812" s="1" t="n"/>
      <c r="AE812" s="1" t="n"/>
      <c r="AF812" s="1" t="n"/>
      <c r="AG812" s="1" t="n"/>
      <c r="AH812" s="1" t="n"/>
      <c r="AI812" s="1" t="n"/>
      <c r="AJ812" s="1" t="n"/>
      <c r="AK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c r="AA813" s="1" t="n"/>
      <c r="AB813" s="1" t="n"/>
      <c r="AC813" s="1" t="n"/>
      <c r="AD813" s="1" t="n"/>
      <c r="AE813" s="1" t="n"/>
      <c r="AF813" s="1" t="n"/>
      <c r="AG813" s="1" t="n"/>
      <c r="AH813" s="1" t="n"/>
      <c r="AI813" s="1" t="n"/>
      <c r="AJ813" s="1" t="n"/>
      <c r="AK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c r="AA814" s="1" t="n"/>
      <c r="AB814" s="1" t="n"/>
      <c r="AC814" s="1" t="n"/>
      <c r="AD814" s="1" t="n"/>
      <c r="AE814" s="1" t="n"/>
      <c r="AF814" s="1" t="n"/>
      <c r="AG814" s="1" t="n"/>
      <c r="AH814" s="1" t="n"/>
      <c r="AI814" s="1" t="n"/>
      <c r="AJ814" s="1" t="n"/>
      <c r="AK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c r="AA815" s="1" t="n"/>
      <c r="AB815" s="1" t="n"/>
      <c r="AC815" s="1" t="n"/>
      <c r="AD815" s="1" t="n"/>
      <c r="AE815" s="1" t="n"/>
      <c r="AF815" s="1" t="n"/>
      <c r="AG815" s="1" t="n"/>
      <c r="AH815" s="1" t="n"/>
      <c r="AI815" s="1" t="n"/>
      <c r="AJ815" s="1" t="n"/>
      <c r="AK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c r="AA816" s="1" t="n"/>
      <c r="AB816" s="1" t="n"/>
      <c r="AC816" s="1" t="n"/>
      <c r="AD816" s="1" t="n"/>
      <c r="AE816" s="1" t="n"/>
      <c r="AF816" s="1" t="n"/>
      <c r="AG816" s="1" t="n"/>
      <c r="AH816" s="1" t="n"/>
      <c r="AI816" s="1" t="n"/>
      <c r="AJ816" s="1" t="n"/>
      <c r="AK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c r="AA817" s="1" t="n"/>
      <c r="AB817" s="1" t="n"/>
      <c r="AC817" s="1" t="n"/>
      <c r="AD817" s="1" t="n"/>
      <c r="AE817" s="1" t="n"/>
      <c r="AF817" s="1" t="n"/>
      <c r="AG817" s="1" t="n"/>
      <c r="AH817" s="1" t="n"/>
      <c r="AI817" s="1" t="n"/>
      <c r="AJ817" s="1" t="n"/>
      <c r="AK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c r="AA818" s="1" t="n"/>
      <c r="AB818" s="1" t="n"/>
      <c r="AC818" s="1" t="n"/>
      <c r="AD818" s="1" t="n"/>
      <c r="AE818" s="1" t="n"/>
      <c r="AF818" s="1" t="n"/>
      <c r="AG818" s="1" t="n"/>
      <c r="AH818" s="1" t="n"/>
      <c r="AI818" s="1" t="n"/>
      <c r="AJ818" s="1" t="n"/>
      <c r="AK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c r="AA819" s="1" t="n"/>
      <c r="AB819" s="1" t="n"/>
      <c r="AC819" s="1" t="n"/>
      <c r="AD819" s="1" t="n"/>
      <c r="AE819" s="1" t="n"/>
      <c r="AF819" s="1" t="n"/>
      <c r="AG819" s="1" t="n"/>
      <c r="AH819" s="1" t="n"/>
      <c r="AI819" s="1" t="n"/>
      <c r="AJ819" s="1" t="n"/>
      <c r="AK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c r="AA820" s="1" t="n"/>
      <c r="AB820" s="1" t="n"/>
      <c r="AC820" s="1" t="n"/>
      <c r="AD820" s="1" t="n"/>
      <c r="AE820" s="1" t="n"/>
      <c r="AF820" s="1" t="n"/>
      <c r="AG820" s="1" t="n"/>
      <c r="AH820" s="1" t="n"/>
      <c r="AI820" s="1" t="n"/>
      <c r="AJ820" s="1" t="n"/>
      <c r="AK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c r="AA821" s="1" t="n"/>
      <c r="AB821" s="1" t="n"/>
      <c r="AC821" s="1" t="n"/>
      <c r="AD821" s="1" t="n"/>
      <c r="AE821" s="1" t="n"/>
      <c r="AF821" s="1" t="n"/>
      <c r="AG821" s="1" t="n"/>
      <c r="AH821" s="1" t="n"/>
      <c r="AI821" s="1" t="n"/>
      <c r="AJ821" s="1" t="n"/>
      <c r="AK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c r="AA822" s="1" t="n"/>
      <c r="AB822" s="1" t="n"/>
      <c r="AC822" s="1" t="n"/>
      <c r="AD822" s="1" t="n"/>
      <c r="AE822" s="1" t="n"/>
      <c r="AF822" s="1" t="n"/>
      <c r="AG822" s="1" t="n"/>
      <c r="AH822" s="1" t="n"/>
      <c r="AI822" s="1" t="n"/>
      <c r="AJ822" s="1" t="n"/>
      <c r="AK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c r="AA823" s="1" t="n"/>
      <c r="AB823" s="1" t="n"/>
      <c r="AC823" s="1" t="n"/>
      <c r="AD823" s="1" t="n"/>
      <c r="AE823" s="1" t="n"/>
      <c r="AF823" s="1" t="n"/>
      <c r="AG823" s="1" t="n"/>
      <c r="AH823" s="1" t="n"/>
      <c r="AI823" s="1" t="n"/>
      <c r="AJ823" s="1" t="n"/>
      <c r="AK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c r="AA824" s="1" t="n"/>
      <c r="AB824" s="1" t="n"/>
      <c r="AC824" s="1" t="n"/>
      <c r="AD824" s="1" t="n"/>
      <c r="AE824" s="1" t="n"/>
      <c r="AF824" s="1" t="n"/>
      <c r="AG824" s="1" t="n"/>
      <c r="AH824" s="1" t="n"/>
      <c r="AI824" s="1" t="n"/>
      <c r="AJ824" s="1" t="n"/>
      <c r="AK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c r="AA825" s="1" t="n"/>
      <c r="AB825" s="1" t="n"/>
      <c r="AC825" s="1" t="n"/>
      <c r="AD825" s="1" t="n"/>
      <c r="AE825" s="1" t="n"/>
      <c r="AF825" s="1" t="n"/>
      <c r="AG825" s="1" t="n"/>
      <c r="AH825" s="1" t="n"/>
      <c r="AI825" s="1" t="n"/>
      <c r="AJ825" s="1" t="n"/>
      <c r="AK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c r="AA826" s="1" t="n"/>
      <c r="AB826" s="1" t="n"/>
      <c r="AC826" s="1" t="n"/>
      <c r="AD826" s="1" t="n"/>
      <c r="AE826" s="1" t="n"/>
      <c r="AF826" s="1" t="n"/>
      <c r="AG826" s="1" t="n"/>
      <c r="AH826" s="1" t="n"/>
      <c r="AI826" s="1" t="n"/>
      <c r="AJ826" s="1" t="n"/>
      <c r="AK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c r="AA827" s="1" t="n"/>
      <c r="AB827" s="1" t="n"/>
      <c r="AC827" s="1" t="n"/>
      <c r="AD827" s="1" t="n"/>
      <c r="AE827" s="1" t="n"/>
      <c r="AF827" s="1" t="n"/>
      <c r="AG827" s="1" t="n"/>
      <c r="AH827" s="1" t="n"/>
      <c r="AI827" s="1" t="n"/>
      <c r="AJ827" s="1" t="n"/>
      <c r="AK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c r="AA828" s="1" t="n"/>
      <c r="AB828" s="1" t="n"/>
      <c r="AC828" s="1" t="n"/>
      <c r="AD828" s="1" t="n"/>
      <c r="AE828" s="1" t="n"/>
      <c r="AF828" s="1" t="n"/>
      <c r="AG828" s="1" t="n"/>
      <c r="AH828" s="1" t="n"/>
      <c r="AI828" s="1" t="n"/>
      <c r="AJ828" s="1" t="n"/>
      <c r="AK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c r="AA829" s="1" t="n"/>
      <c r="AB829" s="1" t="n"/>
      <c r="AC829" s="1" t="n"/>
      <c r="AD829" s="1" t="n"/>
      <c r="AE829" s="1" t="n"/>
      <c r="AF829" s="1" t="n"/>
      <c r="AG829" s="1" t="n"/>
      <c r="AH829" s="1" t="n"/>
      <c r="AI829" s="1" t="n"/>
      <c r="AJ829" s="1" t="n"/>
      <c r="AK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c r="AA830" s="1" t="n"/>
      <c r="AB830" s="1" t="n"/>
      <c r="AC830" s="1" t="n"/>
      <c r="AD830" s="1" t="n"/>
      <c r="AE830" s="1" t="n"/>
      <c r="AF830" s="1" t="n"/>
      <c r="AG830" s="1" t="n"/>
      <c r="AH830" s="1" t="n"/>
      <c r="AI830" s="1" t="n"/>
      <c r="AJ830" s="1" t="n"/>
      <c r="AK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c r="AA831" s="1" t="n"/>
      <c r="AB831" s="1" t="n"/>
      <c r="AC831" s="1" t="n"/>
      <c r="AD831" s="1" t="n"/>
      <c r="AE831" s="1" t="n"/>
      <c r="AF831" s="1" t="n"/>
      <c r="AG831" s="1" t="n"/>
      <c r="AH831" s="1" t="n"/>
      <c r="AI831" s="1" t="n"/>
      <c r="AJ831" s="1" t="n"/>
      <c r="AK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c r="AA832" s="1" t="n"/>
      <c r="AB832" s="1" t="n"/>
      <c r="AC832" s="1" t="n"/>
      <c r="AD832" s="1" t="n"/>
      <c r="AE832" s="1" t="n"/>
      <c r="AF832" s="1" t="n"/>
      <c r="AG832" s="1" t="n"/>
      <c r="AH832" s="1" t="n"/>
      <c r="AI832" s="1" t="n"/>
      <c r="AJ832" s="1" t="n"/>
      <c r="AK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c r="AA833" s="1" t="n"/>
      <c r="AB833" s="1" t="n"/>
      <c r="AC833" s="1" t="n"/>
      <c r="AD833" s="1" t="n"/>
      <c r="AE833" s="1" t="n"/>
      <c r="AF833" s="1" t="n"/>
      <c r="AG833" s="1" t="n"/>
      <c r="AH833" s="1" t="n"/>
      <c r="AI833" s="1" t="n"/>
      <c r="AJ833" s="1" t="n"/>
      <c r="AK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c r="AA834" s="1" t="n"/>
      <c r="AB834" s="1" t="n"/>
      <c r="AC834" s="1" t="n"/>
      <c r="AD834" s="1" t="n"/>
      <c r="AE834" s="1" t="n"/>
      <c r="AF834" s="1" t="n"/>
      <c r="AG834" s="1" t="n"/>
      <c r="AH834" s="1" t="n"/>
      <c r="AI834" s="1" t="n"/>
      <c r="AJ834" s="1" t="n"/>
      <c r="AK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c r="AA835" s="1" t="n"/>
      <c r="AB835" s="1" t="n"/>
      <c r="AC835" s="1" t="n"/>
      <c r="AD835" s="1" t="n"/>
      <c r="AE835" s="1" t="n"/>
      <c r="AF835" s="1" t="n"/>
      <c r="AG835" s="1" t="n"/>
      <c r="AH835" s="1" t="n"/>
      <c r="AI835" s="1" t="n"/>
      <c r="AJ835" s="1" t="n"/>
      <c r="AK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c r="AA836" s="1" t="n"/>
      <c r="AB836" s="1" t="n"/>
      <c r="AC836" s="1" t="n"/>
      <c r="AD836" s="1" t="n"/>
      <c r="AE836" s="1" t="n"/>
      <c r="AF836" s="1" t="n"/>
      <c r="AG836" s="1" t="n"/>
      <c r="AH836" s="1" t="n"/>
      <c r="AI836" s="1" t="n"/>
      <c r="AJ836" s="1" t="n"/>
      <c r="AK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c r="AA837" s="1" t="n"/>
      <c r="AB837" s="1" t="n"/>
      <c r="AC837" s="1" t="n"/>
      <c r="AD837" s="1" t="n"/>
      <c r="AE837" s="1" t="n"/>
      <c r="AF837" s="1" t="n"/>
      <c r="AG837" s="1" t="n"/>
      <c r="AH837" s="1" t="n"/>
      <c r="AI837" s="1" t="n"/>
      <c r="AJ837" s="1" t="n"/>
      <c r="AK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c r="AA838" s="1" t="n"/>
      <c r="AB838" s="1" t="n"/>
      <c r="AC838" s="1" t="n"/>
      <c r="AD838" s="1" t="n"/>
      <c r="AE838" s="1" t="n"/>
      <c r="AF838" s="1" t="n"/>
      <c r="AG838" s="1" t="n"/>
      <c r="AH838" s="1" t="n"/>
      <c r="AI838" s="1" t="n"/>
      <c r="AJ838" s="1" t="n"/>
      <c r="AK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c r="AA839" s="1" t="n"/>
      <c r="AB839" s="1" t="n"/>
      <c r="AC839" s="1" t="n"/>
      <c r="AD839" s="1" t="n"/>
      <c r="AE839" s="1" t="n"/>
      <c r="AF839" s="1" t="n"/>
      <c r="AG839" s="1" t="n"/>
      <c r="AH839" s="1" t="n"/>
      <c r="AI839" s="1" t="n"/>
      <c r="AJ839" s="1" t="n"/>
      <c r="AK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c r="AA840" s="1" t="n"/>
      <c r="AB840" s="1" t="n"/>
      <c r="AC840" s="1" t="n"/>
      <c r="AD840" s="1" t="n"/>
      <c r="AE840" s="1" t="n"/>
      <c r="AF840" s="1" t="n"/>
      <c r="AG840" s="1" t="n"/>
      <c r="AH840" s="1" t="n"/>
      <c r="AI840" s="1" t="n"/>
      <c r="AJ840" s="1" t="n"/>
      <c r="AK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c r="AA841" s="1" t="n"/>
      <c r="AB841" s="1" t="n"/>
      <c r="AC841" s="1" t="n"/>
      <c r="AD841" s="1" t="n"/>
      <c r="AE841" s="1" t="n"/>
      <c r="AF841" s="1" t="n"/>
      <c r="AG841" s="1" t="n"/>
      <c r="AH841" s="1" t="n"/>
      <c r="AI841" s="1" t="n"/>
      <c r="AJ841" s="1" t="n"/>
      <c r="AK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c r="AA842" s="1" t="n"/>
      <c r="AB842" s="1" t="n"/>
      <c r="AC842" s="1" t="n"/>
      <c r="AD842" s="1" t="n"/>
      <c r="AE842" s="1" t="n"/>
      <c r="AF842" s="1" t="n"/>
      <c r="AG842" s="1" t="n"/>
      <c r="AH842" s="1" t="n"/>
      <c r="AI842" s="1" t="n"/>
      <c r="AJ842" s="1" t="n"/>
      <c r="AK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c r="AA843" s="1" t="n"/>
      <c r="AB843" s="1" t="n"/>
      <c r="AC843" s="1" t="n"/>
      <c r="AD843" s="1" t="n"/>
      <c r="AE843" s="1" t="n"/>
      <c r="AF843" s="1" t="n"/>
      <c r="AG843" s="1" t="n"/>
      <c r="AH843" s="1" t="n"/>
      <c r="AI843" s="1" t="n"/>
      <c r="AJ843" s="1" t="n"/>
      <c r="AK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c r="AA844" s="1" t="n"/>
      <c r="AB844" s="1" t="n"/>
      <c r="AC844" s="1" t="n"/>
      <c r="AD844" s="1" t="n"/>
      <c r="AE844" s="1" t="n"/>
      <c r="AF844" s="1" t="n"/>
      <c r="AG844" s="1" t="n"/>
      <c r="AH844" s="1" t="n"/>
      <c r="AI844" s="1" t="n"/>
      <c r="AJ844" s="1" t="n"/>
      <c r="AK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c r="AA845" s="1" t="n"/>
      <c r="AB845" s="1" t="n"/>
      <c r="AC845" s="1" t="n"/>
      <c r="AD845" s="1" t="n"/>
      <c r="AE845" s="1" t="n"/>
      <c r="AF845" s="1" t="n"/>
      <c r="AG845" s="1" t="n"/>
      <c r="AH845" s="1" t="n"/>
      <c r="AI845" s="1" t="n"/>
      <c r="AJ845" s="1" t="n"/>
      <c r="AK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c r="AA846" s="1" t="n"/>
      <c r="AB846" s="1" t="n"/>
      <c r="AC846" s="1" t="n"/>
      <c r="AD846" s="1" t="n"/>
      <c r="AE846" s="1" t="n"/>
      <c r="AF846" s="1" t="n"/>
      <c r="AG846" s="1" t="n"/>
      <c r="AH846" s="1" t="n"/>
      <c r="AI846" s="1" t="n"/>
      <c r="AJ846" s="1" t="n"/>
      <c r="AK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c r="AA847" s="1" t="n"/>
      <c r="AB847" s="1" t="n"/>
      <c r="AC847" s="1" t="n"/>
      <c r="AD847" s="1" t="n"/>
      <c r="AE847" s="1" t="n"/>
      <c r="AF847" s="1" t="n"/>
      <c r="AG847" s="1" t="n"/>
      <c r="AH847" s="1" t="n"/>
      <c r="AI847" s="1" t="n"/>
      <c r="AJ847" s="1" t="n"/>
      <c r="AK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c r="AA848" s="1" t="n"/>
      <c r="AB848" s="1" t="n"/>
      <c r="AC848" s="1" t="n"/>
      <c r="AD848" s="1" t="n"/>
      <c r="AE848" s="1" t="n"/>
      <c r="AF848" s="1" t="n"/>
      <c r="AG848" s="1" t="n"/>
      <c r="AH848" s="1" t="n"/>
      <c r="AI848" s="1" t="n"/>
      <c r="AJ848" s="1" t="n"/>
      <c r="AK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c r="AA849" s="1" t="n"/>
      <c r="AB849" s="1" t="n"/>
      <c r="AC849" s="1" t="n"/>
      <c r="AD849" s="1" t="n"/>
      <c r="AE849" s="1" t="n"/>
      <c r="AF849" s="1" t="n"/>
      <c r="AG849" s="1" t="n"/>
      <c r="AH849" s="1" t="n"/>
      <c r="AI849" s="1" t="n"/>
      <c r="AJ849" s="1" t="n"/>
      <c r="AK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c r="AA850" s="1" t="n"/>
      <c r="AB850" s="1" t="n"/>
      <c r="AC850" s="1" t="n"/>
      <c r="AD850" s="1" t="n"/>
      <c r="AE850" s="1" t="n"/>
      <c r="AF850" s="1" t="n"/>
      <c r="AG850" s="1" t="n"/>
      <c r="AH850" s="1" t="n"/>
      <c r="AI850" s="1" t="n"/>
      <c r="AJ850" s="1" t="n"/>
      <c r="AK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c r="AA851" s="1" t="n"/>
      <c r="AB851" s="1" t="n"/>
      <c r="AC851" s="1" t="n"/>
      <c r="AD851" s="1" t="n"/>
      <c r="AE851" s="1" t="n"/>
      <c r="AF851" s="1" t="n"/>
      <c r="AG851" s="1" t="n"/>
      <c r="AH851" s="1" t="n"/>
      <c r="AI851" s="1" t="n"/>
      <c r="AJ851" s="1" t="n"/>
      <c r="AK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c r="AA852" s="1" t="n"/>
      <c r="AB852" s="1" t="n"/>
      <c r="AC852" s="1" t="n"/>
      <c r="AD852" s="1" t="n"/>
      <c r="AE852" s="1" t="n"/>
      <c r="AF852" s="1" t="n"/>
      <c r="AG852" s="1" t="n"/>
      <c r="AH852" s="1" t="n"/>
      <c r="AI852" s="1" t="n"/>
      <c r="AJ852" s="1" t="n"/>
      <c r="AK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c r="AA853" s="1" t="n"/>
      <c r="AB853" s="1" t="n"/>
      <c r="AC853" s="1" t="n"/>
      <c r="AD853" s="1" t="n"/>
      <c r="AE853" s="1" t="n"/>
      <c r="AF853" s="1" t="n"/>
      <c r="AG853" s="1" t="n"/>
      <c r="AH853" s="1" t="n"/>
      <c r="AI853" s="1" t="n"/>
      <c r="AJ853" s="1" t="n"/>
      <c r="AK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c r="AA854" s="1" t="n"/>
      <c r="AB854" s="1" t="n"/>
      <c r="AC854" s="1" t="n"/>
      <c r="AD854" s="1" t="n"/>
      <c r="AE854" s="1" t="n"/>
      <c r="AF854" s="1" t="n"/>
      <c r="AG854" s="1" t="n"/>
      <c r="AH854" s="1" t="n"/>
      <c r="AI854" s="1" t="n"/>
      <c r="AJ854" s="1" t="n"/>
      <c r="AK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c r="AA855" s="1" t="n"/>
      <c r="AB855" s="1" t="n"/>
      <c r="AC855" s="1" t="n"/>
      <c r="AD855" s="1" t="n"/>
      <c r="AE855" s="1" t="n"/>
      <c r="AF855" s="1" t="n"/>
      <c r="AG855" s="1" t="n"/>
      <c r="AH855" s="1" t="n"/>
      <c r="AI855" s="1" t="n"/>
      <c r="AJ855" s="1" t="n"/>
      <c r="AK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c r="AA856" s="1" t="n"/>
      <c r="AB856" s="1" t="n"/>
      <c r="AC856" s="1" t="n"/>
      <c r="AD856" s="1" t="n"/>
      <c r="AE856" s="1" t="n"/>
      <c r="AF856" s="1" t="n"/>
      <c r="AG856" s="1" t="n"/>
      <c r="AH856" s="1" t="n"/>
      <c r="AI856" s="1" t="n"/>
      <c r="AJ856" s="1" t="n"/>
      <c r="AK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c r="AA857" s="1" t="n"/>
      <c r="AB857" s="1" t="n"/>
      <c r="AC857" s="1" t="n"/>
      <c r="AD857" s="1" t="n"/>
      <c r="AE857" s="1" t="n"/>
      <c r="AF857" s="1" t="n"/>
      <c r="AG857" s="1" t="n"/>
      <c r="AH857" s="1" t="n"/>
      <c r="AI857" s="1" t="n"/>
      <c r="AJ857" s="1" t="n"/>
      <c r="AK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c r="AA858" s="1" t="n"/>
      <c r="AB858" s="1" t="n"/>
      <c r="AC858" s="1" t="n"/>
      <c r="AD858" s="1" t="n"/>
      <c r="AE858" s="1" t="n"/>
      <c r="AF858" s="1" t="n"/>
      <c r="AG858" s="1" t="n"/>
      <c r="AH858" s="1" t="n"/>
      <c r="AI858" s="1" t="n"/>
      <c r="AJ858" s="1" t="n"/>
      <c r="AK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c r="AA859" s="1" t="n"/>
      <c r="AB859" s="1" t="n"/>
      <c r="AC859" s="1" t="n"/>
      <c r="AD859" s="1" t="n"/>
      <c r="AE859" s="1" t="n"/>
      <c r="AF859" s="1" t="n"/>
      <c r="AG859" s="1" t="n"/>
      <c r="AH859" s="1" t="n"/>
      <c r="AI859" s="1" t="n"/>
      <c r="AJ859" s="1" t="n"/>
      <c r="AK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c r="AA860" s="1" t="n"/>
      <c r="AB860" s="1" t="n"/>
      <c r="AC860" s="1" t="n"/>
      <c r="AD860" s="1" t="n"/>
      <c r="AE860" s="1" t="n"/>
      <c r="AF860" s="1" t="n"/>
      <c r="AG860" s="1" t="n"/>
      <c r="AH860" s="1" t="n"/>
      <c r="AI860" s="1" t="n"/>
      <c r="AJ860" s="1" t="n"/>
      <c r="AK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c r="AA861" s="1" t="n"/>
      <c r="AB861" s="1" t="n"/>
      <c r="AC861" s="1" t="n"/>
      <c r="AD861" s="1" t="n"/>
      <c r="AE861" s="1" t="n"/>
      <c r="AF861" s="1" t="n"/>
      <c r="AG861" s="1" t="n"/>
      <c r="AH861" s="1" t="n"/>
      <c r="AI861" s="1" t="n"/>
      <c r="AJ861" s="1" t="n"/>
      <c r="AK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c r="AA862" s="1" t="n"/>
      <c r="AB862" s="1" t="n"/>
      <c r="AC862" s="1" t="n"/>
      <c r="AD862" s="1" t="n"/>
      <c r="AE862" s="1" t="n"/>
      <c r="AF862" s="1" t="n"/>
      <c r="AG862" s="1" t="n"/>
      <c r="AH862" s="1" t="n"/>
      <c r="AI862" s="1" t="n"/>
      <c r="AJ862" s="1" t="n"/>
      <c r="AK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c r="AA863" s="1" t="n"/>
      <c r="AB863" s="1" t="n"/>
      <c r="AC863" s="1" t="n"/>
      <c r="AD863" s="1" t="n"/>
      <c r="AE863" s="1" t="n"/>
      <c r="AF863" s="1" t="n"/>
      <c r="AG863" s="1" t="n"/>
      <c r="AH863" s="1" t="n"/>
      <c r="AI863" s="1" t="n"/>
      <c r="AJ863" s="1" t="n"/>
      <c r="AK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c r="AA864" s="1" t="n"/>
      <c r="AB864" s="1" t="n"/>
      <c r="AC864" s="1" t="n"/>
      <c r="AD864" s="1" t="n"/>
      <c r="AE864" s="1" t="n"/>
      <c r="AF864" s="1" t="n"/>
      <c r="AG864" s="1" t="n"/>
      <c r="AH864" s="1" t="n"/>
      <c r="AI864" s="1" t="n"/>
      <c r="AJ864" s="1" t="n"/>
      <c r="AK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c r="AA865" s="1" t="n"/>
      <c r="AB865" s="1" t="n"/>
      <c r="AC865" s="1" t="n"/>
      <c r="AD865" s="1" t="n"/>
      <c r="AE865" s="1" t="n"/>
      <c r="AF865" s="1" t="n"/>
      <c r="AG865" s="1" t="n"/>
      <c r="AH865" s="1" t="n"/>
      <c r="AI865" s="1" t="n"/>
      <c r="AJ865" s="1" t="n"/>
      <c r="AK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c r="AA866" s="1" t="n"/>
      <c r="AB866" s="1" t="n"/>
      <c r="AC866" s="1" t="n"/>
      <c r="AD866" s="1" t="n"/>
      <c r="AE866" s="1" t="n"/>
      <c r="AF866" s="1" t="n"/>
      <c r="AG866" s="1" t="n"/>
      <c r="AH866" s="1" t="n"/>
      <c r="AI866" s="1" t="n"/>
      <c r="AJ866" s="1" t="n"/>
      <c r="AK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c r="AA867" s="1" t="n"/>
      <c r="AB867" s="1" t="n"/>
      <c r="AC867" s="1" t="n"/>
      <c r="AD867" s="1" t="n"/>
      <c r="AE867" s="1" t="n"/>
      <c r="AF867" s="1" t="n"/>
      <c r="AG867" s="1" t="n"/>
      <c r="AH867" s="1" t="n"/>
      <c r="AI867" s="1" t="n"/>
      <c r="AJ867" s="1" t="n"/>
      <c r="AK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c r="AA868" s="1" t="n"/>
      <c r="AB868" s="1" t="n"/>
      <c r="AC868" s="1" t="n"/>
      <c r="AD868" s="1" t="n"/>
      <c r="AE868" s="1" t="n"/>
      <c r="AF868" s="1" t="n"/>
      <c r="AG868" s="1" t="n"/>
      <c r="AH868" s="1" t="n"/>
      <c r="AI868" s="1" t="n"/>
      <c r="AJ868" s="1" t="n"/>
      <c r="AK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c r="AA869" s="1" t="n"/>
      <c r="AB869" s="1" t="n"/>
      <c r="AC869" s="1" t="n"/>
      <c r="AD869" s="1" t="n"/>
      <c r="AE869" s="1" t="n"/>
      <c r="AF869" s="1" t="n"/>
      <c r="AG869" s="1" t="n"/>
      <c r="AH869" s="1" t="n"/>
      <c r="AI869" s="1" t="n"/>
      <c r="AJ869" s="1" t="n"/>
      <c r="AK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c r="AA870" s="1" t="n"/>
      <c r="AB870" s="1" t="n"/>
      <c r="AC870" s="1" t="n"/>
      <c r="AD870" s="1" t="n"/>
      <c r="AE870" s="1" t="n"/>
      <c r="AF870" s="1" t="n"/>
      <c r="AG870" s="1" t="n"/>
      <c r="AH870" s="1" t="n"/>
      <c r="AI870" s="1" t="n"/>
      <c r="AJ870" s="1" t="n"/>
      <c r="AK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c r="AA871" s="1" t="n"/>
      <c r="AB871" s="1" t="n"/>
      <c r="AC871" s="1" t="n"/>
      <c r="AD871" s="1" t="n"/>
      <c r="AE871" s="1" t="n"/>
      <c r="AF871" s="1" t="n"/>
      <c r="AG871" s="1" t="n"/>
      <c r="AH871" s="1" t="n"/>
      <c r="AI871" s="1" t="n"/>
      <c r="AJ871" s="1" t="n"/>
      <c r="AK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c r="AA872" s="1" t="n"/>
      <c r="AB872" s="1" t="n"/>
      <c r="AC872" s="1" t="n"/>
      <c r="AD872" s="1" t="n"/>
      <c r="AE872" s="1" t="n"/>
      <c r="AF872" s="1" t="n"/>
      <c r="AG872" s="1" t="n"/>
      <c r="AH872" s="1" t="n"/>
      <c r="AI872" s="1" t="n"/>
      <c r="AJ872" s="1" t="n"/>
      <c r="AK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c r="AA873" s="1" t="n"/>
      <c r="AB873" s="1" t="n"/>
      <c r="AC873" s="1" t="n"/>
      <c r="AD873" s="1" t="n"/>
      <c r="AE873" s="1" t="n"/>
      <c r="AF873" s="1" t="n"/>
      <c r="AG873" s="1" t="n"/>
      <c r="AH873" s="1" t="n"/>
      <c r="AI873" s="1" t="n"/>
      <c r="AJ873" s="1" t="n"/>
      <c r="AK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c r="AA874" s="1" t="n"/>
      <c r="AB874" s="1" t="n"/>
      <c r="AC874" s="1" t="n"/>
      <c r="AD874" s="1" t="n"/>
      <c r="AE874" s="1" t="n"/>
      <c r="AF874" s="1" t="n"/>
      <c r="AG874" s="1" t="n"/>
      <c r="AH874" s="1" t="n"/>
      <c r="AI874" s="1" t="n"/>
      <c r="AJ874" s="1" t="n"/>
      <c r="AK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c r="AA875" s="1" t="n"/>
      <c r="AB875" s="1" t="n"/>
      <c r="AC875" s="1" t="n"/>
      <c r="AD875" s="1" t="n"/>
      <c r="AE875" s="1" t="n"/>
      <c r="AF875" s="1" t="n"/>
      <c r="AG875" s="1" t="n"/>
      <c r="AH875" s="1" t="n"/>
      <c r="AI875" s="1" t="n"/>
      <c r="AJ875" s="1" t="n"/>
      <c r="AK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c r="AA876" s="1" t="n"/>
      <c r="AB876" s="1" t="n"/>
      <c r="AC876" s="1" t="n"/>
      <c r="AD876" s="1" t="n"/>
      <c r="AE876" s="1" t="n"/>
      <c r="AF876" s="1" t="n"/>
      <c r="AG876" s="1" t="n"/>
      <c r="AH876" s="1" t="n"/>
      <c r="AI876" s="1" t="n"/>
      <c r="AJ876" s="1" t="n"/>
      <c r="AK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c r="AA877" s="1" t="n"/>
      <c r="AB877" s="1" t="n"/>
      <c r="AC877" s="1" t="n"/>
      <c r="AD877" s="1" t="n"/>
      <c r="AE877" s="1" t="n"/>
      <c r="AF877" s="1" t="n"/>
      <c r="AG877" s="1" t="n"/>
      <c r="AH877" s="1" t="n"/>
      <c r="AI877" s="1" t="n"/>
      <c r="AJ877" s="1" t="n"/>
      <c r="AK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c r="AA878" s="1" t="n"/>
      <c r="AB878" s="1" t="n"/>
      <c r="AC878" s="1" t="n"/>
      <c r="AD878" s="1" t="n"/>
      <c r="AE878" s="1" t="n"/>
      <c r="AF878" s="1" t="n"/>
      <c r="AG878" s="1" t="n"/>
      <c r="AH878" s="1" t="n"/>
      <c r="AI878" s="1" t="n"/>
      <c r="AJ878" s="1" t="n"/>
      <c r="AK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c r="AA879" s="1" t="n"/>
      <c r="AB879" s="1" t="n"/>
      <c r="AC879" s="1" t="n"/>
      <c r="AD879" s="1" t="n"/>
      <c r="AE879" s="1" t="n"/>
      <c r="AF879" s="1" t="n"/>
      <c r="AG879" s="1" t="n"/>
      <c r="AH879" s="1" t="n"/>
      <c r="AI879" s="1" t="n"/>
      <c r="AJ879" s="1" t="n"/>
      <c r="AK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c r="AA880" s="1" t="n"/>
      <c r="AB880" s="1" t="n"/>
      <c r="AC880" s="1" t="n"/>
      <c r="AD880" s="1" t="n"/>
      <c r="AE880" s="1" t="n"/>
      <c r="AF880" s="1" t="n"/>
      <c r="AG880" s="1" t="n"/>
      <c r="AH880" s="1" t="n"/>
      <c r="AI880" s="1" t="n"/>
      <c r="AJ880" s="1" t="n"/>
      <c r="AK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c r="AA881" s="1" t="n"/>
      <c r="AB881" s="1" t="n"/>
      <c r="AC881" s="1" t="n"/>
      <c r="AD881" s="1" t="n"/>
      <c r="AE881" s="1" t="n"/>
      <c r="AF881" s="1" t="n"/>
      <c r="AG881" s="1" t="n"/>
      <c r="AH881" s="1" t="n"/>
      <c r="AI881" s="1" t="n"/>
      <c r="AJ881" s="1" t="n"/>
      <c r="AK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c r="AA882" s="1" t="n"/>
      <c r="AB882" s="1" t="n"/>
      <c r="AC882" s="1" t="n"/>
      <c r="AD882" s="1" t="n"/>
      <c r="AE882" s="1" t="n"/>
      <c r="AF882" s="1" t="n"/>
      <c r="AG882" s="1" t="n"/>
      <c r="AH882" s="1" t="n"/>
      <c r="AI882" s="1" t="n"/>
      <c r="AJ882" s="1" t="n"/>
      <c r="AK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c r="AA883" s="1" t="n"/>
      <c r="AB883" s="1" t="n"/>
      <c r="AC883" s="1" t="n"/>
      <c r="AD883" s="1" t="n"/>
      <c r="AE883" s="1" t="n"/>
      <c r="AF883" s="1" t="n"/>
      <c r="AG883" s="1" t="n"/>
      <c r="AH883" s="1" t="n"/>
      <c r="AI883" s="1" t="n"/>
      <c r="AJ883" s="1" t="n"/>
      <c r="AK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c r="AA884" s="1" t="n"/>
      <c r="AB884" s="1" t="n"/>
      <c r="AC884" s="1" t="n"/>
      <c r="AD884" s="1" t="n"/>
      <c r="AE884" s="1" t="n"/>
      <c r="AF884" s="1" t="n"/>
      <c r="AG884" s="1" t="n"/>
      <c r="AH884" s="1" t="n"/>
      <c r="AI884" s="1" t="n"/>
      <c r="AJ884" s="1" t="n"/>
      <c r="AK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c r="AA885" s="1" t="n"/>
      <c r="AB885" s="1" t="n"/>
      <c r="AC885" s="1" t="n"/>
      <c r="AD885" s="1" t="n"/>
      <c r="AE885" s="1" t="n"/>
      <c r="AF885" s="1" t="n"/>
      <c r="AG885" s="1" t="n"/>
      <c r="AH885" s="1" t="n"/>
      <c r="AI885" s="1" t="n"/>
      <c r="AJ885" s="1" t="n"/>
      <c r="AK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c r="AA886" s="1" t="n"/>
      <c r="AB886" s="1" t="n"/>
      <c r="AC886" s="1" t="n"/>
      <c r="AD886" s="1" t="n"/>
      <c r="AE886" s="1" t="n"/>
      <c r="AF886" s="1" t="n"/>
      <c r="AG886" s="1" t="n"/>
      <c r="AH886" s="1" t="n"/>
      <c r="AI886" s="1" t="n"/>
      <c r="AJ886" s="1" t="n"/>
      <c r="AK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c r="AA887" s="1" t="n"/>
      <c r="AB887" s="1" t="n"/>
      <c r="AC887" s="1" t="n"/>
      <c r="AD887" s="1" t="n"/>
      <c r="AE887" s="1" t="n"/>
      <c r="AF887" s="1" t="n"/>
      <c r="AG887" s="1" t="n"/>
      <c r="AH887" s="1" t="n"/>
      <c r="AI887" s="1" t="n"/>
      <c r="AJ887" s="1" t="n"/>
      <c r="AK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c r="AA888" s="1" t="n"/>
      <c r="AB888" s="1" t="n"/>
      <c r="AC888" s="1" t="n"/>
      <c r="AD888" s="1" t="n"/>
      <c r="AE888" s="1" t="n"/>
      <c r="AF888" s="1" t="n"/>
      <c r="AG888" s="1" t="n"/>
      <c r="AH888" s="1" t="n"/>
      <c r="AI888" s="1" t="n"/>
      <c r="AJ888" s="1" t="n"/>
      <c r="AK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c r="AA889" s="1" t="n"/>
      <c r="AB889" s="1" t="n"/>
      <c r="AC889" s="1" t="n"/>
      <c r="AD889" s="1" t="n"/>
      <c r="AE889" s="1" t="n"/>
      <c r="AF889" s="1" t="n"/>
      <c r="AG889" s="1" t="n"/>
      <c r="AH889" s="1" t="n"/>
      <c r="AI889" s="1" t="n"/>
      <c r="AJ889" s="1" t="n"/>
      <c r="AK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c r="AA890" s="1" t="n"/>
      <c r="AB890" s="1" t="n"/>
      <c r="AC890" s="1" t="n"/>
      <c r="AD890" s="1" t="n"/>
      <c r="AE890" s="1" t="n"/>
      <c r="AF890" s="1" t="n"/>
      <c r="AG890" s="1" t="n"/>
      <c r="AH890" s="1" t="n"/>
      <c r="AI890" s="1" t="n"/>
      <c r="AJ890" s="1" t="n"/>
      <c r="AK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c r="AA891" s="1" t="n"/>
      <c r="AB891" s="1" t="n"/>
      <c r="AC891" s="1" t="n"/>
      <c r="AD891" s="1" t="n"/>
      <c r="AE891" s="1" t="n"/>
      <c r="AF891" s="1" t="n"/>
      <c r="AG891" s="1" t="n"/>
      <c r="AH891" s="1" t="n"/>
      <c r="AI891" s="1" t="n"/>
      <c r="AJ891" s="1" t="n"/>
      <c r="AK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c r="AA892" s="1" t="n"/>
      <c r="AB892" s="1" t="n"/>
      <c r="AC892" s="1" t="n"/>
      <c r="AD892" s="1" t="n"/>
      <c r="AE892" s="1" t="n"/>
      <c r="AF892" s="1" t="n"/>
      <c r="AG892" s="1" t="n"/>
      <c r="AH892" s="1" t="n"/>
      <c r="AI892" s="1" t="n"/>
      <c r="AJ892" s="1" t="n"/>
      <c r="AK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c r="AA893" s="1" t="n"/>
      <c r="AB893" s="1" t="n"/>
      <c r="AC893" s="1" t="n"/>
      <c r="AD893" s="1" t="n"/>
      <c r="AE893" s="1" t="n"/>
      <c r="AF893" s="1" t="n"/>
      <c r="AG893" s="1" t="n"/>
      <c r="AH893" s="1" t="n"/>
      <c r="AI893" s="1" t="n"/>
      <c r="AJ893" s="1" t="n"/>
      <c r="AK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c r="AA894" s="1" t="n"/>
      <c r="AB894" s="1" t="n"/>
      <c r="AC894" s="1" t="n"/>
      <c r="AD894" s="1" t="n"/>
      <c r="AE894" s="1" t="n"/>
      <c r="AF894" s="1" t="n"/>
      <c r="AG894" s="1" t="n"/>
      <c r="AH894" s="1" t="n"/>
      <c r="AI894" s="1" t="n"/>
      <c r="AJ894" s="1" t="n"/>
      <c r="AK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c r="AA895" s="1" t="n"/>
      <c r="AB895" s="1" t="n"/>
      <c r="AC895" s="1" t="n"/>
      <c r="AD895" s="1" t="n"/>
      <c r="AE895" s="1" t="n"/>
      <c r="AF895" s="1" t="n"/>
      <c r="AG895" s="1" t="n"/>
      <c r="AH895" s="1" t="n"/>
      <c r="AI895" s="1" t="n"/>
      <c r="AJ895" s="1" t="n"/>
      <c r="AK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c r="AA896" s="1" t="n"/>
      <c r="AB896" s="1" t="n"/>
      <c r="AC896" s="1" t="n"/>
      <c r="AD896" s="1" t="n"/>
      <c r="AE896" s="1" t="n"/>
      <c r="AF896" s="1" t="n"/>
      <c r="AG896" s="1" t="n"/>
      <c r="AH896" s="1" t="n"/>
      <c r="AI896" s="1" t="n"/>
      <c r="AJ896" s="1" t="n"/>
      <c r="AK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c r="AA897" s="1" t="n"/>
      <c r="AB897" s="1" t="n"/>
      <c r="AC897" s="1" t="n"/>
      <c r="AD897" s="1" t="n"/>
      <c r="AE897" s="1" t="n"/>
      <c r="AF897" s="1" t="n"/>
      <c r="AG897" s="1" t="n"/>
      <c r="AH897" s="1" t="n"/>
      <c r="AI897" s="1" t="n"/>
      <c r="AJ897" s="1" t="n"/>
      <c r="AK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c r="AA898" s="1" t="n"/>
      <c r="AB898" s="1" t="n"/>
      <c r="AC898" s="1" t="n"/>
      <c r="AD898" s="1" t="n"/>
      <c r="AE898" s="1" t="n"/>
      <c r="AF898" s="1" t="n"/>
      <c r="AG898" s="1" t="n"/>
      <c r="AH898" s="1" t="n"/>
      <c r="AI898" s="1" t="n"/>
      <c r="AJ898" s="1" t="n"/>
      <c r="AK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c r="AA899" s="1" t="n"/>
      <c r="AB899" s="1" t="n"/>
      <c r="AC899" s="1" t="n"/>
      <c r="AD899" s="1" t="n"/>
      <c r="AE899" s="1" t="n"/>
      <c r="AF899" s="1" t="n"/>
      <c r="AG899" s="1" t="n"/>
      <c r="AH899" s="1" t="n"/>
      <c r="AI899" s="1" t="n"/>
      <c r="AJ899" s="1" t="n"/>
      <c r="AK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c r="AA900" s="1" t="n"/>
      <c r="AB900" s="1" t="n"/>
      <c r="AC900" s="1" t="n"/>
      <c r="AD900" s="1" t="n"/>
      <c r="AE900" s="1" t="n"/>
      <c r="AF900" s="1" t="n"/>
      <c r="AG900" s="1" t="n"/>
      <c r="AH900" s="1" t="n"/>
      <c r="AI900" s="1" t="n"/>
      <c r="AJ900" s="1" t="n"/>
      <c r="AK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c r="AA901" s="1" t="n"/>
      <c r="AB901" s="1" t="n"/>
      <c r="AC901" s="1" t="n"/>
      <c r="AD901" s="1" t="n"/>
      <c r="AE901" s="1" t="n"/>
      <c r="AF901" s="1" t="n"/>
      <c r="AG901" s="1" t="n"/>
      <c r="AH901" s="1" t="n"/>
      <c r="AI901" s="1" t="n"/>
      <c r="AJ901" s="1" t="n"/>
      <c r="AK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c r="AA902" s="1" t="n"/>
      <c r="AB902" s="1" t="n"/>
      <c r="AC902" s="1" t="n"/>
      <c r="AD902" s="1" t="n"/>
      <c r="AE902" s="1" t="n"/>
      <c r="AF902" s="1" t="n"/>
      <c r="AG902" s="1" t="n"/>
      <c r="AH902" s="1" t="n"/>
      <c r="AI902" s="1" t="n"/>
      <c r="AJ902" s="1" t="n"/>
      <c r="AK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c r="AA903" s="1" t="n"/>
      <c r="AB903" s="1" t="n"/>
      <c r="AC903" s="1" t="n"/>
      <c r="AD903" s="1" t="n"/>
      <c r="AE903" s="1" t="n"/>
      <c r="AF903" s="1" t="n"/>
      <c r="AG903" s="1" t="n"/>
      <c r="AH903" s="1" t="n"/>
      <c r="AI903" s="1" t="n"/>
      <c r="AJ903" s="1" t="n"/>
      <c r="AK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c r="AA904" s="1" t="n"/>
      <c r="AB904" s="1" t="n"/>
      <c r="AC904" s="1" t="n"/>
      <c r="AD904" s="1" t="n"/>
      <c r="AE904" s="1" t="n"/>
      <c r="AF904" s="1" t="n"/>
      <c r="AG904" s="1" t="n"/>
      <c r="AH904" s="1" t="n"/>
      <c r="AI904" s="1" t="n"/>
      <c r="AJ904" s="1" t="n"/>
      <c r="AK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c r="AA905" s="1" t="n"/>
      <c r="AB905" s="1" t="n"/>
      <c r="AC905" s="1" t="n"/>
      <c r="AD905" s="1" t="n"/>
      <c r="AE905" s="1" t="n"/>
      <c r="AF905" s="1" t="n"/>
      <c r="AG905" s="1" t="n"/>
      <c r="AH905" s="1" t="n"/>
      <c r="AI905" s="1" t="n"/>
      <c r="AJ905" s="1" t="n"/>
      <c r="AK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c r="AA906" s="1" t="n"/>
      <c r="AB906" s="1" t="n"/>
      <c r="AC906" s="1" t="n"/>
      <c r="AD906" s="1" t="n"/>
      <c r="AE906" s="1" t="n"/>
      <c r="AF906" s="1" t="n"/>
      <c r="AG906" s="1" t="n"/>
      <c r="AH906" s="1" t="n"/>
      <c r="AI906" s="1" t="n"/>
      <c r="AJ906" s="1" t="n"/>
      <c r="AK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c r="AA907" s="1" t="n"/>
      <c r="AB907" s="1" t="n"/>
      <c r="AC907" s="1" t="n"/>
      <c r="AD907" s="1" t="n"/>
      <c r="AE907" s="1" t="n"/>
      <c r="AF907" s="1" t="n"/>
      <c r="AG907" s="1" t="n"/>
      <c r="AH907" s="1" t="n"/>
      <c r="AI907" s="1" t="n"/>
      <c r="AJ907" s="1" t="n"/>
      <c r="AK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c r="AA908" s="1" t="n"/>
      <c r="AB908" s="1" t="n"/>
      <c r="AC908" s="1" t="n"/>
      <c r="AD908" s="1" t="n"/>
      <c r="AE908" s="1" t="n"/>
      <c r="AF908" s="1" t="n"/>
      <c r="AG908" s="1" t="n"/>
      <c r="AH908" s="1" t="n"/>
      <c r="AI908" s="1" t="n"/>
      <c r="AJ908" s="1" t="n"/>
      <c r="AK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c r="AA909" s="1" t="n"/>
      <c r="AB909" s="1" t="n"/>
      <c r="AC909" s="1" t="n"/>
      <c r="AD909" s="1" t="n"/>
      <c r="AE909" s="1" t="n"/>
      <c r="AF909" s="1" t="n"/>
      <c r="AG909" s="1" t="n"/>
      <c r="AH909" s="1" t="n"/>
      <c r="AI909" s="1" t="n"/>
      <c r="AJ909" s="1" t="n"/>
      <c r="AK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c r="AA910" s="1" t="n"/>
      <c r="AB910" s="1" t="n"/>
      <c r="AC910" s="1" t="n"/>
      <c r="AD910" s="1" t="n"/>
      <c r="AE910" s="1" t="n"/>
      <c r="AF910" s="1" t="n"/>
      <c r="AG910" s="1" t="n"/>
      <c r="AH910" s="1" t="n"/>
      <c r="AI910" s="1" t="n"/>
      <c r="AJ910" s="1" t="n"/>
      <c r="AK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c r="AA911" s="1" t="n"/>
      <c r="AB911" s="1" t="n"/>
      <c r="AC911" s="1" t="n"/>
      <c r="AD911" s="1" t="n"/>
      <c r="AE911" s="1" t="n"/>
      <c r="AF911" s="1" t="n"/>
      <c r="AG911" s="1" t="n"/>
      <c r="AH911" s="1" t="n"/>
      <c r="AI911" s="1" t="n"/>
      <c r="AJ911" s="1" t="n"/>
      <c r="AK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c r="AA912" s="1" t="n"/>
      <c r="AB912" s="1" t="n"/>
      <c r="AC912" s="1" t="n"/>
      <c r="AD912" s="1" t="n"/>
      <c r="AE912" s="1" t="n"/>
      <c r="AF912" s="1" t="n"/>
      <c r="AG912" s="1" t="n"/>
      <c r="AH912" s="1" t="n"/>
      <c r="AI912" s="1" t="n"/>
      <c r="AJ912" s="1" t="n"/>
      <c r="AK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c r="AA913" s="1" t="n"/>
      <c r="AB913" s="1" t="n"/>
      <c r="AC913" s="1" t="n"/>
      <c r="AD913" s="1" t="n"/>
      <c r="AE913" s="1" t="n"/>
      <c r="AF913" s="1" t="n"/>
      <c r="AG913" s="1" t="n"/>
      <c r="AH913" s="1" t="n"/>
      <c r="AI913" s="1" t="n"/>
      <c r="AJ913" s="1" t="n"/>
      <c r="AK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c r="AA914" s="1" t="n"/>
      <c r="AB914" s="1" t="n"/>
      <c r="AC914" s="1" t="n"/>
      <c r="AD914" s="1" t="n"/>
      <c r="AE914" s="1" t="n"/>
      <c r="AF914" s="1" t="n"/>
      <c r="AG914" s="1" t="n"/>
      <c r="AH914" s="1" t="n"/>
      <c r="AI914" s="1" t="n"/>
      <c r="AJ914" s="1" t="n"/>
      <c r="AK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c r="AA915" s="1" t="n"/>
      <c r="AB915" s="1" t="n"/>
      <c r="AC915" s="1" t="n"/>
      <c r="AD915" s="1" t="n"/>
      <c r="AE915" s="1" t="n"/>
      <c r="AF915" s="1" t="n"/>
      <c r="AG915" s="1" t="n"/>
      <c r="AH915" s="1" t="n"/>
      <c r="AI915" s="1" t="n"/>
      <c r="AJ915" s="1" t="n"/>
      <c r="AK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c r="AA916" s="1" t="n"/>
      <c r="AB916" s="1" t="n"/>
      <c r="AC916" s="1" t="n"/>
      <c r="AD916" s="1" t="n"/>
      <c r="AE916" s="1" t="n"/>
      <c r="AF916" s="1" t="n"/>
      <c r="AG916" s="1" t="n"/>
      <c r="AH916" s="1" t="n"/>
      <c r="AI916" s="1" t="n"/>
      <c r="AJ916" s="1" t="n"/>
      <c r="AK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c r="AA917" s="1" t="n"/>
      <c r="AB917" s="1" t="n"/>
      <c r="AC917" s="1" t="n"/>
      <c r="AD917" s="1" t="n"/>
      <c r="AE917" s="1" t="n"/>
      <c r="AF917" s="1" t="n"/>
      <c r="AG917" s="1" t="n"/>
      <c r="AH917" s="1" t="n"/>
      <c r="AI917" s="1" t="n"/>
      <c r="AJ917" s="1" t="n"/>
      <c r="AK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c r="AA918" s="1" t="n"/>
      <c r="AB918" s="1" t="n"/>
      <c r="AC918" s="1" t="n"/>
      <c r="AD918" s="1" t="n"/>
      <c r="AE918" s="1" t="n"/>
      <c r="AF918" s="1" t="n"/>
      <c r="AG918" s="1" t="n"/>
      <c r="AH918" s="1" t="n"/>
      <c r="AI918" s="1" t="n"/>
      <c r="AJ918" s="1" t="n"/>
      <c r="AK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c r="AA919" s="1" t="n"/>
      <c r="AB919" s="1" t="n"/>
      <c r="AC919" s="1" t="n"/>
      <c r="AD919" s="1" t="n"/>
      <c r="AE919" s="1" t="n"/>
      <c r="AF919" s="1" t="n"/>
      <c r="AG919" s="1" t="n"/>
      <c r="AH919" s="1" t="n"/>
      <c r="AI919" s="1" t="n"/>
      <c r="AJ919" s="1" t="n"/>
      <c r="AK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c r="AA920" s="1" t="n"/>
      <c r="AB920" s="1" t="n"/>
      <c r="AC920" s="1" t="n"/>
      <c r="AD920" s="1" t="n"/>
      <c r="AE920" s="1" t="n"/>
      <c r="AF920" s="1" t="n"/>
      <c r="AG920" s="1" t="n"/>
      <c r="AH920" s="1" t="n"/>
      <c r="AI920" s="1" t="n"/>
      <c r="AJ920" s="1" t="n"/>
      <c r="AK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c r="AA921" s="1" t="n"/>
      <c r="AB921" s="1" t="n"/>
      <c r="AC921" s="1" t="n"/>
      <c r="AD921" s="1" t="n"/>
      <c r="AE921" s="1" t="n"/>
      <c r="AF921" s="1" t="n"/>
      <c r="AG921" s="1" t="n"/>
      <c r="AH921" s="1" t="n"/>
      <c r="AI921" s="1" t="n"/>
      <c r="AJ921" s="1" t="n"/>
      <c r="AK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c r="AA922" s="1" t="n"/>
      <c r="AB922" s="1" t="n"/>
      <c r="AC922" s="1" t="n"/>
      <c r="AD922" s="1" t="n"/>
      <c r="AE922" s="1" t="n"/>
      <c r="AF922" s="1" t="n"/>
      <c r="AG922" s="1" t="n"/>
      <c r="AH922" s="1" t="n"/>
      <c r="AI922" s="1" t="n"/>
      <c r="AJ922" s="1" t="n"/>
      <c r="AK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c r="AA923" s="1" t="n"/>
      <c r="AB923" s="1" t="n"/>
      <c r="AC923" s="1" t="n"/>
      <c r="AD923" s="1" t="n"/>
      <c r="AE923" s="1" t="n"/>
      <c r="AF923" s="1" t="n"/>
      <c r="AG923" s="1" t="n"/>
      <c r="AH923" s="1" t="n"/>
      <c r="AI923" s="1" t="n"/>
      <c r="AJ923" s="1" t="n"/>
      <c r="AK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c r="AA924" s="1" t="n"/>
      <c r="AB924" s="1" t="n"/>
      <c r="AC924" s="1" t="n"/>
      <c r="AD924" s="1" t="n"/>
      <c r="AE924" s="1" t="n"/>
      <c r="AF924" s="1" t="n"/>
      <c r="AG924" s="1" t="n"/>
      <c r="AH924" s="1" t="n"/>
      <c r="AI924" s="1" t="n"/>
      <c r="AJ924" s="1" t="n"/>
      <c r="AK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c r="AA925" s="1" t="n"/>
      <c r="AB925" s="1" t="n"/>
      <c r="AC925" s="1" t="n"/>
      <c r="AD925" s="1" t="n"/>
      <c r="AE925" s="1" t="n"/>
      <c r="AF925" s="1" t="n"/>
      <c r="AG925" s="1" t="n"/>
      <c r="AH925" s="1" t="n"/>
      <c r="AI925" s="1" t="n"/>
      <c r="AJ925" s="1" t="n"/>
      <c r="AK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c r="AA926" s="1" t="n"/>
      <c r="AB926" s="1" t="n"/>
      <c r="AC926" s="1" t="n"/>
      <c r="AD926" s="1" t="n"/>
      <c r="AE926" s="1" t="n"/>
      <c r="AF926" s="1" t="n"/>
      <c r="AG926" s="1" t="n"/>
      <c r="AH926" s="1" t="n"/>
      <c r="AI926" s="1" t="n"/>
      <c r="AJ926" s="1" t="n"/>
      <c r="AK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c r="AA927" s="1" t="n"/>
      <c r="AB927" s="1" t="n"/>
      <c r="AC927" s="1" t="n"/>
      <c r="AD927" s="1" t="n"/>
      <c r="AE927" s="1" t="n"/>
      <c r="AF927" s="1" t="n"/>
      <c r="AG927" s="1" t="n"/>
      <c r="AH927" s="1" t="n"/>
      <c r="AI927" s="1" t="n"/>
      <c r="AJ927" s="1" t="n"/>
      <c r="AK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c r="AA928" s="1" t="n"/>
      <c r="AB928" s="1" t="n"/>
      <c r="AC928" s="1" t="n"/>
      <c r="AD928" s="1" t="n"/>
      <c r="AE928" s="1" t="n"/>
      <c r="AF928" s="1" t="n"/>
      <c r="AG928" s="1" t="n"/>
      <c r="AH928" s="1" t="n"/>
      <c r="AI928" s="1" t="n"/>
      <c r="AJ928" s="1" t="n"/>
      <c r="AK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c r="AA929" s="1" t="n"/>
      <c r="AB929" s="1" t="n"/>
      <c r="AC929" s="1" t="n"/>
      <c r="AD929" s="1" t="n"/>
      <c r="AE929" s="1" t="n"/>
      <c r="AF929" s="1" t="n"/>
      <c r="AG929" s="1" t="n"/>
      <c r="AH929" s="1" t="n"/>
      <c r="AI929" s="1" t="n"/>
      <c r="AJ929" s="1" t="n"/>
      <c r="AK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c r="AA930" s="1" t="n"/>
      <c r="AB930" s="1" t="n"/>
      <c r="AC930" s="1" t="n"/>
      <c r="AD930" s="1" t="n"/>
      <c r="AE930" s="1" t="n"/>
      <c r="AF930" s="1" t="n"/>
      <c r="AG930" s="1" t="n"/>
      <c r="AH930" s="1" t="n"/>
      <c r="AI930" s="1" t="n"/>
      <c r="AJ930" s="1" t="n"/>
      <c r="AK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c r="AA931" s="1" t="n"/>
      <c r="AB931" s="1" t="n"/>
      <c r="AC931" s="1" t="n"/>
      <c r="AD931" s="1" t="n"/>
      <c r="AE931" s="1" t="n"/>
      <c r="AF931" s="1" t="n"/>
      <c r="AG931" s="1" t="n"/>
      <c r="AH931" s="1" t="n"/>
      <c r="AI931" s="1" t="n"/>
      <c r="AJ931" s="1" t="n"/>
      <c r="AK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c r="AA932" s="1" t="n"/>
      <c r="AB932" s="1" t="n"/>
      <c r="AC932" s="1" t="n"/>
      <c r="AD932" s="1" t="n"/>
      <c r="AE932" s="1" t="n"/>
      <c r="AF932" s="1" t="n"/>
      <c r="AG932" s="1" t="n"/>
      <c r="AH932" s="1" t="n"/>
      <c r="AI932" s="1" t="n"/>
      <c r="AJ932" s="1" t="n"/>
      <c r="AK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c r="AA933" s="1" t="n"/>
      <c r="AB933" s="1" t="n"/>
      <c r="AC933" s="1" t="n"/>
      <c r="AD933" s="1" t="n"/>
      <c r="AE933" s="1" t="n"/>
      <c r="AF933" s="1" t="n"/>
      <c r="AG933" s="1" t="n"/>
      <c r="AH933" s="1" t="n"/>
      <c r="AI933" s="1" t="n"/>
      <c r="AJ933" s="1" t="n"/>
      <c r="AK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c r="AA934" s="1" t="n"/>
      <c r="AB934" s="1" t="n"/>
      <c r="AC934" s="1" t="n"/>
      <c r="AD934" s="1" t="n"/>
      <c r="AE934" s="1" t="n"/>
      <c r="AF934" s="1" t="n"/>
      <c r="AG934" s="1" t="n"/>
      <c r="AH934" s="1" t="n"/>
      <c r="AI934" s="1" t="n"/>
      <c r="AJ934" s="1" t="n"/>
      <c r="AK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c r="AA935" s="1" t="n"/>
      <c r="AB935" s="1" t="n"/>
      <c r="AC935" s="1" t="n"/>
      <c r="AD935" s="1" t="n"/>
      <c r="AE935" s="1" t="n"/>
      <c r="AF935" s="1" t="n"/>
      <c r="AG935" s="1" t="n"/>
      <c r="AH935" s="1" t="n"/>
      <c r="AI935" s="1" t="n"/>
      <c r="AJ935" s="1" t="n"/>
      <c r="AK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c r="AA936" s="1" t="n"/>
      <c r="AB936" s="1" t="n"/>
      <c r="AC936" s="1" t="n"/>
      <c r="AD936" s="1" t="n"/>
      <c r="AE936" s="1" t="n"/>
      <c r="AF936" s="1" t="n"/>
      <c r="AG936" s="1" t="n"/>
      <c r="AH936" s="1" t="n"/>
      <c r="AI936" s="1" t="n"/>
      <c r="AJ936" s="1" t="n"/>
      <c r="AK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c r="AA937" s="1" t="n"/>
      <c r="AB937" s="1" t="n"/>
      <c r="AC937" s="1" t="n"/>
      <c r="AD937" s="1" t="n"/>
      <c r="AE937" s="1" t="n"/>
      <c r="AF937" s="1" t="n"/>
      <c r="AG937" s="1" t="n"/>
      <c r="AH937" s="1" t="n"/>
      <c r="AI937" s="1" t="n"/>
      <c r="AJ937" s="1" t="n"/>
      <c r="AK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c r="AA938" s="1" t="n"/>
      <c r="AB938" s="1" t="n"/>
      <c r="AC938" s="1" t="n"/>
      <c r="AD938" s="1" t="n"/>
      <c r="AE938" s="1" t="n"/>
      <c r="AF938" s="1" t="n"/>
      <c r="AG938" s="1" t="n"/>
      <c r="AH938" s="1" t="n"/>
      <c r="AI938" s="1" t="n"/>
      <c r="AJ938" s="1" t="n"/>
      <c r="AK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c r="AA939" s="1" t="n"/>
      <c r="AB939" s="1" t="n"/>
      <c r="AC939" s="1" t="n"/>
      <c r="AD939" s="1" t="n"/>
      <c r="AE939" s="1" t="n"/>
      <c r="AF939" s="1" t="n"/>
      <c r="AG939" s="1" t="n"/>
      <c r="AH939" s="1" t="n"/>
      <c r="AI939" s="1" t="n"/>
      <c r="AJ939" s="1" t="n"/>
      <c r="AK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c r="AA940" s="1" t="n"/>
      <c r="AB940" s="1" t="n"/>
      <c r="AC940" s="1" t="n"/>
      <c r="AD940" s="1" t="n"/>
      <c r="AE940" s="1" t="n"/>
      <c r="AF940" s="1" t="n"/>
      <c r="AG940" s="1" t="n"/>
      <c r="AH940" s="1" t="n"/>
      <c r="AI940" s="1" t="n"/>
      <c r="AJ940" s="1" t="n"/>
      <c r="AK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c r="AA941" s="1" t="n"/>
      <c r="AB941" s="1" t="n"/>
      <c r="AC941" s="1" t="n"/>
      <c r="AD941" s="1" t="n"/>
      <c r="AE941" s="1" t="n"/>
      <c r="AF941" s="1" t="n"/>
      <c r="AG941" s="1" t="n"/>
      <c r="AH941" s="1" t="n"/>
      <c r="AI941" s="1" t="n"/>
      <c r="AJ941" s="1" t="n"/>
      <c r="AK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c r="AA942" s="1" t="n"/>
      <c r="AB942" s="1" t="n"/>
      <c r="AC942" s="1" t="n"/>
      <c r="AD942" s="1" t="n"/>
      <c r="AE942" s="1" t="n"/>
      <c r="AF942" s="1" t="n"/>
      <c r="AG942" s="1" t="n"/>
      <c r="AH942" s="1" t="n"/>
      <c r="AI942" s="1" t="n"/>
      <c r="AJ942" s="1" t="n"/>
      <c r="AK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c r="AA943" s="1" t="n"/>
      <c r="AB943" s="1" t="n"/>
      <c r="AC943" s="1" t="n"/>
      <c r="AD943" s="1" t="n"/>
      <c r="AE943" s="1" t="n"/>
      <c r="AF943" s="1" t="n"/>
      <c r="AG943" s="1" t="n"/>
      <c r="AH943" s="1" t="n"/>
      <c r="AI943" s="1" t="n"/>
      <c r="AJ943" s="1" t="n"/>
      <c r="AK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c r="AA944" s="1" t="n"/>
      <c r="AB944" s="1" t="n"/>
      <c r="AC944" s="1" t="n"/>
      <c r="AD944" s="1" t="n"/>
      <c r="AE944" s="1" t="n"/>
      <c r="AF944" s="1" t="n"/>
      <c r="AG944" s="1" t="n"/>
      <c r="AH944" s="1" t="n"/>
      <c r="AI944" s="1" t="n"/>
      <c r="AJ944" s="1" t="n"/>
      <c r="AK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c r="AA945" s="1" t="n"/>
      <c r="AB945" s="1" t="n"/>
      <c r="AC945" s="1" t="n"/>
      <c r="AD945" s="1" t="n"/>
      <c r="AE945" s="1" t="n"/>
      <c r="AF945" s="1" t="n"/>
      <c r="AG945" s="1" t="n"/>
      <c r="AH945" s="1" t="n"/>
      <c r="AI945" s="1" t="n"/>
      <c r="AJ945" s="1" t="n"/>
      <c r="AK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c r="AA946" s="1" t="n"/>
      <c r="AB946" s="1" t="n"/>
      <c r="AC946" s="1" t="n"/>
      <c r="AD946" s="1" t="n"/>
      <c r="AE946" s="1" t="n"/>
      <c r="AF946" s="1" t="n"/>
      <c r="AG946" s="1" t="n"/>
      <c r="AH946" s="1" t="n"/>
      <c r="AI946" s="1" t="n"/>
      <c r="AJ946" s="1" t="n"/>
      <c r="AK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c r="AA947" s="1" t="n"/>
      <c r="AB947" s="1" t="n"/>
      <c r="AC947" s="1" t="n"/>
      <c r="AD947" s="1" t="n"/>
      <c r="AE947" s="1" t="n"/>
      <c r="AF947" s="1" t="n"/>
      <c r="AG947" s="1" t="n"/>
      <c r="AH947" s="1" t="n"/>
      <c r="AI947" s="1" t="n"/>
      <c r="AJ947" s="1" t="n"/>
      <c r="AK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c r="AA948" s="1" t="n"/>
      <c r="AB948" s="1" t="n"/>
      <c r="AC948" s="1" t="n"/>
      <c r="AD948" s="1" t="n"/>
      <c r="AE948" s="1" t="n"/>
      <c r="AF948" s="1" t="n"/>
      <c r="AG948" s="1" t="n"/>
      <c r="AH948" s="1" t="n"/>
      <c r="AI948" s="1" t="n"/>
      <c r="AJ948" s="1" t="n"/>
      <c r="AK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c r="AA949" s="1" t="n"/>
      <c r="AB949" s="1" t="n"/>
      <c r="AC949" s="1" t="n"/>
      <c r="AD949" s="1" t="n"/>
      <c r="AE949" s="1" t="n"/>
      <c r="AF949" s="1" t="n"/>
      <c r="AG949" s="1" t="n"/>
      <c r="AH949" s="1" t="n"/>
      <c r="AI949" s="1" t="n"/>
      <c r="AJ949" s="1" t="n"/>
      <c r="AK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c r="AA950" s="1" t="n"/>
      <c r="AB950" s="1" t="n"/>
      <c r="AC950" s="1" t="n"/>
      <c r="AD950" s="1" t="n"/>
      <c r="AE950" s="1" t="n"/>
      <c r="AF950" s="1" t="n"/>
      <c r="AG950" s="1" t="n"/>
      <c r="AH950" s="1" t="n"/>
      <c r="AI950" s="1" t="n"/>
      <c r="AJ950" s="1" t="n"/>
      <c r="AK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c r="AA951" s="1" t="n"/>
      <c r="AB951" s="1" t="n"/>
      <c r="AC951" s="1" t="n"/>
      <c r="AD951" s="1" t="n"/>
      <c r="AE951" s="1" t="n"/>
      <c r="AF951" s="1" t="n"/>
      <c r="AG951" s="1" t="n"/>
      <c r="AH951" s="1" t="n"/>
      <c r="AI951" s="1" t="n"/>
      <c r="AJ951" s="1" t="n"/>
      <c r="AK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c r="AA952" s="1" t="n"/>
      <c r="AB952" s="1" t="n"/>
      <c r="AC952" s="1" t="n"/>
      <c r="AD952" s="1" t="n"/>
      <c r="AE952" s="1" t="n"/>
      <c r="AF952" s="1" t="n"/>
      <c r="AG952" s="1" t="n"/>
      <c r="AH952" s="1" t="n"/>
      <c r="AI952" s="1" t="n"/>
      <c r="AJ952" s="1" t="n"/>
      <c r="AK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c r="AA953" s="1" t="n"/>
      <c r="AB953" s="1" t="n"/>
      <c r="AC953" s="1" t="n"/>
      <c r="AD953" s="1" t="n"/>
      <c r="AE953" s="1" t="n"/>
      <c r="AF953" s="1" t="n"/>
      <c r="AG953" s="1" t="n"/>
      <c r="AH953" s="1" t="n"/>
      <c r="AI953" s="1" t="n"/>
      <c r="AJ953" s="1" t="n"/>
      <c r="AK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c r="AA954" s="1" t="n"/>
      <c r="AB954" s="1" t="n"/>
      <c r="AC954" s="1" t="n"/>
      <c r="AD954" s="1" t="n"/>
      <c r="AE954" s="1" t="n"/>
      <c r="AF954" s="1" t="n"/>
      <c r="AG954" s="1" t="n"/>
      <c r="AH954" s="1" t="n"/>
      <c r="AI954" s="1" t="n"/>
      <c r="AJ954" s="1" t="n"/>
      <c r="AK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c r="AA955" s="1" t="n"/>
      <c r="AB955" s="1" t="n"/>
      <c r="AC955" s="1" t="n"/>
      <c r="AD955" s="1" t="n"/>
      <c r="AE955" s="1" t="n"/>
      <c r="AF955" s="1" t="n"/>
      <c r="AG955" s="1" t="n"/>
      <c r="AH955" s="1" t="n"/>
      <c r="AI955" s="1" t="n"/>
      <c r="AJ955" s="1" t="n"/>
      <c r="AK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c r="AA956" s="1" t="n"/>
      <c r="AB956" s="1" t="n"/>
      <c r="AC956" s="1" t="n"/>
      <c r="AD956" s="1" t="n"/>
      <c r="AE956" s="1" t="n"/>
      <c r="AF956" s="1" t="n"/>
      <c r="AG956" s="1" t="n"/>
      <c r="AH956" s="1" t="n"/>
      <c r="AI956" s="1" t="n"/>
      <c r="AJ956" s="1" t="n"/>
      <c r="AK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c r="AA957" s="1" t="n"/>
      <c r="AB957" s="1" t="n"/>
      <c r="AC957" s="1" t="n"/>
      <c r="AD957" s="1" t="n"/>
      <c r="AE957" s="1" t="n"/>
      <c r="AF957" s="1" t="n"/>
      <c r="AG957" s="1" t="n"/>
      <c r="AH957" s="1" t="n"/>
      <c r="AI957" s="1" t="n"/>
      <c r="AJ957" s="1" t="n"/>
      <c r="AK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c r="AA958" s="1" t="n"/>
      <c r="AB958" s="1" t="n"/>
      <c r="AC958" s="1" t="n"/>
      <c r="AD958" s="1" t="n"/>
      <c r="AE958" s="1" t="n"/>
      <c r="AF958" s="1" t="n"/>
      <c r="AG958" s="1" t="n"/>
      <c r="AH958" s="1" t="n"/>
      <c r="AI958" s="1" t="n"/>
      <c r="AJ958" s="1" t="n"/>
      <c r="AK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c r="AA959" s="1" t="n"/>
      <c r="AB959" s="1" t="n"/>
      <c r="AC959" s="1" t="n"/>
      <c r="AD959" s="1" t="n"/>
      <c r="AE959" s="1" t="n"/>
      <c r="AF959" s="1" t="n"/>
      <c r="AG959" s="1" t="n"/>
      <c r="AH959" s="1" t="n"/>
      <c r="AI959" s="1" t="n"/>
      <c r="AJ959" s="1" t="n"/>
      <c r="AK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c r="AA960" s="1" t="n"/>
      <c r="AB960" s="1" t="n"/>
      <c r="AC960" s="1" t="n"/>
      <c r="AD960" s="1" t="n"/>
      <c r="AE960" s="1" t="n"/>
      <c r="AF960" s="1" t="n"/>
      <c r="AG960" s="1" t="n"/>
      <c r="AH960" s="1" t="n"/>
      <c r="AI960" s="1" t="n"/>
      <c r="AJ960" s="1" t="n"/>
      <c r="AK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c r="AA961" s="1" t="n"/>
      <c r="AB961" s="1" t="n"/>
      <c r="AC961" s="1" t="n"/>
      <c r="AD961" s="1" t="n"/>
      <c r="AE961" s="1" t="n"/>
      <c r="AF961" s="1" t="n"/>
      <c r="AG961" s="1" t="n"/>
      <c r="AH961" s="1" t="n"/>
      <c r="AI961" s="1" t="n"/>
      <c r="AJ961" s="1" t="n"/>
      <c r="AK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c r="AA962" s="1" t="n"/>
      <c r="AB962" s="1" t="n"/>
      <c r="AC962" s="1" t="n"/>
      <c r="AD962" s="1" t="n"/>
      <c r="AE962" s="1" t="n"/>
      <c r="AF962" s="1" t="n"/>
      <c r="AG962" s="1" t="n"/>
      <c r="AH962" s="1" t="n"/>
      <c r="AI962" s="1" t="n"/>
      <c r="AJ962" s="1" t="n"/>
      <c r="AK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c r="AA963" s="1" t="n"/>
      <c r="AB963" s="1" t="n"/>
      <c r="AC963" s="1" t="n"/>
      <c r="AD963" s="1" t="n"/>
      <c r="AE963" s="1" t="n"/>
      <c r="AF963" s="1" t="n"/>
      <c r="AG963" s="1" t="n"/>
      <c r="AH963" s="1" t="n"/>
      <c r="AI963" s="1" t="n"/>
      <c r="AJ963" s="1" t="n"/>
      <c r="AK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c r="AA964" s="1" t="n"/>
      <c r="AB964" s="1" t="n"/>
      <c r="AC964" s="1" t="n"/>
      <c r="AD964" s="1" t="n"/>
      <c r="AE964" s="1" t="n"/>
      <c r="AF964" s="1" t="n"/>
      <c r="AG964" s="1" t="n"/>
      <c r="AH964" s="1" t="n"/>
      <c r="AI964" s="1" t="n"/>
      <c r="AJ964" s="1" t="n"/>
      <c r="AK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c r="AA965" s="1" t="n"/>
      <c r="AB965" s="1" t="n"/>
      <c r="AC965" s="1" t="n"/>
      <c r="AD965" s="1" t="n"/>
      <c r="AE965" s="1" t="n"/>
      <c r="AF965" s="1" t="n"/>
      <c r="AG965" s="1" t="n"/>
      <c r="AH965" s="1" t="n"/>
      <c r="AI965" s="1" t="n"/>
      <c r="AJ965" s="1" t="n"/>
      <c r="AK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c r="AA966" s="1" t="n"/>
      <c r="AB966" s="1" t="n"/>
      <c r="AC966" s="1" t="n"/>
      <c r="AD966" s="1" t="n"/>
      <c r="AE966" s="1" t="n"/>
      <c r="AF966" s="1" t="n"/>
      <c r="AG966" s="1" t="n"/>
      <c r="AH966" s="1" t="n"/>
      <c r="AI966" s="1" t="n"/>
      <c r="AJ966" s="1" t="n"/>
      <c r="AK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c r="AA967" s="1" t="n"/>
      <c r="AB967" s="1" t="n"/>
      <c r="AC967" s="1" t="n"/>
      <c r="AD967" s="1" t="n"/>
      <c r="AE967" s="1" t="n"/>
      <c r="AF967" s="1" t="n"/>
      <c r="AG967" s="1" t="n"/>
      <c r="AH967" s="1" t="n"/>
      <c r="AI967" s="1" t="n"/>
      <c r="AJ967" s="1" t="n"/>
      <c r="AK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c r="AA968" s="1" t="n"/>
      <c r="AB968" s="1" t="n"/>
      <c r="AC968" s="1" t="n"/>
      <c r="AD968" s="1" t="n"/>
      <c r="AE968" s="1" t="n"/>
      <c r="AF968" s="1" t="n"/>
      <c r="AG968" s="1" t="n"/>
      <c r="AH968" s="1" t="n"/>
      <c r="AI968" s="1" t="n"/>
      <c r="AJ968" s="1" t="n"/>
      <c r="AK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c r="AA969" s="1" t="n"/>
      <c r="AB969" s="1" t="n"/>
      <c r="AC969" s="1" t="n"/>
      <c r="AD969" s="1" t="n"/>
      <c r="AE969" s="1" t="n"/>
      <c r="AF969" s="1" t="n"/>
      <c r="AG969" s="1" t="n"/>
      <c r="AH969" s="1" t="n"/>
      <c r="AI969" s="1" t="n"/>
      <c r="AJ969" s="1" t="n"/>
      <c r="AK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c r="AA970" s="1" t="n"/>
      <c r="AB970" s="1" t="n"/>
      <c r="AC970" s="1" t="n"/>
      <c r="AD970" s="1" t="n"/>
      <c r="AE970" s="1" t="n"/>
      <c r="AF970" s="1" t="n"/>
      <c r="AG970" s="1" t="n"/>
      <c r="AH970" s="1" t="n"/>
      <c r="AI970" s="1" t="n"/>
      <c r="AJ970" s="1" t="n"/>
      <c r="AK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c r="AA971" s="1" t="n"/>
      <c r="AB971" s="1" t="n"/>
      <c r="AC971" s="1" t="n"/>
      <c r="AD971" s="1" t="n"/>
      <c r="AE971" s="1" t="n"/>
      <c r="AF971" s="1" t="n"/>
      <c r="AG971" s="1" t="n"/>
      <c r="AH971" s="1" t="n"/>
      <c r="AI971" s="1" t="n"/>
      <c r="AJ971" s="1" t="n"/>
      <c r="AK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c r="AA972" s="1" t="n"/>
      <c r="AB972" s="1" t="n"/>
      <c r="AC972" s="1" t="n"/>
      <c r="AD972" s="1" t="n"/>
      <c r="AE972" s="1" t="n"/>
      <c r="AF972" s="1" t="n"/>
      <c r="AG972" s="1" t="n"/>
      <c r="AH972" s="1" t="n"/>
      <c r="AI972" s="1" t="n"/>
      <c r="AJ972" s="1" t="n"/>
      <c r="AK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c r="AA973" s="1" t="n"/>
      <c r="AB973" s="1" t="n"/>
      <c r="AC973" s="1" t="n"/>
      <c r="AD973" s="1" t="n"/>
      <c r="AE973" s="1" t="n"/>
      <c r="AF973" s="1" t="n"/>
      <c r="AG973" s="1" t="n"/>
      <c r="AH973" s="1" t="n"/>
      <c r="AI973" s="1" t="n"/>
      <c r="AJ973" s="1" t="n"/>
      <c r="AK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c r="AA974" s="1" t="n"/>
      <c r="AB974" s="1" t="n"/>
      <c r="AC974" s="1" t="n"/>
      <c r="AD974" s="1" t="n"/>
      <c r="AE974" s="1" t="n"/>
      <c r="AF974" s="1" t="n"/>
      <c r="AG974" s="1" t="n"/>
      <c r="AH974" s="1" t="n"/>
      <c r="AI974" s="1" t="n"/>
      <c r="AJ974" s="1" t="n"/>
      <c r="AK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c r="AA975" s="1" t="n"/>
      <c r="AB975" s="1" t="n"/>
      <c r="AC975" s="1" t="n"/>
      <c r="AD975" s="1" t="n"/>
      <c r="AE975" s="1" t="n"/>
      <c r="AF975" s="1" t="n"/>
      <c r="AG975" s="1" t="n"/>
      <c r="AH975" s="1" t="n"/>
      <c r="AI975" s="1" t="n"/>
      <c r="AJ975" s="1" t="n"/>
      <c r="AK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c r="AA976" s="1" t="n"/>
      <c r="AB976" s="1" t="n"/>
      <c r="AC976" s="1" t="n"/>
      <c r="AD976" s="1" t="n"/>
      <c r="AE976" s="1" t="n"/>
      <c r="AF976" s="1" t="n"/>
      <c r="AG976" s="1" t="n"/>
      <c r="AH976" s="1" t="n"/>
      <c r="AI976" s="1" t="n"/>
      <c r="AJ976" s="1" t="n"/>
      <c r="AK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c r="AA977" s="1" t="n"/>
      <c r="AB977" s="1" t="n"/>
      <c r="AC977" s="1" t="n"/>
      <c r="AD977" s="1" t="n"/>
      <c r="AE977" s="1" t="n"/>
      <c r="AF977" s="1" t="n"/>
      <c r="AG977" s="1" t="n"/>
      <c r="AH977" s="1" t="n"/>
      <c r="AI977" s="1" t="n"/>
      <c r="AJ977" s="1" t="n"/>
      <c r="AK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c r="AA978" s="1" t="n"/>
      <c r="AB978" s="1" t="n"/>
      <c r="AC978" s="1" t="n"/>
      <c r="AD978" s="1" t="n"/>
      <c r="AE978" s="1" t="n"/>
      <c r="AF978" s="1" t="n"/>
      <c r="AG978" s="1" t="n"/>
      <c r="AH978" s="1" t="n"/>
      <c r="AI978" s="1" t="n"/>
      <c r="AJ978" s="1" t="n"/>
      <c r="AK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c r="AA979" s="1" t="n"/>
      <c r="AB979" s="1" t="n"/>
      <c r="AC979" s="1" t="n"/>
      <c r="AD979" s="1" t="n"/>
      <c r="AE979" s="1" t="n"/>
      <c r="AF979" s="1" t="n"/>
      <c r="AG979" s="1" t="n"/>
      <c r="AH979" s="1" t="n"/>
      <c r="AI979" s="1" t="n"/>
      <c r="AJ979" s="1" t="n"/>
      <c r="AK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c r="AA980" s="1" t="n"/>
      <c r="AB980" s="1" t="n"/>
      <c r="AC980" s="1" t="n"/>
      <c r="AD980" s="1" t="n"/>
      <c r="AE980" s="1" t="n"/>
      <c r="AF980" s="1" t="n"/>
      <c r="AG980" s="1" t="n"/>
      <c r="AH980" s="1" t="n"/>
      <c r="AI980" s="1" t="n"/>
      <c r="AJ980" s="1" t="n"/>
      <c r="AK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c r="AA981" s="1" t="n"/>
      <c r="AB981" s="1" t="n"/>
      <c r="AC981" s="1" t="n"/>
      <c r="AD981" s="1" t="n"/>
      <c r="AE981" s="1" t="n"/>
      <c r="AF981" s="1" t="n"/>
      <c r="AG981" s="1" t="n"/>
      <c r="AH981" s="1" t="n"/>
      <c r="AI981" s="1" t="n"/>
      <c r="AJ981" s="1" t="n"/>
      <c r="AK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c r="AA982" s="1" t="n"/>
      <c r="AB982" s="1" t="n"/>
      <c r="AC982" s="1" t="n"/>
      <c r="AD982" s="1" t="n"/>
      <c r="AE982" s="1" t="n"/>
      <c r="AF982" s="1" t="n"/>
      <c r="AG982" s="1" t="n"/>
      <c r="AH982" s="1" t="n"/>
      <c r="AI982" s="1" t="n"/>
      <c r="AJ982" s="1" t="n"/>
      <c r="AK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c r="AA983" s="1" t="n"/>
      <c r="AB983" s="1" t="n"/>
      <c r="AC983" s="1" t="n"/>
      <c r="AD983" s="1" t="n"/>
      <c r="AE983" s="1" t="n"/>
      <c r="AF983" s="1" t="n"/>
      <c r="AG983" s="1" t="n"/>
      <c r="AH983" s="1" t="n"/>
      <c r="AI983" s="1" t="n"/>
      <c r="AJ983" s="1" t="n"/>
      <c r="AK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c r="AA984" s="1" t="n"/>
      <c r="AB984" s="1" t="n"/>
      <c r="AC984" s="1" t="n"/>
      <c r="AD984" s="1" t="n"/>
      <c r="AE984" s="1" t="n"/>
      <c r="AF984" s="1" t="n"/>
      <c r="AG984" s="1" t="n"/>
      <c r="AH984" s="1" t="n"/>
      <c r="AI984" s="1" t="n"/>
      <c r="AJ984" s="1" t="n"/>
      <c r="AK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c r="AA985" s="1" t="n"/>
      <c r="AB985" s="1" t="n"/>
      <c r="AC985" s="1" t="n"/>
      <c r="AD985" s="1" t="n"/>
      <c r="AE985" s="1" t="n"/>
      <c r="AF985" s="1" t="n"/>
      <c r="AG985" s="1" t="n"/>
      <c r="AH985" s="1" t="n"/>
      <c r="AI985" s="1" t="n"/>
      <c r="AJ985" s="1" t="n"/>
      <c r="AK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c r="AA986" s="1" t="n"/>
      <c r="AB986" s="1" t="n"/>
      <c r="AC986" s="1" t="n"/>
      <c r="AD986" s="1" t="n"/>
      <c r="AE986" s="1" t="n"/>
      <c r="AF986" s="1" t="n"/>
      <c r="AG986" s="1" t="n"/>
      <c r="AH986" s="1" t="n"/>
      <c r="AI986" s="1" t="n"/>
      <c r="AJ986" s="1" t="n"/>
      <c r="AK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c r="AA987" s="1" t="n"/>
      <c r="AB987" s="1" t="n"/>
      <c r="AC987" s="1" t="n"/>
      <c r="AD987" s="1" t="n"/>
      <c r="AE987" s="1" t="n"/>
      <c r="AF987" s="1" t="n"/>
      <c r="AG987" s="1" t="n"/>
      <c r="AH987" s="1" t="n"/>
      <c r="AI987" s="1" t="n"/>
      <c r="AJ987" s="1" t="n"/>
      <c r="AK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c r="AA988" s="1" t="n"/>
      <c r="AB988" s="1" t="n"/>
      <c r="AC988" s="1" t="n"/>
      <c r="AD988" s="1" t="n"/>
      <c r="AE988" s="1" t="n"/>
      <c r="AF988" s="1" t="n"/>
      <c r="AG988" s="1" t="n"/>
      <c r="AH988" s="1" t="n"/>
      <c r="AI988" s="1" t="n"/>
      <c r="AJ988" s="1" t="n"/>
      <c r="AK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c r="AA989" s="1" t="n"/>
      <c r="AB989" s="1" t="n"/>
      <c r="AC989" s="1" t="n"/>
      <c r="AD989" s="1" t="n"/>
      <c r="AE989" s="1" t="n"/>
      <c r="AF989" s="1" t="n"/>
      <c r="AG989" s="1" t="n"/>
      <c r="AH989" s="1" t="n"/>
      <c r="AI989" s="1" t="n"/>
      <c r="AJ989" s="1" t="n"/>
      <c r="AK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c r="AA990" s="1" t="n"/>
      <c r="AB990" s="1" t="n"/>
      <c r="AC990" s="1" t="n"/>
      <c r="AD990" s="1" t="n"/>
      <c r="AE990" s="1" t="n"/>
      <c r="AF990" s="1" t="n"/>
      <c r="AG990" s="1" t="n"/>
      <c r="AH990" s="1" t="n"/>
      <c r="AI990" s="1" t="n"/>
      <c r="AJ990" s="1" t="n"/>
      <c r="AK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c r="AA991" s="1" t="n"/>
      <c r="AB991" s="1" t="n"/>
      <c r="AC991" s="1" t="n"/>
      <c r="AD991" s="1" t="n"/>
      <c r="AE991" s="1" t="n"/>
      <c r="AF991" s="1" t="n"/>
      <c r="AG991" s="1" t="n"/>
      <c r="AH991" s="1" t="n"/>
      <c r="AI991" s="1" t="n"/>
      <c r="AJ991" s="1" t="n"/>
      <c r="AK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c r="AA992" s="1" t="n"/>
      <c r="AB992" s="1" t="n"/>
      <c r="AC992" s="1" t="n"/>
      <c r="AD992" s="1" t="n"/>
      <c r="AE992" s="1" t="n"/>
      <c r="AF992" s="1" t="n"/>
      <c r="AG992" s="1" t="n"/>
      <c r="AH992" s="1" t="n"/>
      <c r="AI992" s="1" t="n"/>
      <c r="AJ992" s="1" t="n"/>
      <c r="AK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c r="AA993" s="1" t="n"/>
      <c r="AB993" s="1" t="n"/>
      <c r="AC993" s="1" t="n"/>
      <c r="AD993" s="1" t="n"/>
      <c r="AE993" s="1" t="n"/>
      <c r="AF993" s="1" t="n"/>
      <c r="AG993" s="1" t="n"/>
      <c r="AH993" s="1" t="n"/>
      <c r="AI993" s="1" t="n"/>
      <c r="AJ993" s="1" t="n"/>
      <c r="AK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c r="AA994" s="1" t="n"/>
      <c r="AB994" s="1" t="n"/>
      <c r="AC994" s="1" t="n"/>
      <c r="AD994" s="1" t="n"/>
      <c r="AE994" s="1" t="n"/>
      <c r="AF994" s="1" t="n"/>
      <c r="AG994" s="1" t="n"/>
      <c r="AH994" s="1" t="n"/>
      <c r="AI994" s="1" t="n"/>
      <c r="AJ994" s="1" t="n"/>
      <c r="AK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c r="AA995" s="1" t="n"/>
      <c r="AB995" s="1" t="n"/>
      <c r="AC995" s="1" t="n"/>
      <c r="AD995" s="1" t="n"/>
      <c r="AE995" s="1" t="n"/>
      <c r="AF995" s="1" t="n"/>
      <c r="AG995" s="1" t="n"/>
      <c r="AH995" s="1" t="n"/>
      <c r="AI995" s="1" t="n"/>
      <c r="AJ995" s="1" t="n"/>
      <c r="AK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c r="AA996" s="1" t="n"/>
      <c r="AB996" s="1" t="n"/>
      <c r="AC996" s="1" t="n"/>
      <c r="AD996" s="1" t="n"/>
      <c r="AE996" s="1" t="n"/>
      <c r="AF996" s="1" t="n"/>
      <c r="AG996" s="1" t="n"/>
      <c r="AH996" s="1" t="n"/>
      <c r="AI996" s="1" t="n"/>
      <c r="AJ996" s="1" t="n"/>
      <c r="AK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c r="AA997" s="1" t="n"/>
      <c r="AB997" s="1" t="n"/>
      <c r="AC997" s="1" t="n"/>
      <c r="AD997" s="1" t="n"/>
      <c r="AE997" s="1" t="n"/>
      <c r="AF997" s="1" t="n"/>
      <c r="AG997" s="1" t="n"/>
      <c r="AH997" s="1" t="n"/>
      <c r="AI997" s="1" t="n"/>
      <c r="AJ997" s="1" t="n"/>
      <c r="AK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c r="AA998" s="1" t="n"/>
      <c r="AB998" s="1" t="n"/>
      <c r="AC998" s="1" t="n"/>
      <c r="AD998" s="1" t="n"/>
      <c r="AE998" s="1" t="n"/>
      <c r="AF998" s="1" t="n"/>
      <c r="AG998" s="1" t="n"/>
      <c r="AH998" s="1" t="n"/>
      <c r="AI998" s="1" t="n"/>
      <c r="AJ998" s="1" t="n"/>
      <c r="AK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c r="AA999" s="1" t="n"/>
      <c r="AB999" s="1" t="n"/>
      <c r="AC999" s="1" t="n"/>
      <c r="AD999" s="1" t="n"/>
      <c r="AE999" s="1" t="n"/>
      <c r="AF999" s="1" t="n"/>
      <c r="AG999" s="1" t="n"/>
      <c r="AH999" s="1" t="n"/>
      <c r="AI999" s="1" t="n"/>
      <c r="AJ999" s="1" t="n"/>
      <c r="AK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c r="AA1000" s="1" t="n"/>
      <c r="AB1000" s="1" t="n"/>
      <c r="AC1000" s="1" t="n"/>
      <c r="AD1000" s="1" t="n"/>
      <c r="AE1000" s="1" t="n"/>
      <c r="AF1000" s="1" t="n"/>
      <c r="AG1000" s="1" t="n"/>
      <c r="AH1000" s="1" t="n"/>
      <c r="AI1000" s="1" t="n"/>
      <c r="AJ1000" s="1" t="n"/>
      <c r="AK1000" s="1" t="n"/>
    </row>
  </sheetData>
  <mergeCells count="4">
    <mergeCell ref="B2:J2"/>
    <mergeCell ref="P3:Q3"/>
    <mergeCell ref="AF54:AJ54"/>
    <mergeCell ref="R4:T4"/>
  </mergeCells>
  <conditionalFormatting sqref="A6:T205">
    <cfRule type="expression" priority="1" dxfId="3">
      <formula>AND($M6&lt;&gt;"",$M6&lt;0)</formula>
    </cfRule>
    <cfRule type="expression" priority="2" dxfId="4">
      <formula>AND($M6&lt;&gt;"",$M6&gt;=0,$M6&lt;=3)</formula>
    </cfRule>
    <cfRule type="expression" priority="3" dxfId="5">
      <formula>AND($C6&lt;&gt;"",$K6=0)</formula>
    </cfRule>
  </conditionalFormatting>
  <conditionalFormatting sqref="J6:J205">
    <cfRule type="expression" priority="4" dxfId="6">
      <formula>AND(N($J6)&gt;0,N($J6)&lt;N($I6))</formula>
    </cfRule>
  </conditionalFormatting>
  <conditionalFormatting sqref="P6:P205">
    <cfRule type="cellIs" priority="5" operator="equal" dxfId="3">
      <formula>"1 · Urgente"</formula>
    </cfRule>
    <cfRule type="cellIs" priority="6" operator="equal" dxfId="4">
      <formula>"2 · Alta"</formula>
    </cfRule>
  </conditionalFormatting>
  <dataValidations count="4">
    <dataValidation sqref="P6:P205" showDropDown="0" showInputMessage="0" showErrorMessage="0" allowBlank="1" type="list">
      <formula1>"1 · Urgente,2 · Alta,3 · Media,4 · Baja"</formula1>
    </dataValidation>
    <dataValidation sqref="B6:B205" showDropDown="0" showInputMessage="0" showErrorMessage="0" allowBlank="1" type="list">
      <formula1>"Pendiente,Domiciliada,Pagada"</formula1>
    </dataValidation>
    <dataValidation sqref="D6:D205" showDropDown="0" showInputMessage="0" showErrorMessage="0" allowBlank="1" type="list">
      <formula1>$AF$6:$AF$19</formula1>
    </dataValidation>
    <dataValidation sqref="L6:L205" showDropDown="0" showInputMessage="0" showErrorMessage="0" allowBlank="1" type="list">
      <formula1>Disponibilidad!$B$6:$B$18</formula1>
    </dataValidation>
  </dataValidations>
  <hyperlinks>
    <hyperlink xmlns:r="http://schemas.openxmlformats.org/officeDocument/2006/relationships" ref="C55" r:id="rId1"/>
  </hyperlinks>
  <pageMargins left="0.75" right="0.75" top="1" bottom="1" header="0" footer="0"/>
  <pageSetup orientation="portrait" paperSize="9"/>
  <drawing xmlns:r="http://schemas.openxmlformats.org/officeDocument/2006/relationships" r:id="rId2"/>
</worksheet>
</file>

<file path=xl/worksheets/sheet6.xml><?xml version="1.0" encoding="utf-8"?>
<worksheet xmlns="http://schemas.openxmlformats.org/spreadsheetml/2006/main">
  <sheetPr>
    <tabColor rgb="FFB0621F"/>
    <outlinePr summaryBelow="1" summaryRight="1"/>
    <pageSetUpPr/>
  </sheetPr>
  <dimension ref="A1:Z1000"/>
  <sheetViews>
    <sheetView showGridLines="0" workbookViewId="0">
      <pane ySplit="11" topLeftCell="A12" activePane="bottomLeft" state="frozen"/>
      <selection pane="bottomLeft" activeCell="B13" sqref="B13"/>
    </sheetView>
  </sheetViews>
  <sheetFormatPr baseColWidth="8" defaultColWidth="14.43" defaultRowHeight="15" customHeight="1"/>
  <cols>
    <col width="4" customWidth="1" style="311" min="1" max="1"/>
    <col width="13" customWidth="1" style="311" min="2" max="2"/>
    <col width="13.14" customWidth="1" style="311" min="3" max="3"/>
    <col width="24" customWidth="1" style="311" min="4" max="4"/>
    <col width="22" customWidth="1" style="311" min="5" max="5"/>
    <col width="36.86" customWidth="1" style="311" min="6" max="6"/>
    <col width="16" customWidth="1" style="311" min="7" max="7"/>
    <col width="13" customWidth="1" style="311" min="8" max="8"/>
    <col width="8" customWidth="1" style="311" min="9" max="9"/>
    <col width="16" customWidth="1" style="311" min="10" max="10"/>
    <col width="13" customWidth="1" style="311" min="11" max="11"/>
    <col width="14" customWidth="1" style="311" min="12" max="13"/>
    <col width="15" customWidth="1" style="311" min="14" max="14"/>
    <col width="26" customWidth="1" style="311" min="15" max="15"/>
    <col width="9" customWidth="1" style="311" min="16" max="16"/>
  </cols>
  <sheetData>
    <row r="1" ht="21.75" customHeight="1" s="311">
      <c r="A1" s="145" t="n"/>
      <c r="B1" s="19" t="inlineStr">
        <is>
          <t>FACTURAS PRIORIZADAS</t>
        </is>
      </c>
      <c r="C1" s="145" t="n"/>
      <c r="D1" s="145" t="n"/>
      <c r="E1" s="145" t="n"/>
      <c r="F1" s="145" t="n"/>
      <c r="G1" s="145" t="n"/>
      <c r="H1" s="145" t="n"/>
      <c r="I1" s="145" t="n"/>
      <c r="J1" s="145" t="n"/>
      <c r="K1" s="145" t="n"/>
      <c r="L1" s="145" t="n"/>
      <c r="M1" s="145" t="n"/>
      <c r="N1" s="145" t="n"/>
      <c r="O1" s="145" t="n"/>
      <c r="P1" s="145" t="n"/>
      <c r="Q1" s="1" t="n"/>
      <c r="R1" s="1" t="n"/>
      <c r="S1" s="1" t="n"/>
      <c r="T1" s="1" t="n"/>
      <c r="U1" s="1" t="n"/>
      <c r="V1" s="1" t="n"/>
      <c r="W1" s="1" t="n"/>
      <c r="X1" s="1" t="n"/>
      <c r="Y1" s="1" t="n"/>
      <c r="Z1" s="1" t="n"/>
    </row>
    <row r="2" ht="30" customHeight="1" s="311">
      <c r="A2" s="145" t="n"/>
      <c r="B2" s="20" t="inlineStr">
        <is>
          <t>Se llena sola con las facturas que marcas en la columna "PRIORIDAD DE PAGO" de la hoja Facturas, y solo con esas. Van ordenadas por nivel de prioridad (1 Urgente primero) y, dentro de cada nivel, de la más vencida a la más lejana. En cuanto una factura queda saldada o le quitas la marca, desaparece de esta lista.</t>
        </is>
      </c>
      <c r="C2" s="145" t="n"/>
      <c r="D2" s="145" t="n"/>
      <c r="E2" s="145" t="n"/>
      <c r="F2" s="145" t="n"/>
      <c r="G2" s="145" t="n"/>
      <c r="H2" s="145" t="n"/>
      <c r="I2" s="145" t="n"/>
      <c r="J2" s="145" t="n"/>
      <c r="K2" s="145" t="n"/>
      <c r="L2" s="145" t="n"/>
      <c r="M2" s="145" t="n"/>
      <c r="N2" s="145" t="n"/>
      <c r="O2" s="145" t="n"/>
      <c r="P2" s="145" t="n"/>
      <c r="Q2" s="1" t="n"/>
      <c r="R2" s="1" t="n"/>
      <c r="S2" s="1" t="n"/>
      <c r="T2" s="1" t="n"/>
      <c r="U2" s="1" t="n"/>
      <c r="V2" s="1" t="n"/>
      <c r="W2" s="1" t="n"/>
      <c r="X2" s="1" t="n"/>
      <c r="Y2" s="1" t="n"/>
      <c r="Z2" s="1" t="n"/>
    </row>
    <row r="3">
      <c r="A3" s="145" t="n"/>
      <c r="B3" s="145" t="n"/>
      <c r="C3" s="145" t="n"/>
      <c r="D3" s="145" t="n"/>
      <c r="E3" s="145" t="n"/>
      <c r="F3" s="145" t="n"/>
      <c r="G3" s="145" t="n"/>
      <c r="H3" s="145" t="n"/>
      <c r="I3" s="145" t="n"/>
      <c r="J3" s="145" t="n"/>
      <c r="K3" s="145" t="n"/>
      <c r="L3" s="145" t="n"/>
      <c r="M3" s="145" t="n"/>
      <c r="N3" s="145" t="n"/>
      <c r="O3" s="145" t="n"/>
      <c r="P3" s="145" t="n"/>
      <c r="Q3" s="1" t="n"/>
      <c r="R3" s="1" t="n"/>
      <c r="S3" s="1" t="n"/>
      <c r="T3" s="1" t="n"/>
      <c r="U3" s="1" t="n"/>
      <c r="V3" s="1" t="n"/>
      <c r="W3" s="1" t="n"/>
      <c r="X3" s="1" t="n"/>
      <c r="Y3" s="1" t="n"/>
      <c r="Z3" s="1" t="n"/>
    </row>
    <row r="4" ht="21.75" customHeight="1" s="311">
      <c r="A4" s="145" t="n"/>
      <c r="B4" s="21" t="inlineStr">
        <is>
          <t>RESUMEN DE LA SELECCIÓN</t>
        </is>
      </c>
      <c r="C4" s="22" t="n"/>
      <c r="D4" s="22" t="n"/>
      <c r="E4" s="22" t="n"/>
      <c r="F4" s="22" t="n"/>
      <c r="G4" s="22" t="n"/>
      <c r="H4" s="22" t="n"/>
      <c r="I4" s="22" t="n"/>
      <c r="J4" s="22" t="n"/>
      <c r="K4" s="22" t="n"/>
      <c r="L4" s="22" t="n"/>
      <c r="M4" s="22" t="n"/>
      <c r="N4" s="22" t="n"/>
      <c r="O4" s="22" t="n"/>
      <c r="P4" s="145" t="n"/>
      <c r="Q4" s="1" t="n"/>
      <c r="R4" s="1" t="n"/>
      <c r="S4" s="1" t="n"/>
      <c r="T4" s="1" t="n"/>
      <c r="U4" s="1" t="n"/>
      <c r="V4" s="1" t="n"/>
      <c r="W4" s="1" t="n"/>
      <c r="X4" s="1" t="n"/>
      <c r="Y4" s="1" t="n"/>
      <c r="Z4" s="1" t="n"/>
    </row>
    <row r="5" ht="15" customHeight="1" s="311">
      <c r="A5" s="145" t="n"/>
      <c r="B5" s="396" t="inlineStr">
        <is>
          <t>FACTURAS MARCADAS</t>
        </is>
      </c>
      <c r="C5" s="314" t="n"/>
      <c r="D5" s="397" t="inlineStr">
        <is>
          <t>IMPORTE A PAGAR</t>
        </is>
      </c>
      <c r="E5" s="314" t="n"/>
      <c r="F5" s="318" t="inlineStr">
        <is>
          <t>DISPONIBLE HOY</t>
        </is>
      </c>
      <c r="G5" s="314" t="n"/>
      <c r="H5" s="317" t="inlineStr">
        <is>
          <t>TE QUEDARÍA</t>
        </is>
      </c>
      <c r="I5" s="314" t="n"/>
      <c r="J5" s="398" t="inlineStr">
        <is>
          <t>VENCIDAS EN LA LISTA</t>
        </is>
      </c>
      <c r="K5" s="314" t="n"/>
      <c r="L5" s="399" t="inlineStr">
        <is>
          <t>% DEL TOTAL PENDIENTE</t>
        </is>
      </c>
      <c r="M5" s="314" t="n"/>
      <c r="N5" s="145" t="n"/>
      <c r="O5" s="145" t="n"/>
      <c r="P5" s="145" t="n"/>
      <c r="Q5" s="1" t="n"/>
      <c r="R5" s="1" t="n"/>
      <c r="S5" s="1" t="n"/>
      <c r="T5" s="1" t="n"/>
      <c r="U5" s="1" t="n"/>
      <c r="V5" s="1" t="n"/>
      <c r="W5" s="1" t="n"/>
      <c r="X5" s="1" t="n"/>
      <c r="Y5" s="1" t="n"/>
      <c r="Z5" s="1" t="n"/>
    </row>
    <row r="6" ht="25.5" customHeight="1" s="311">
      <c r="A6" s="145" t="n"/>
      <c r="B6" s="400">
        <f>COUNTIFS(Facturas!$P$6:$P$205,"&lt;&gt;",Facturas!$K$6:$K$205,"&gt;0")</f>
        <v/>
      </c>
      <c r="C6" s="314" t="n"/>
      <c r="D6" s="319">
        <f>SUMIFS(Facturas!$K$6:$K$205,Facturas!$P$6:$P$205,"&lt;&gt;")</f>
        <v/>
      </c>
      <c r="E6" s="314" t="n"/>
      <c r="F6" s="319">
        <f>Disponibilidad!$G$33</f>
        <v/>
      </c>
      <c r="G6" s="314" t="n"/>
      <c r="H6" s="319">
        <f>Disponibilidad!$G$33-(SUMIFS(Facturas!$K$6:$K$205,Facturas!$P$6:$P$205,"&lt;&gt;"))</f>
        <v/>
      </c>
      <c r="I6" s="314" t="n"/>
      <c r="J6" s="319">
        <f>SUMIFS(Facturas!$K$6:$K$205,Facturas!$P$6:$P$205,"&lt;&gt;",Facturas!$M$6:$M$205,"&lt;0")</f>
        <v/>
      </c>
      <c r="K6" s="314" t="n"/>
      <c r="L6" s="401">
        <f>IFERROR((SUMIFS(Facturas!$K$6:$K$205,Facturas!$P$6:$P$205,"&lt;&gt;"))/Facturas!$AG$20,"")</f>
        <v/>
      </c>
      <c r="M6" s="314" t="n"/>
      <c r="N6" s="145" t="n"/>
      <c r="O6" s="145" t="n"/>
      <c r="P6" s="145" t="n"/>
      <c r="Q6" s="1" t="n"/>
      <c r="R6" s="1" t="n"/>
      <c r="S6" s="1" t="n"/>
      <c r="T6" s="1" t="n"/>
      <c r="U6" s="1" t="n"/>
      <c r="V6" s="1" t="n"/>
      <c r="W6" s="1" t="n"/>
      <c r="X6" s="1" t="n"/>
      <c r="Y6" s="1" t="n"/>
      <c r="Z6" s="1" t="n"/>
    </row>
    <row r="7" ht="15" customHeight="1" s="311">
      <c r="A7" s="145" t="n"/>
      <c r="B7" s="320" t="inlineStr">
        <is>
          <t>Con saldo pendiente</t>
        </is>
      </c>
      <c r="C7" s="314" t="n"/>
      <c r="D7" s="320" t="inlineStr">
        <is>
          <t>Suma de sus saldos</t>
        </is>
      </c>
      <c r="E7" s="314" t="n"/>
      <c r="F7" s="320" t="inlineStr">
        <is>
          <t>Dinero que puedes mover</t>
        </is>
      </c>
      <c r="G7" s="314" t="n"/>
      <c r="H7" s="320" t="inlineStr">
        <is>
          <t>Después de pagarlas</t>
        </is>
      </c>
      <c r="I7" s="314" t="n"/>
      <c r="J7" s="320" t="inlineStr">
        <is>
          <t>Ya fuera de plazo</t>
        </is>
      </c>
      <c r="K7" s="314" t="n"/>
      <c r="L7" s="320" t="inlineStr">
        <is>
          <t>Sobre todas tus facturas</t>
        </is>
      </c>
      <c r="M7" s="314" t="n"/>
      <c r="N7" s="145" t="n"/>
      <c r="O7" s="145" t="n"/>
      <c r="P7" s="145" t="n"/>
      <c r="Q7" s="1" t="n"/>
      <c r="R7" s="1" t="n"/>
      <c r="S7" s="1" t="n"/>
      <c r="T7" s="1" t="n"/>
      <c r="U7" s="1" t="n"/>
      <c r="V7" s="1" t="n"/>
      <c r="W7" s="1" t="n"/>
      <c r="X7" s="1" t="n"/>
      <c r="Y7" s="1" t="n"/>
      <c r="Z7" s="1" t="n"/>
    </row>
    <row r="8">
      <c r="A8" s="145" t="n"/>
      <c r="B8" s="145" t="n"/>
      <c r="C8" s="145" t="n"/>
      <c r="D8" s="145" t="n"/>
      <c r="E8" s="145" t="n"/>
      <c r="F8" s="145" t="n"/>
      <c r="G8" s="145" t="n"/>
      <c r="H8" s="145" t="n"/>
      <c r="I8" s="145" t="n"/>
      <c r="J8" s="145" t="n"/>
      <c r="K8" s="145" t="n"/>
      <c r="L8" s="145" t="n"/>
      <c r="M8" s="145" t="n"/>
      <c r="N8" s="145" t="n"/>
      <c r="O8" s="145" t="n"/>
      <c r="P8" s="145" t="n"/>
      <c r="Q8" s="1" t="n"/>
      <c r="R8" s="1" t="n"/>
      <c r="S8" s="1" t="n"/>
      <c r="T8" s="1" t="n"/>
      <c r="U8" s="1" t="n"/>
      <c r="V8" s="1" t="n"/>
      <c r="W8" s="1" t="n"/>
      <c r="X8" s="1" t="n"/>
      <c r="Y8" s="1" t="n"/>
      <c r="Z8" s="1" t="n"/>
    </row>
    <row r="9" ht="15" customHeight="1" s="311">
      <c r="A9" s="145" t="n"/>
      <c r="B9" s="23" t="inlineStr">
        <is>
          <t>Diagnóstico</t>
        </is>
      </c>
      <c r="C9" s="324">
        <f>IF(COUNTIFS(Facturas!$P$6:$P$205,"&lt;&gt;",Facturas!$K$6:$K$205,"&gt;0")=0,"Todavía no has marcado ninguna factura en la hoja Facturas",IF(Disponibilidad!$G$33&gt;=(SUMIFS(Facturas!$K$6:$K$205,Facturas!$P$6:$P$205,"&lt;&gt;")),"✅ Te alcanza: puedes pagar las "&amp;COUNTIFS(Facturas!$P$6:$P$205,"&lt;&gt;",Facturas!$K$6:$K$205,"&gt;0")&amp;" facturas marcadas","🔴 No te alcanza: faltan "&amp;TEXT((SUMIFS(Facturas!$K$6:$K$205,Facturas!$P$6:$P$205,"&lt;&gt;"))-Disponibilidad!$G$33,"#,##0.00")&amp;" € para cubrir la selección"))</f>
        <v/>
      </c>
      <c r="D9" s="313" t="n"/>
      <c r="E9" s="313" t="n"/>
      <c r="F9" s="313" t="n"/>
      <c r="G9" s="313" t="n"/>
      <c r="H9" s="314" t="n"/>
      <c r="I9" s="145" t="n"/>
      <c r="J9" s="145" t="n"/>
      <c r="K9" s="145" t="n"/>
      <c r="L9" s="145" t="n"/>
      <c r="M9" s="145" t="n"/>
      <c r="N9" s="145" t="n"/>
      <c r="O9" s="145" t="n"/>
      <c r="P9" s="145" t="n"/>
      <c r="Q9" s="1" t="n"/>
      <c r="R9" s="1" t="n"/>
      <c r="S9" s="1" t="n"/>
      <c r="T9" s="1" t="n"/>
      <c r="U9" s="1" t="n"/>
      <c r="V9" s="1" t="n"/>
      <c r="W9" s="1" t="n"/>
      <c r="X9" s="1" t="n"/>
      <c r="Y9" s="1" t="n"/>
      <c r="Z9" s="1" t="n"/>
    </row>
    <row r="10">
      <c r="A10" s="145" t="n"/>
      <c r="B10" s="145" t="n"/>
      <c r="C10" s="145" t="n"/>
      <c r="D10" s="145" t="n"/>
      <c r="E10" s="145" t="n"/>
      <c r="F10" s="145" t="n"/>
      <c r="G10" s="145" t="n"/>
      <c r="H10" s="145" t="n"/>
      <c r="I10" s="145" t="n"/>
      <c r="J10" s="145" t="n"/>
      <c r="K10" s="145" t="n"/>
      <c r="L10" s="145" t="n"/>
      <c r="M10" s="145" t="n"/>
      <c r="N10" s="145" t="n"/>
      <c r="O10" s="145" t="n"/>
      <c r="P10" s="145" t="n"/>
      <c r="Q10" s="1" t="n"/>
      <c r="R10" s="1" t="n"/>
      <c r="S10" s="1" t="n"/>
      <c r="T10" s="1" t="n"/>
      <c r="U10" s="1" t="n"/>
      <c r="V10" s="1" t="n"/>
      <c r="W10" s="1" t="n"/>
      <c r="X10" s="1" t="n"/>
      <c r="Y10" s="1" t="n"/>
      <c r="Z10" s="1" t="n"/>
    </row>
    <row r="11" ht="21.75" customHeight="1" s="311">
      <c r="A11" s="21" t="inlineStr">
        <is>
          <t>FACTURAS SELECCIONADAS  —  en orden de pago</t>
        </is>
      </c>
      <c r="B11" s="22" t="n"/>
      <c r="C11" s="22" t="n"/>
      <c r="D11" s="22" t="n"/>
      <c r="E11" s="22" t="n"/>
      <c r="F11" s="22" t="n"/>
      <c r="G11" s="22" t="n"/>
      <c r="H11" s="22" t="n"/>
      <c r="I11" s="22" t="n"/>
      <c r="J11" s="22" t="n"/>
      <c r="K11" s="22" t="n"/>
      <c r="L11" s="22" t="n"/>
      <c r="M11" s="22" t="n"/>
      <c r="N11" s="22" t="n"/>
      <c r="O11" s="22" t="n"/>
      <c r="P11" s="22" t="n"/>
      <c r="Q11" s="1" t="n"/>
      <c r="R11" s="1" t="n"/>
      <c r="S11" s="1" t="n"/>
      <c r="T11" s="1" t="n"/>
      <c r="U11" s="1" t="n"/>
      <c r="V11" s="1" t="n"/>
      <c r="W11" s="1" t="n"/>
      <c r="X11" s="1" t="n"/>
      <c r="Y11" s="1" t="n"/>
      <c r="Z11" s="1" t="n"/>
    </row>
    <row r="12" ht="36" customHeight="1" s="311">
      <c r="A12" s="33" t="inlineStr">
        <is>
          <t>#</t>
        </is>
      </c>
      <c r="B12" s="33" t="inlineStr">
        <is>
          <t>Prioridad</t>
        </is>
      </c>
      <c r="C12" s="33" t="inlineStr">
        <is>
          <t>Nº</t>
        </is>
      </c>
      <c r="D12" s="33" t="inlineStr">
        <is>
          <t>Proveedor / Emisor</t>
        </is>
      </c>
      <c r="E12" s="33" t="inlineStr">
        <is>
          <t>Categoría</t>
        </is>
      </c>
      <c r="F12" s="33" t="inlineStr">
        <is>
          <t>Concepto</t>
        </is>
      </c>
      <c r="G12" s="33" t="inlineStr">
        <is>
          <t>Nº de factura</t>
        </is>
      </c>
      <c r="H12" s="33" t="inlineStr">
        <is>
          <t>Vencimiento</t>
        </is>
      </c>
      <c r="I12" s="33" t="inlineStr">
        <is>
          <t>Días</t>
        </is>
      </c>
      <c r="J12" s="33" t="inlineStr">
        <is>
          <t>Urgencia</t>
        </is>
      </c>
      <c r="K12" s="33" t="inlineStr">
        <is>
          <t>Estado</t>
        </is>
      </c>
      <c r="L12" s="33" t="inlineStr">
        <is>
          <t>Importe (€)</t>
        </is>
      </c>
      <c r="M12" s="33" t="inlineStr">
        <is>
          <t>Abonado (€)</t>
        </is>
      </c>
      <c r="N12" s="33" t="inlineStr">
        <is>
          <t>SALDO (€)</t>
        </is>
      </c>
      <c r="O12" s="33" t="inlineStr">
        <is>
          <t>Cuenta de pago</t>
        </is>
      </c>
      <c r="P12" s="33" t="inlineStr">
        <is>
          <t>Clave</t>
        </is>
      </c>
      <c r="Q12" s="1" t="n"/>
      <c r="R12" s="1" t="n"/>
      <c r="S12" s="1" t="n"/>
      <c r="T12" s="1" t="n"/>
      <c r="U12" s="1" t="n"/>
      <c r="V12" s="1" t="n"/>
      <c r="W12" s="1" t="n"/>
      <c r="X12" s="1" t="n"/>
      <c r="Y12" s="1" t="n"/>
      <c r="Z12" s="1" t="n"/>
    </row>
    <row r="13" ht="15" customHeight="1" s="311">
      <c r="A13" s="151">
        <f>IF($P13="","",1)</f>
        <v/>
      </c>
      <c r="B13" s="62">
        <f t="array" ref="B13">IF($P13="","",IFERROR(INDEX(Facturas!$P$6:$P$205,MATCH($P13,Facturas!$AA$6:$AA$205,0)),""))</f>
        <v/>
      </c>
      <c r="C13" s="151">
        <f t="array" ref="C13">IF($P13="","",IFERROR(INDEX(Facturas!$A$6:$A$205,MATCH($P13,Facturas!$AA$6:$AA$205,0)),""))</f>
        <v/>
      </c>
      <c r="D13" s="46">
        <f t="array" ref="D13">IF($P13="","",IFERROR(INDEX(Facturas!$C$6:$C$205,MATCH($P13,Facturas!$AA$6:$AA$205,0)),""))</f>
        <v/>
      </c>
      <c r="E13" s="46">
        <f t="array" ref="E13">IF($P13="","",IFERROR(INDEX(Facturas!$D$6:$D$205,MATCH($P13,Facturas!$AA$6:$AA$205,0)),""))</f>
        <v/>
      </c>
      <c r="F13" s="46">
        <f t="array" ref="F13">IF($P13="","",IFERROR(INDEX(Facturas!$E$6:$E$205,MATCH($P13,Facturas!$AA$6:$AA$205,0)),""))</f>
        <v/>
      </c>
      <c r="G13" s="64">
        <f t="array" ref="G13">IF($P13="","",IFERROR(INDEX(Facturas!$F$6:$F$205,MATCH($P13,Facturas!$AA$6:$AA$205,0)),""))</f>
        <v/>
      </c>
      <c r="H13" s="152">
        <f t="array" ref="H13">IF($P13="","",IFERROR(INDEX(Facturas!$H$6:$H$205,MATCH($P13,Facturas!$AA$6:$AA$205,0)),""))</f>
        <v/>
      </c>
      <c r="I13" s="59">
        <f t="array" ref="I13">IF($P13="","",IFERROR(INDEX(Facturas!$M$6:$M$205,MATCH($P13,Facturas!$AA$6:$AA$205,0)),""))</f>
        <v/>
      </c>
      <c r="J13" s="64">
        <f t="array" ref="J13">IF($P13="","",IFERROR(INDEX(Facturas!$N$6:$N$205,MATCH($P13,Facturas!$AA$6:$AA$205,0)),""))</f>
        <v/>
      </c>
      <c r="K13" s="64">
        <f t="array" ref="K13">IF($P13="","",IFERROR(INDEX(Facturas!$B$6:$B$205,MATCH($P13,Facturas!$AA$6:$AA$205,0)),""))</f>
        <v/>
      </c>
      <c r="L13" s="42">
        <f t="array" ref="L13">IF($P13="","",IFERROR(INDEX(Facturas!$I$6:$I$205,MATCH($P13,Facturas!$AA$6:$AA$205,0)),""))</f>
        <v/>
      </c>
      <c r="M13" s="42">
        <f t="array" ref="M13">IF($P13="","",IFERROR(INDEX(Facturas!$J$6:$J$205,MATCH($P13,Facturas!$AA$6:$AA$205,0)),""))</f>
        <v/>
      </c>
      <c r="N13" s="57">
        <f t="array" ref="N13">IF($P13="","",IFERROR(INDEX(Facturas!$K$6:$K$205,MATCH($P13,Facturas!$AA$6:$AA$205,0)),""))</f>
        <v/>
      </c>
      <c r="O13" s="46">
        <f t="array" ref="O13">IF($P13="","",IFERROR(INDEX(Facturas!$L$6:$L$205,MATCH($P13,Facturas!$AA$6:$AA$205,0)),""))</f>
        <v/>
      </c>
      <c r="P13" s="153">
        <f>IFERROR(SMALL(Facturas!$AA$6:$AA$205,1),"")</f>
        <v/>
      </c>
      <c r="Q13" s="1" t="n"/>
      <c r="R13" s="1" t="n"/>
      <c r="S13" s="1" t="n"/>
      <c r="T13" s="1" t="n"/>
      <c r="U13" s="1" t="n"/>
      <c r="V13" s="1" t="n"/>
      <c r="W13" s="1" t="n"/>
      <c r="X13" s="1" t="n"/>
      <c r="Y13" s="1" t="n"/>
      <c r="Z13" s="1" t="n"/>
    </row>
    <row r="14" ht="15" customHeight="1" s="311">
      <c r="A14" s="151">
        <f>IF($P14="","",2)</f>
        <v/>
      </c>
      <c r="B14" s="62">
        <f t="array" ref="B14">IF($P14="","",IFERROR(INDEX(Facturas!$P$6:$P$205,MATCH($P14,Facturas!$AA$6:$AA$205,0)),""))</f>
        <v/>
      </c>
      <c r="C14" s="151">
        <f t="array" ref="C14">IF($P14="","",IFERROR(INDEX(Facturas!$A$6:$A$205,MATCH($P14,Facturas!$AA$6:$AA$205,0)),""))</f>
        <v/>
      </c>
      <c r="D14" s="46">
        <f t="array" ref="D14">IF($P14="","",IFERROR(INDEX(Facturas!$C$6:$C$205,MATCH($P14,Facturas!$AA$6:$AA$205,0)),""))</f>
        <v/>
      </c>
      <c r="E14" s="46">
        <f t="array" ref="E14">IF($P14="","",IFERROR(INDEX(Facturas!$D$6:$D$205,MATCH($P14,Facturas!$AA$6:$AA$205,0)),""))</f>
        <v/>
      </c>
      <c r="F14" s="46">
        <f t="array" ref="F14">IF($P14="","",IFERROR(INDEX(Facturas!$E$6:$E$205,MATCH($P14,Facturas!$AA$6:$AA$205,0)),""))</f>
        <v/>
      </c>
      <c r="G14" s="64">
        <f t="array" ref="G14">IF($P14="","",IFERROR(INDEX(Facturas!$F$6:$F$205,MATCH($P14,Facturas!$AA$6:$AA$205,0)),""))</f>
        <v/>
      </c>
      <c r="H14" s="152">
        <f t="array" ref="H14">IF($P14="","",IFERROR(INDEX(Facturas!$H$6:$H$205,MATCH($P14,Facturas!$AA$6:$AA$205,0)),""))</f>
        <v/>
      </c>
      <c r="I14" s="59">
        <f t="array" ref="I14">IF($P14="","",IFERROR(INDEX(Facturas!$M$6:$M$205,MATCH($P14,Facturas!$AA$6:$AA$205,0)),""))</f>
        <v/>
      </c>
      <c r="J14" s="64">
        <f t="array" ref="J14">IF($P14="","",IFERROR(INDEX(Facturas!$N$6:$N$205,MATCH($P14,Facturas!$AA$6:$AA$205,0)),""))</f>
        <v/>
      </c>
      <c r="K14" s="64">
        <f t="array" ref="K14">IF($P14="","",IFERROR(INDEX(Facturas!$B$6:$B$205,MATCH($P14,Facturas!$AA$6:$AA$205,0)),""))</f>
        <v/>
      </c>
      <c r="L14" s="42">
        <f t="array" ref="L14">IF($P14="","",IFERROR(INDEX(Facturas!$I$6:$I$205,MATCH($P14,Facturas!$AA$6:$AA$205,0)),""))</f>
        <v/>
      </c>
      <c r="M14" s="42">
        <f t="array" ref="M14">IF($P14="","",IFERROR(INDEX(Facturas!$J$6:$J$205,MATCH($P14,Facturas!$AA$6:$AA$205,0)),""))</f>
        <v/>
      </c>
      <c r="N14" s="57">
        <f t="array" ref="N14">IF($P14="","",IFERROR(INDEX(Facturas!$K$6:$K$205,MATCH($P14,Facturas!$AA$6:$AA$205,0)),""))</f>
        <v/>
      </c>
      <c r="O14" s="46">
        <f t="array" ref="O14">IF($P14="","",IFERROR(INDEX(Facturas!$L$6:$L$205,MATCH($P14,Facturas!$AA$6:$AA$205,0)),""))</f>
        <v/>
      </c>
      <c r="P14" s="153">
        <f>IFERROR(SMALL(Facturas!$AA$6:$AA$205,2),"")</f>
        <v/>
      </c>
      <c r="Q14" s="1" t="n"/>
      <c r="R14" s="1" t="n"/>
      <c r="S14" s="1" t="n"/>
      <c r="T14" s="1" t="n"/>
      <c r="U14" s="1" t="n"/>
      <c r="V14" s="1" t="n"/>
      <c r="W14" s="1" t="n"/>
      <c r="X14" s="1" t="n"/>
      <c r="Y14" s="1" t="n"/>
      <c r="Z14" s="1" t="n"/>
    </row>
    <row r="15" ht="15" customHeight="1" s="311">
      <c r="A15" s="151">
        <f>IF($P15="","",3)</f>
        <v/>
      </c>
      <c r="B15" s="62">
        <f t="array" ref="B15">IF($P15="","",IFERROR(INDEX(Facturas!$P$6:$P$205,MATCH($P15,Facturas!$AA$6:$AA$205,0)),""))</f>
        <v/>
      </c>
      <c r="C15" s="151">
        <f t="array" ref="C15">IF($P15="","",IFERROR(INDEX(Facturas!$A$6:$A$205,MATCH($P15,Facturas!$AA$6:$AA$205,0)),""))</f>
        <v/>
      </c>
      <c r="D15" s="46">
        <f t="array" ref="D15">IF($P15="","",IFERROR(INDEX(Facturas!$C$6:$C$205,MATCH($P15,Facturas!$AA$6:$AA$205,0)),""))</f>
        <v/>
      </c>
      <c r="E15" s="46">
        <f t="array" ref="E15">IF($P15="","",IFERROR(INDEX(Facturas!$D$6:$D$205,MATCH($P15,Facturas!$AA$6:$AA$205,0)),""))</f>
        <v/>
      </c>
      <c r="F15" s="46">
        <f t="array" ref="F15">IF($P15="","",IFERROR(INDEX(Facturas!$E$6:$E$205,MATCH($P15,Facturas!$AA$6:$AA$205,0)),""))</f>
        <v/>
      </c>
      <c r="G15" s="163">
        <f t="array" ref="G15">IF($P15="","",IFERROR(INDEX(Facturas!$F$6:$F$205,MATCH($P15,Facturas!$AA$6:$AA$205,0)),""))</f>
        <v/>
      </c>
      <c r="H15" s="152">
        <f t="array" ref="H15">IF($P15="","",IFERROR(INDEX(Facturas!$H$6:$H$205,MATCH($P15,Facturas!$AA$6:$AA$205,0)),""))</f>
        <v/>
      </c>
      <c r="I15" s="59">
        <f t="array" ref="I15">IF($P15="","",IFERROR(INDEX(Facturas!$M$6:$M$205,MATCH($P15,Facturas!$AA$6:$AA$205,0)),""))</f>
        <v/>
      </c>
      <c r="J15" s="64">
        <f t="array" ref="J15">IF($P15="","",IFERROR(INDEX(Facturas!$N$6:$N$205,MATCH($P15,Facturas!$AA$6:$AA$205,0)),""))</f>
        <v/>
      </c>
      <c r="K15" s="64">
        <f t="array" ref="K15">IF($P15="","",IFERROR(INDEX(Facturas!$B$6:$B$205,MATCH($P15,Facturas!$AA$6:$AA$205,0)),""))</f>
        <v/>
      </c>
      <c r="L15" s="42">
        <f t="array" ref="L15">IF($P15="","",IFERROR(INDEX(Facturas!$I$6:$I$205,MATCH($P15,Facturas!$AA$6:$AA$205,0)),""))</f>
        <v/>
      </c>
      <c r="M15" s="42">
        <f t="array" ref="M15">IF($P15="","",IFERROR(INDEX(Facturas!$J$6:$J$205,MATCH($P15,Facturas!$AA$6:$AA$205,0)),""))</f>
        <v/>
      </c>
      <c r="N15" s="57">
        <f t="array" ref="N15">IF($P15="","",IFERROR(INDEX(Facturas!$K$6:$K$205,MATCH($P15,Facturas!$AA$6:$AA$205,0)),""))</f>
        <v/>
      </c>
      <c r="O15" s="46">
        <f t="array" ref="O15">IF($P15="","",IFERROR(INDEX(Facturas!$L$6:$L$205,MATCH($P15,Facturas!$AA$6:$AA$205,0)),""))</f>
        <v/>
      </c>
      <c r="P15" s="153">
        <f>IFERROR(SMALL(Facturas!$AA$6:$AA$205,3),"")</f>
        <v/>
      </c>
      <c r="Q15" s="1" t="n"/>
      <c r="R15" s="1" t="n"/>
      <c r="S15" s="1" t="n"/>
      <c r="T15" s="1" t="n"/>
      <c r="U15" s="1" t="n"/>
      <c r="V15" s="1" t="n"/>
      <c r="W15" s="1" t="n"/>
      <c r="X15" s="1" t="n"/>
      <c r="Y15" s="1" t="n"/>
      <c r="Z15" s="1" t="n"/>
    </row>
    <row r="16" ht="15" customHeight="1" s="311">
      <c r="A16" s="151">
        <f>IF($P16="","",4)</f>
        <v/>
      </c>
      <c r="B16" s="62">
        <f t="array" ref="B16">IF($P16="","",IFERROR(INDEX(Facturas!$P$6:$P$205,MATCH($P16,Facturas!$AA$6:$AA$205,0)),""))</f>
        <v/>
      </c>
      <c r="C16" s="151">
        <f t="array" ref="C16">IF($P16="","",IFERROR(INDEX(Facturas!$A$6:$A$205,MATCH($P16,Facturas!$AA$6:$AA$205,0)),""))</f>
        <v/>
      </c>
      <c r="D16" s="46">
        <f t="array" ref="D16">IF($P16="","",IFERROR(INDEX(Facturas!$C$6:$C$205,MATCH($P16,Facturas!$AA$6:$AA$205,0)),""))</f>
        <v/>
      </c>
      <c r="E16" s="46">
        <f t="array" ref="E16">IF($P16="","",IFERROR(INDEX(Facturas!$D$6:$D$205,MATCH($P16,Facturas!$AA$6:$AA$205,0)),""))</f>
        <v/>
      </c>
      <c r="F16" s="46">
        <f t="array" ref="F16">IF($P16="","",IFERROR(INDEX(Facturas!$E$6:$E$205,MATCH($P16,Facturas!$AA$6:$AA$205,0)),""))</f>
        <v/>
      </c>
      <c r="G16" s="64">
        <f t="array" ref="G16">IF($P16="","",IFERROR(INDEX(Facturas!$F$6:$F$205,MATCH($P16,Facturas!$AA$6:$AA$205,0)),""))</f>
        <v/>
      </c>
      <c r="H16" s="152">
        <f t="array" ref="H16">IF($P16="","",IFERROR(INDEX(Facturas!$H$6:$H$205,MATCH($P16,Facturas!$AA$6:$AA$205,0)),""))</f>
        <v/>
      </c>
      <c r="I16" s="59">
        <f t="array" ref="I16">IF($P16="","",IFERROR(INDEX(Facturas!$M$6:$M$205,MATCH($P16,Facturas!$AA$6:$AA$205,0)),""))</f>
        <v/>
      </c>
      <c r="J16" s="64">
        <f t="array" ref="J16">IF($P16="","",IFERROR(INDEX(Facturas!$N$6:$N$205,MATCH($P16,Facturas!$AA$6:$AA$205,0)),""))</f>
        <v/>
      </c>
      <c r="K16" s="64">
        <f t="array" ref="K16">IF($P16="","",IFERROR(INDEX(Facturas!$B$6:$B$205,MATCH($P16,Facturas!$AA$6:$AA$205,0)),""))</f>
        <v/>
      </c>
      <c r="L16" s="42">
        <f t="array" ref="L16">IF($P16="","",IFERROR(INDEX(Facturas!$I$6:$I$205,MATCH($P16,Facturas!$AA$6:$AA$205,0)),""))</f>
        <v/>
      </c>
      <c r="M16" s="42">
        <f t="array" ref="M16">IF($P16="","",IFERROR(INDEX(Facturas!$J$6:$J$205,MATCH($P16,Facturas!$AA$6:$AA$205,0)),""))</f>
        <v/>
      </c>
      <c r="N16" s="57">
        <f t="array" ref="N16">IF($P16="","",IFERROR(INDEX(Facturas!$K$6:$K$205,MATCH($P16,Facturas!$AA$6:$AA$205,0)),""))</f>
        <v/>
      </c>
      <c r="O16" s="46">
        <f t="array" ref="O16">IF($P16="","",IFERROR(INDEX(Facturas!$L$6:$L$205,MATCH($P16,Facturas!$AA$6:$AA$205,0)),""))</f>
        <v/>
      </c>
      <c r="P16" s="153">
        <f>IFERROR(SMALL(Facturas!$AA$6:$AA$205,4),"")</f>
        <v/>
      </c>
      <c r="Q16" s="1" t="n"/>
      <c r="R16" s="1" t="n"/>
      <c r="S16" s="1" t="n"/>
      <c r="T16" s="1" t="n"/>
      <c r="U16" s="1" t="n"/>
      <c r="V16" s="1" t="n"/>
      <c r="W16" s="1" t="n"/>
      <c r="X16" s="1" t="n"/>
      <c r="Y16" s="1" t="n"/>
      <c r="Z16" s="1" t="n"/>
    </row>
    <row r="17" ht="15" customHeight="1" s="311">
      <c r="A17" s="151">
        <f>IF($P17="","",5)</f>
        <v/>
      </c>
      <c r="B17" s="62">
        <f t="array" ref="B17">IF($P17="","",IFERROR(INDEX(Facturas!$P$6:$P$205,MATCH($P17,Facturas!$AA$6:$AA$205,0)),""))</f>
        <v/>
      </c>
      <c r="C17" s="151">
        <f t="array" ref="C17">IF($P17="","",IFERROR(INDEX(Facturas!$A$6:$A$205,MATCH($P17,Facturas!$AA$6:$AA$205,0)),""))</f>
        <v/>
      </c>
      <c r="D17" s="46">
        <f t="array" ref="D17">IF($P17="","",IFERROR(INDEX(Facturas!$C$6:$C$205,MATCH($P17,Facturas!$AA$6:$AA$205,0)),""))</f>
        <v/>
      </c>
      <c r="E17" s="46">
        <f t="array" ref="E17">IF($P17="","",IFERROR(INDEX(Facturas!$D$6:$D$205,MATCH($P17,Facturas!$AA$6:$AA$205,0)),""))</f>
        <v/>
      </c>
      <c r="F17" s="46">
        <f t="array" ref="F17">IF($P17="","",IFERROR(INDEX(Facturas!$E$6:$E$205,MATCH($P17,Facturas!$AA$6:$AA$205,0)),""))</f>
        <v/>
      </c>
      <c r="G17" s="64">
        <f t="array" ref="G17">IF($P17="","",IFERROR(INDEX(Facturas!$F$6:$F$205,MATCH($P17,Facturas!$AA$6:$AA$205,0)),""))</f>
        <v/>
      </c>
      <c r="H17" s="152">
        <f t="array" ref="H17">IF($P17="","",IFERROR(INDEX(Facturas!$H$6:$H$205,MATCH($P17,Facturas!$AA$6:$AA$205,0)),""))</f>
        <v/>
      </c>
      <c r="I17" s="59">
        <f t="array" ref="I17">IF($P17="","",IFERROR(INDEX(Facturas!$M$6:$M$205,MATCH($P17,Facturas!$AA$6:$AA$205,0)),""))</f>
        <v/>
      </c>
      <c r="J17" s="64">
        <f t="array" ref="J17">IF($P17="","",IFERROR(INDEX(Facturas!$N$6:$N$205,MATCH($P17,Facturas!$AA$6:$AA$205,0)),""))</f>
        <v/>
      </c>
      <c r="K17" s="64">
        <f t="array" ref="K17">IF($P17="","",IFERROR(INDEX(Facturas!$B$6:$B$205,MATCH($P17,Facturas!$AA$6:$AA$205,0)),""))</f>
        <v/>
      </c>
      <c r="L17" s="42">
        <f t="array" ref="L17">IF($P17="","",IFERROR(INDEX(Facturas!$I$6:$I$205,MATCH($P17,Facturas!$AA$6:$AA$205,0)),""))</f>
        <v/>
      </c>
      <c r="M17" s="42">
        <f t="array" ref="M17">IF($P17="","",IFERROR(INDEX(Facturas!$J$6:$J$205,MATCH($P17,Facturas!$AA$6:$AA$205,0)),""))</f>
        <v/>
      </c>
      <c r="N17" s="57">
        <f t="array" ref="N17">IF($P17="","",IFERROR(INDEX(Facturas!$K$6:$K$205,MATCH($P17,Facturas!$AA$6:$AA$205,0)),""))</f>
        <v/>
      </c>
      <c r="O17" s="46">
        <f t="array" ref="O17">IF($P17="","",IFERROR(INDEX(Facturas!$L$6:$L$205,MATCH($P17,Facturas!$AA$6:$AA$205,0)),""))</f>
        <v/>
      </c>
      <c r="P17" s="153">
        <f>IFERROR(SMALL(Facturas!$AA$6:$AA$205,5),"")</f>
        <v/>
      </c>
      <c r="Q17" s="1" t="n"/>
      <c r="R17" s="1" t="n"/>
      <c r="S17" s="1" t="n"/>
      <c r="T17" s="1" t="n"/>
      <c r="U17" s="1" t="n"/>
      <c r="V17" s="1" t="n"/>
      <c r="W17" s="1" t="n"/>
      <c r="X17" s="1" t="n"/>
      <c r="Y17" s="1" t="n"/>
      <c r="Z17" s="1" t="n"/>
    </row>
    <row r="18" ht="15" customHeight="1" s="311">
      <c r="A18" s="151">
        <f>IF($P18="","",6)</f>
        <v/>
      </c>
      <c r="B18" s="62">
        <f t="array" ref="B18">IF($P18="","",IFERROR(INDEX(Facturas!$P$6:$P$205,MATCH($P18,Facturas!$AA$6:$AA$205,0)),""))</f>
        <v/>
      </c>
      <c r="C18" s="151">
        <f t="array" ref="C18">IF($P18="","",IFERROR(INDEX(Facturas!$A$6:$A$205,MATCH($P18,Facturas!$AA$6:$AA$205,0)),""))</f>
        <v/>
      </c>
      <c r="D18" s="46">
        <f t="array" ref="D18">IF($P18="","",IFERROR(INDEX(Facturas!$C$6:$C$205,MATCH($P18,Facturas!$AA$6:$AA$205,0)),""))</f>
        <v/>
      </c>
      <c r="E18" s="46">
        <f t="array" ref="E18">IF($P18="","",IFERROR(INDEX(Facturas!$D$6:$D$205,MATCH($P18,Facturas!$AA$6:$AA$205,0)),""))</f>
        <v/>
      </c>
      <c r="F18" s="46">
        <f t="array" ref="F18">IF($P18="","",IFERROR(INDEX(Facturas!$E$6:$E$205,MATCH($P18,Facturas!$AA$6:$AA$205,0)),""))</f>
        <v/>
      </c>
      <c r="G18" s="64">
        <f t="array" ref="G18">IF($P18="","",IFERROR(INDEX(Facturas!$F$6:$F$205,MATCH($P18,Facturas!$AA$6:$AA$205,0)),""))</f>
        <v/>
      </c>
      <c r="H18" s="152">
        <f t="array" ref="H18">IF($P18="","",IFERROR(INDEX(Facturas!$H$6:$H$205,MATCH($P18,Facturas!$AA$6:$AA$205,0)),""))</f>
        <v/>
      </c>
      <c r="I18" s="59">
        <f t="array" ref="I18">IF($P18="","",IFERROR(INDEX(Facturas!$M$6:$M$205,MATCH($P18,Facturas!$AA$6:$AA$205,0)),""))</f>
        <v/>
      </c>
      <c r="J18" s="64">
        <f t="array" ref="J18">IF($P18="","",IFERROR(INDEX(Facturas!$N$6:$N$205,MATCH($P18,Facturas!$AA$6:$AA$205,0)),""))</f>
        <v/>
      </c>
      <c r="K18" s="64">
        <f t="array" ref="K18">IF($P18="","",IFERROR(INDEX(Facturas!$B$6:$B$205,MATCH($P18,Facturas!$AA$6:$AA$205,0)),""))</f>
        <v/>
      </c>
      <c r="L18" s="42">
        <f t="array" ref="L18">IF($P18="","",IFERROR(INDEX(Facturas!$I$6:$I$205,MATCH($P18,Facturas!$AA$6:$AA$205,0)),""))</f>
        <v/>
      </c>
      <c r="M18" s="42">
        <f t="array" ref="M18">IF($P18="","",IFERROR(INDEX(Facturas!$J$6:$J$205,MATCH($P18,Facturas!$AA$6:$AA$205,0)),""))</f>
        <v/>
      </c>
      <c r="N18" s="57">
        <f t="array" ref="N18">IF($P18="","",IFERROR(INDEX(Facturas!$K$6:$K$205,MATCH($P18,Facturas!$AA$6:$AA$205,0)),""))</f>
        <v/>
      </c>
      <c r="O18" s="46">
        <f t="array" ref="O18">IF($P18="","",IFERROR(INDEX(Facturas!$L$6:$L$205,MATCH($P18,Facturas!$AA$6:$AA$205,0)),""))</f>
        <v/>
      </c>
      <c r="P18" s="153">
        <f>IFERROR(SMALL(Facturas!$AA$6:$AA$205,6),"")</f>
        <v/>
      </c>
      <c r="Q18" s="1" t="n"/>
      <c r="R18" s="1" t="n"/>
      <c r="S18" s="1" t="n"/>
      <c r="T18" s="1" t="n"/>
      <c r="U18" s="1" t="n"/>
      <c r="V18" s="1" t="n"/>
      <c r="W18" s="1" t="n"/>
      <c r="X18" s="1" t="n"/>
      <c r="Y18" s="1" t="n"/>
      <c r="Z18" s="1" t="n"/>
    </row>
    <row r="19" ht="15" customHeight="1" s="311">
      <c r="A19" s="151">
        <f>IF($P19="","",7)</f>
        <v/>
      </c>
      <c r="B19" s="62">
        <f t="array" ref="B19">IF($P19="","",IFERROR(INDEX(Facturas!$P$6:$P$205,MATCH($P19,Facturas!$AA$6:$AA$205,0)),""))</f>
        <v/>
      </c>
      <c r="C19" s="151">
        <f t="array" ref="C19">IF($P19="","",IFERROR(INDEX(Facturas!$A$6:$A$205,MATCH($P19,Facturas!$AA$6:$AA$205,0)),""))</f>
        <v/>
      </c>
      <c r="D19" s="46">
        <f t="array" ref="D19">IF($P19="","",IFERROR(INDEX(Facturas!$C$6:$C$205,MATCH($P19,Facturas!$AA$6:$AA$205,0)),""))</f>
        <v/>
      </c>
      <c r="E19" s="46">
        <f t="array" ref="E19">IF($P19="","",IFERROR(INDEX(Facturas!$D$6:$D$205,MATCH($P19,Facturas!$AA$6:$AA$205,0)),""))</f>
        <v/>
      </c>
      <c r="F19" s="46">
        <f t="array" ref="F19">IF($P19="","",IFERROR(INDEX(Facturas!$E$6:$E$205,MATCH($P19,Facturas!$AA$6:$AA$205,0)),""))</f>
        <v/>
      </c>
      <c r="G19" s="64">
        <f t="array" ref="G19">IF($P19="","",IFERROR(INDEX(Facturas!$F$6:$F$205,MATCH($P19,Facturas!$AA$6:$AA$205,0)),""))</f>
        <v/>
      </c>
      <c r="H19" s="152">
        <f t="array" ref="H19">IF($P19="","",IFERROR(INDEX(Facturas!$H$6:$H$205,MATCH($P19,Facturas!$AA$6:$AA$205,0)),""))</f>
        <v/>
      </c>
      <c r="I19" s="59">
        <f t="array" ref="I19">IF($P19="","",IFERROR(INDEX(Facturas!$M$6:$M$205,MATCH($P19,Facturas!$AA$6:$AA$205,0)),""))</f>
        <v/>
      </c>
      <c r="J19" s="64">
        <f t="array" ref="J19">IF($P19="","",IFERROR(INDEX(Facturas!$N$6:$N$205,MATCH($P19,Facturas!$AA$6:$AA$205,0)),""))</f>
        <v/>
      </c>
      <c r="K19" s="64">
        <f t="array" ref="K19">IF($P19="","",IFERROR(INDEX(Facturas!$B$6:$B$205,MATCH($P19,Facturas!$AA$6:$AA$205,0)),""))</f>
        <v/>
      </c>
      <c r="L19" s="42">
        <f t="array" ref="L19">IF($P19="","",IFERROR(INDEX(Facturas!$I$6:$I$205,MATCH($P19,Facturas!$AA$6:$AA$205,0)),""))</f>
        <v/>
      </c>
      <c r="M19" s="42">
        <f t="array" ref="M19">IF($P19="","",IFERROR(INDEX(Facturas!$J$6:$J$205,MATCH($P19,Facturas!$AA$6:$AA$205,0)),""))</f>
        <v/>
      </c>
      <c r="N19" s="57">
        <f t="array" ref="N19">IF($P19="","",IFERROR(INDEX(Facturas!$K$6:$K$205,MATCH($P19,Facturas!$AA$6:$AA$205,0)),""))</f>
        <v/>
      </c>
      <c r="O19" s="46">
        <f t="array" ref="O19">IF($P19="","",IFERROR(INDEX(Facturas!$L$6:$L$205,MATCH($P19,Facturas!$AA$6:$AA$205,0)),""))</f>
        <v/>
      </c>
      <c r="P19" s="153">
        <f>IFERROR(SMALL(Facturas!$AA$6:$AA$205,7),"")</f>
        <v/>
      </c>
      <c r="Q19" s="1" t="n"/>
      <c r="R19" s="1" t="n"/>
      <c r="S19" s="1" t="n"/>
      <c r="T19" s="1" t="n"/>
      <c r="U19" s="1" t="n"/>
      <c r="V19" s="1" t="n"/>
      <c r="W19" s="1" t="n"/>
      <c r="X19" s="1" t="n"/>
      <c r="Y19" s="1" t="n"/>
      <c r="Z19" s="1" t="n"/>
    </row>
    <row r="20" ht="15" customHeight="1" s="311">
      <c r="A20" s="151">
        <f>IF($P20="","",8)</f>
        <v/>
      </c>
      <c r="B20" s="62">
        <f t="array" ref="B20">IF($P20="","",IFERROR(INDEX(Facturas!$P$6:$P$205,MATCH($P20,Facturas!$AA$6:$AA$205,0)),""))</f>
        <v/>
      </c>
      <c r="C20" s="151">
        <f t="array" ref="C20">IF($P20="","",IFERROR(INDEX(Facturas!$A$6:$A$205,MATCH($P20,Facturas!$AA$6:$AA$205,0)),""))</f>
        <v/>
      </c>
      <c r="D20" s="46">
        <f t="array" ref="D20">IF($P20="","",IFERROR(INDEX(Facturas!$C$6:$C$205,MATCH($P20,Facturas!$AA$6:$AA$205,0)),""))</f>
        <v/>
      </c>
      <c r="E20" s="46">
        <f t="array" ref="E20">IF($P20="","",IFERROR(INDEX(Facturas!$D$6:$D$205,MATCH($P20,Facturas!$AA$6:$AA$205,0)),""))</f>
        <v/>
      </c>
      <c r="F20" s="46">
        <f t="array" ref="F20">IF($P20="","",IFERROR(INDEX(Facturas!$E$6:$E$205,MATCH($P20,Facturas!$AA$6:$AA$205,0)),""))</f>
        <v/>
      </c>
      <c r="G20" s="64">
        <f t="array" ref="G20">IF($P20="","",IFERROR(INDEX(Facturas!$F$6:$F$205,MATCH($P20,Facturas!$AA$6:$AA$205,0)),""))</f>
        <v/>
      </c>
      <c r="H20" s="152">
        <f t="array" ref="H20">IF($P20="","",IFERROR(INDEX(Facturas!$H$6:$H$205,MATCH($P20,Facturas!$AA$6:$AA$205,0)),""))</f>
        <v/>
      </c>
      <c r="I20" s="59">
        <f t="array" ref="I20">IF($P20="","",IFERROR(INDEX(Facturas!$M$6:$M$205,MATCH($P20,Facturas!$AA$6:$AA$205,0)),""))</f>
        <v/>
      </c>
      <c r="J20" s="64">
        <f t="array" ref="J20">IF($P20="","",IFERROR(INDEX(Facturas!$N$6:$N$205,MATCH($P20,Facturas!$AA$6:$AA$205,0)),""))</f>
        <v/>
      </c>
      <c r="K20" s="64">
        <f t="array" ref="K20">IF($P20="","",IFERROR(INDEX(Facturas!$B$6:$B$205,MATCH($P20,Facturas!$AA$6:$AA$205,0)),""))</f>
        <v/>
      </c>
      <c r="L20" s="42">
        <f t="array" ref="L20">IF($P20="","",IFERROR(INDEX(Facturas!$I$6:$I$205,MATCH($P20,Facturas!$AA$6:$AA$205,0)),""))</f>
        <v/>
      </c>
      <c r="M20" s="42">
        <f t="array" ref="M20">IF($P20="","",IFERROR(INDEX(Facturas!$J$6:$J$205,MATCH($P20,Facturas!$AA$6:$AA$205,0)),""))</f>
        <v/>
      </c>
      <c r="N20" s="57">
        <f t="array" ref="N20">IF($P20="","",IFERROR(INDEX(Facturas!$K$6:$K$205,MATCH($P20,Facturas!$AA$6:$AA$205,0)),""))</f>
        <v/>
      </c>
      <c r="O20" s="46">
        <f t="array" ref="O20">IF($P20="","",IFERROR(INDEX(Facturas!$L$6:$L$205,MATCH($P20,Facturas!$AA$6:$AA$205,0)),""))</f>
        <v/>
      </c>
      <c r="P20" s="153">
        <f>IFERROR(SMALL(Facturas!$AA$6:$AA$205,8),"")</f>
        <v/>
      </c>
      <c r="Q20" s="1" t="n"/>
      <c r="R20" s="1" t="n"/>
      <c r="S20" s="1" t="n"/>
      <c r="T20" s="1" t="n"/>
      <c r="U20" s="1" t="n"/>
      <c r="V20" s="1" t="n"/>
      <c r="W20" s="1" t="n"/>
      <c r="X20" s="1" t="n"/>
      <c r="Y20" s="1" t="n"/>
      <c r="Z20" s="1" t="n"/>
    </row>
    <row r="21" ht="15" customHeight="1" s="311">
      <c r="A21" s="151">
        <f>IF($P21="","",9)</f>
        <v/>
      </c>
      <c r="B21" s="62">
        <f t="array" ref="B21">IF($P21="","",IFERROR(INDEX(Facturas!$P$6:$P$205,MATCH($P21,Facturas!$AA$6:$AA$205,0)),""))</f>
        <v/>
      </c>
      <c r="C21" s="151">
        <f t="array" ref="C21">IF($P21="","",IFERROR(INDEX(Facturas!$A$6:$A$205,MATCH($P21,Facturas!$AA$6:$AA$205,0)),""))</f>
        <v/>
      </c>
      <c r="D21" s="46">
        <f t="array" ref="D21">IF($P21="","",IFERROR(INDEX(Facturas!$C$6:$C$205,MATCH($P21,Facturas!$AA$6:$AA$205,0)),""))</f>
        <v/>
      </c>
      <c r="E21" s="46">
        <f t="array" ref="E21">IF($P21="","",IFERROR(INDEX(Facturas!$D$6:$D$205,MATCH($P21,Facturas!$AA$6:$AA$205,0)),""))</f>
        <v/>
      </c>
      <c r="F21" s="46">
        <f t="array" ref="F21">IF($P21="","",IFERROR(INDEX(Facturas!$E$6:$E$205,MATCH($P21,Facturas!$AA$6:$AA$205,0)),""))</f>
        <v/>
      </c>
      <c r="G21" s="64">
        <f t="array" ref="G21">IF($P21="","",IFERROR(INDEX(Facturas!$F$6:$F$205,MATCH($P21,Facturas!$AA$6:$AA$205,0)),""))</f>
        <v/>
      </c>
      <c r="H21" s="152">
        <f t="array" ref="H21">IF($P21="","",IFERROR(INDEX(Facturas!$H$6:$H$205,MATCH($P21,Facturas!$AA$6:$AA$205,0)),""))</f>
        <v/>
      </c>
      <c r="I21" s="59">
        <f t="array" ref="I21">IF($P21="","",IFERROR(INDEX(Facturas!$M$6:$M$205,MATCH($P21,Facturas!$AA$6:$AA$205,0)),""))</f>
        <v/>
      </c>
      <c r="J21" s="64">
        <f t="array" ref="J21">IF($P21="","",IFERROR(INDEX(Facturas!$N$6:$N$205,MATCH($P21,Facturas!$AA$6:$AA$205,0)),""))</f>
        <v/>
      </c>
      <c r="K21" s="64">
        <f t="array" ref="K21">IF($P21="","",IFERROR(INDEX(Facturas!$B$6:$B$205,MATCH($P21,Facturas!$AA$6:$AA$205,0)),""))</f>
        <v/>
      </c>
      <c r="L21" s="42">
        <f t="array" ref="L21">IF($P21="","",IFERROR(INDEX(Facturas!$I$6:$I$205,MATCH($P21,Facturas!$AA$6:$AA$205,0)),""))</f>
        <v/>
      </c>
      <c r="M21" s="42">
        <f t="array" ref="M21">IF($P21="","",IFERROR(INDEX(Facturas!$J$6:$J$205,MATCH($P21,Facturas!$AA$6:$AA$205,0)),""))</f>
        <v/>
      </c>
      <c r="N21" s="57">
        <f t="array" ref="N21">IF($P21="","",IFERROR(INDEX(Facturas!$K$6:$K$205,MATCH($P21,Facturas!$AA$6:$AA$205,0)),""))</f>
        <v/>
      </c>
      <c r="O21" s="46">
        <f t="array" ref="O21">IF($P21="","",IFERROR(INDEX(Facturas!$L$6:$L$205,MATCH($P21,Facturas!$AA$6:$AA$205,0)),""))</f>
        <v/>
      </c>
      <c r="P21" s="153">
        <f>IFERROR(SMALL(Facturas!$AA$6:$AA$205,9),"")</f>
        <v/>
      </c>
      <c r="Q21" s="1" t="n"/>
      <c r="R21" s="1" t="n"/>
      <c r="S21" s="1" t="n"/>
      <c r="T21" s="1" t="n"/>
      <c r="U21" s="1" t="n"/>
      <c r="V21" s="1" t="n"/>
      <c r="W21" s="1" t="n"/>
      <c r="X21" s="1" t="n"/>
      <c r="Y21" s="1" t="n"/>
      <c r="Z21" s="1" t="n"/>
    </row>
    <row r="22" ht="15" customHeight="1" s="311">
      <c r="A22" s="151">
        <f>IF($P22="","",10)</f>
        <v/>
      </c>
      <c r="B22" s="62">
        <f t="array" ref="B22">IF($P22="","",IFERROR(INDEX(Facturas!$P$6:$P$205,MATCH($P22,Facturas!$AA$6:$AA$205,0)),""))</f>
        <v/>
      </c>
      <c r="C22" s="151">
        <f t="array" ref="C22">IF($P22="","",IFERROR(INDEX(Facturas!$A$6:$A$205,MATCH($P22,Facturas!$AA$6:$AA$205,0)),""))</f>
        <v/>
      </c>
      <c r="D22" s="46">
        <f t="array" ref="D22">IF($P22="","",IFERROR(INDEX(Facturas!$C$6:$C$205,MATCH($P22,Facturas!$AA$6:$AA$205,0)),""))</f>
        <v/>
      </c>
      <c r="E22" s="46">
        <f t="array" ref="E22">IF($P22="","",IFERROR(INDEX(Facturas!$D$6:$D$205,MATCH($P22,Facturas!$AA$6:$AA$205,0)),""))</f>
        <v/>
      </c>
      <c r="F22" s="46">
        <f t="array" ref="F22">IF($P22="","",IFERROR(INDEX(Facturas!$E$6:$E$205,MATCH($P22,Facturas!$AA$6:$AA$205,0)),""))</f>
        <v/>
      </c>
      <c r="G22" s="64">
        <f t="array" ref="G22">IF($P22="","",IFERROR(INDEX(Facturas!$F$6:$F$205,MATCH($P22,Facturas!$AA$6:$AA$205,0)),""))</f>
        <v/>
      </c>
      <c r="H22" s="152">
        <f t="array" ref="H22">IF($P22="","",IFERROR(INDEX(Facturas!$H$6:$H$205,MATCH($P22,Facturas!$AA$6:$AA$205,0)),""))</f>
        <v/>
      </c>
      <c r="I22" s="59">
        <f t="array" ref="I22">IF($P22="","",IFERROR(INDEX(Facturas!$M$6:$M$205,MATCH($P22,Facturas!$AA$6:$AA$205,0)),""))</f>
        <v/>
      </c>
      <c r="J22" s="64">
        <f t="array" ref="J22">IF($P22="","",IFERROR(INDEX(Facturas!$N$6:$N$205,MATCH($P22,Facturas!$AA$6:$AA$205,0)),""))</f>
        <v/>
      </c>
      <c r="K22" s="64">
        <f t="array" ref="K22">IF($P22="","",IFERROR(INDEX(Facturas!$B$6:$B$205,MATCH($P22,Facturas!$AA$6:$AA$205,0)),""))</f>
        <v/>
      </c>
      <c r="L22" s="42">
        <f t="array" ref="L22">IF($P22="","",IFERROR(INDEX(Facturas!$I$6:$I$205,MATCH($P22,Facturas!$AA$6:$AA$205,0)),""))</f>
        <v/>
      </c>
      <c r="M22" s="42">
        <f t="array" ref="M22">IF($P22="","",IFERROR(INDEX(Facturas!$J$6:$J$205,MATCH($P22,Facturas!$AA$6:$AA$205,0)),""))</f>
        <v/>
      </c>
      <c r="N22" s="57">
        <f t="array" ref="N22">IF($P22="","",IFERROR(INDEX(Facturas!$K$6:$K$205,MATCH($P22,Facturas!$AA$6:$AA$205,0)),""))</f>
        <v/>
      </c>
      <c r="O22" s="46">
        <f t="array" ref="O22">IF($P22="","",IFERROR(INDEX(Facturas!$L$6:$L$205,MATCH($P22,Facturas!$AA$6:$AA$205,0)),""))</f>
        <v/>
      </c>
      <c r="P22" s="153">
        <f>IFERROR(SMALL(Facturas!$AA$6:$AA$205,10),"")</f>
        <v/>
      </c>
      <c r="Q22" s="1" t="n"/>
      <c r="R22" s="1" t="n"/>
      <c r="S22" s="1" t="n"/>
      <c r="T22" s="1" t="n"/>
      <c r="U22" s="1" t="n"/>
      <c r="V22" s="1" t="n"/>
      <c r="W22" s="1" t="n"/>
      <c r="X22" s="1" t="n"/>
      <c r="Y22" s="1" t="n"/>
      <c r="Z22" s="1" t="n"/>
    </row>
    <row r="23" ht="15" customHeight="1" s="311">
      <c r="A23" s="151">
        <f>IF($P23="","",11)</f>
        <v/>
      </c>
      <c r="B23" s="62">
        <f t="array" ref="B23">IF($P23="","",IFERROR(INDEX(Facturas!$P$6:$P$205,MATCH($P23,Facturas!$AA$6:$AA$205,0)),""))</f>
        <v/>
      </c>
      <c r="C23" s="151">
        <f t="array" ref="C23">IF($P23="","",IFERROR(INDEX(Facturas!$A$6:$A$205,MATCH($P23,Facturas!$AA$6:$AA$205,0)),""))</f>
        <v/>
      </c>
      <c r="D23" s="46">
        <f t="array" ref="D23">IF($P23="","",IFERROR(INDEX(Facturas!$C$6:$C$205,MATCH($P23,Facturas!$AA$6:$AA$205,0)),""))</f>
        <v/>
      </c>
      <c r="E23" s="46">
        <f t="array" ref="E23">IF($P23="","",IFERROR(INDEX(Facturas!$D$6:$D$205,MATCH($P23,Facturas!$AA$6:$AA$205,0)),""))</f>
        <v/>
      </c>
      <c r="F23" s="46">
        <f t="array" ref="F23">IF($P23="","",IFERROR(INDEX(Facturas!$E$6:$E$205,MATCH($P23,Facturas!$AA$6:$AA$205,0)),""))</f>
        <v/>
      </c>
      <c r="G23" s="64">
        <f t="array" ref="G23">IF($P23="","",IFERROR(INDEX(Facturas!$F$6:$F$205,MATCH($P23,Facturas!$AA$6:$AA$205,0)),""))</f>
        <v/>
      </c>
      <c r="H23" s="152">
        <f t="array" ref="H23">IF($P23="","",IFERROR(INDEX(Facturas!$H$6:$H$205,MATCH($P23,Facturas!$AA$6:$AA$205,0)),""))</f>
        <v/>
      </c>
      <c r="I23" s="59">
        <f t="array" ref="I23">IF($P23="","",IFERROR(INDEX(Facturas!$M$6:$M$205,MATCH($P23,Facturas!$AA$6:$AA$205,0)),""))</f>
        <v/>
      </c>
      <c r="J23" s="64">
        <f t="array" ref="J23">IF($P23="","",IFERROR(INDEX(Facturas!$N$6:$N$205,MATCH($P23,Facturas!$AA$6:$AA$205,0)),""))</f>
        <v/>
      </c>
      <c r="K23" s="64">
        <f t="array" ref="K23">IF($P23="","",IFERROR(INDEX(Facturas!$B$6:$B$205,MATCH($P23,Facturas!$AA$6:$AA$205,0)),""))</f>
        <v/>
      </c>
      <c r="L23" s="42">
        <f t="array" ref="L23">IF($P23="","",IFERROR(INDEX(Facturas!$I$6:$I$205,MATCH($P23,Facturas!$AA$6:$AA$205,0)),""))</f>
        <v/>
      </c>
      <c r="M23" s="42">
        <f t="array" ref="M23">IF($P23="","",IFERROR(INDEX(Facturas!$J$6:$J$205,MATCH($P23,Facturas!$AA$6:$AA$205,0)),""))</f>
        <v/>
      </c>
      <c r="N23" s="57">
        <f t="array" ref="N23">IF($P23="","",IFERROR(INDEX(Facturas!$K$6:$K$205,MATCH($P23,Facturas!$AA$6:$AA$205,0)),""))</f>
        <v/>
      </c>
      <c r="O23" s="46">
        <f t="array" ref="O23">IF($P23="","",IFERROR(INDEX(Facturas!$L$6:$L$205,MATCH($P23,Facturas!$AA$6:$AA$205,0)),""))</f>
        <v/>
      </c>
      <c r="P23" s="153">
        <f>IFERROR(SMALL(Facturas!$AA$6:$AA$205,11),"")</f>
        <v/>
      </c>
      <c r="Q23" s="1" t="n"/>
      <c r="R23" s="1" t="n"/>
      <c r="S23" s="1" t="n"/>
      <c r="T23" s="1" t="n"/>
      <c r="U23" s="1" t="n"/>
      <c r="V23" s="1" t="n"/>
      <c r="W23" s="1" t="n"/>
      <c r="X23" s="1" t="n"/>
      <c r="Y23" s="1" t="n"/>
      <c r="Z23" s="1" t="n"/>
    </row>
    <row r="24" ht="15" customHeight="1" s="311">
      <c r="A24" s="151">
        <f>IF($P24="","",12)</f>
        <v/>
      </c>
      <c r="B24" s="62">
        <f t="array" ref="B24">IF($P24="","",IFERROR(INDEX(Facturas!$P$6:$P$205,MATCH($P24,Facturas!$AA$6:$AA$205,0)),""))</f>
        <v/>
      </c>
      <c r="C24" s="151">
        <f t="array" ref="C24">IF($P24="","",IFERROR(INDEX(Facturas!$A$6:$A$205,MATCH($P24,Facturas!$AA$6:$AA$205,0)),""))</f>
        <v/>
      </c>
      <c r="D24" s="46">
        <f t="array" ref="D24">IF($P24="","",IFERROR(INDEX(Facturas!$C$6:$C$205,MATCH($P24,Facturas!$AA$6:$AA$205,0)),""))</f>
        <v/>
      </c>
      <c r="E24" s="46">
        <f t="array" ref="E24">IF($P24="","",IFERROR(INDEX(Facturas!$D$6:$D$205,MATCH($P24,Facturas!$AA$6:$AA$205,0)),""))</f>
        <v/>
      </c>
      <c r="F24" s="46">
        <f t="array" ref="F24">IF($P24="","",IFERROR(INDEX(Facturas!$E$6:$E$205,MATCH($P24,Facturas!$AA$6:$AA$205,0)),""))</f>
        <v/>
      </c>
      <c r="G24" s="64">
        <f t="array" ref="G24">IF($P24="","",IFERROR(INDEX(Facturas!$F$6:$F$205,MATCH($P24,Facturas!$AA$6:$AA$205,0)),""))</f>
        <v/>
      </c>
      <c r="H24" s="152">
        <f t="array" ref="H24">IF($P24="","",IFERROR(INDEX(Facturas!$H$6:$H$205,MATCH($P24,Facturas!$AA$6:$AA$205,0)),""))</f>
        <v/>
      </c>
      <c r="I24" s="59">
        <f t="array" ref="I24">IF($P24="","",IFERROR(INDEX(Facturas!$M$6:$M$205,MATCH($P24,Facturas!$AA$6:$AA$205,0)),""))</f>
        <v/>
      </c>
      <c r="J24" s="64">
        <f t="array" ref="J24">IF($P24="","",IFERROR(INDEX(Facturas!$N$6:$N$205,MATCH($P24,Facturas!$AA$6:$AA$205,0)),""))</f>
        <v/>
      </c>
      <c r="K24" s="64">
        <f t="array" ref="K24">IF($P24="","",IFERROR(INDEX(Facturas!$B$6:$B$205,MATCH($P24,Facturas!$AA$6:$AA$205,0)),""))</f>
        <v/>
      </c>
      <c r="L24" s="42">
        <f t="array" ref="L24">IF($P24="","",IFERROR(INDEX(Facturas!$I$6:$I$205,MATCH($P24,Facturas!$AA$6:$AA$205,0)),""))</f>
        <v/>
      </c>
      <c r="M24" s="42">
        <f t="array" ref="M24">IF($P24="","",IFERROR(INDEX(Facturas!$J$6:$J$205,MATCH($P24,Facturas!$AA$6:$AA$205,0)),""))</f>
        <v/>
      </c>
      <c r="N24" s="57">
        <f t="array" ref="N24">IF($P24="","",IFERROR(INDEX(Facturas!$K$6:$K$205,MATCH($P24,Facturas!$AA$6:$AA$205,0)),""))</f>
        <v/>
      </c>
      <c r="O24" s="46">
        <f t="array" ref="O24">IF($P24="","",IFERROR(INDEX(Facturas!$L$6:$L$205,MATCH($P24,Facturas!$AA$6:$AA$205,0)),""))</f>
        <v/>
      </c>
      <c r="P24" s="153">
        <f>IFERROR(SMALL(Facturas!$AA$6:$AA$205,12),"")</f>
        <v/>
      </c>
      <c r="Q24" s="1" t="n"/>
      <c r="R24" s="1" t="n"/>
      <c r="S24" s="1" t="n"/>
      <c r="T24" s="1" t="n"/>
      <c r="U24" s="1" t="n"/>
      <c r="V24" s="1" t="n"/>
      <c r="W24" s="1" t="n"/>
      <c r="X24" s="1" t="n"/>
      <c r="Y24" s="1" t="n"/>
      <c r="Z24" s="1" t="n"/>
    </row>
    <row r="25" ht="15" customHeight="1" s="311">
      <c r="A25" s="151">
        <f>IF($P25="","",13)</f>
        <v/>
      </c>
      <c r="B25" s="62">
        <f t="array" ref="B25">IF($P25="","",IFERROR(INDEX(Facturas!$P$6:$P$205,MATCH($P25,Facturas!$AA$6:$AA$205,0)),""))</f>
        <v/>
      </c>
      <c r="C25" s="151">
        <f t="array" ref="C25">IF($P25="","",IFERROR(INDEX(Facturas!$A$6:$A$205,MATCH($P25,Facturas!$AA$6:$AA$205,0)),""))</f>
        <v/>
      </c>
      <c r="D25" s="46">
        <f t="array" ref="D25">IF($P25="","",IFERROR(INDEX(Facturas!$C$6:$C$205,MATCH($P25,Facturas!$AA$6:$AA$205,0)),""))</f>
        <v/>
      </c>
      <c r="E25" s="46">
        <f t="array" ref="E25">IF($P25="","",IFERROR(INDEX(Facturas!$D$6:$D$205,MATCH($P25,Facturas!$AA$6:$AA$205,0)),""))</f>
        <v/>
      </c>
      <c r="F25" s="46">
        <f t="array" ref="F25">IF($P25="","",IFERROR(INDEX(Facturas!$E$6:$E$205,MATCH($P25,Facturas!$AA$6:$AA$205,0)),""))</f>
        <v/>
      </c>
      <c r="G25" s="64">
        <f t="array" ref="G25">IF($P25="","",IFERROR(INDEX(Facturas!$F$6:$F$205,MATCH($P25,Facturas!$AA$6:$AA$205,0)),""))</f>
        <v/>
      </c>
      <c r="H25" s="152">
        <f t="array" ref="H25">IF($P25="","",IFERROR(INDEX(Facturas!$H$6:$H$205,MATCH($P25,Facturas!$AA$6:$AA$205,0)),""))</f>
        <v/>
      </c>
      <c r="I25" s="59">
        <f t="array" ref="I25">IF($P25="","",IFERROR(INDEX(Facturas!$M$6:$M$205,MATCH($P25,Facturas!$AA$6:$AA$205,0)),""))</f>
        <v/>
      </c>
      <c r="J25" s="64">
        <f t="array" ref="J25">IF($P25="","",IFERROR(INDEX(Facturas!$N$6:$N$205,MATCH($P25,Facturas!$AA$6:$AA$205,0)),""))</f>
        <v/>
      </c>
      <c r="K25" s="64">
        <f t="array" ref="K25">IF($P25="","",IFERROR(INDEX(Facturas!$B$6:$B$205,MATCH($P25,Facturas!$AA$6:$AA$205,0)),""))</f>
        <v/>
      </c>
      <c r="L25" s="42">
        <f t="array" ref="L25">IF($P25="","",IFERROR(INDEX(Facturas!$I$6:$I$205,MATCH($P25,Facturas!$AA$6:$AA$205,0)),""))</f>
        <v/>
      </c>
      <c r="M25" s="42">
        <f t="array" ref="M25">IF($P25="","",IFERROR(INDEX(Facturas!$J$6:$J$205,MATCH($P25,Facturas!$AA$6:$AA$205,0)),""))</f>
        <v/>
      </c>
      <c r="N25" s="57">
        <f t="array" ref="N25">IF($P25="","",IFERROR(INDEX(Facturas!$K$6:$K$205,MATCH($P25,Facturas!$AA$6:$AA$205,0)),""))</f>
        <v/>
      </c>
      <c r="O25" s="46">
        <f t="array" ref="O25">IF($P25="","",IFERROR(INDEX(Facturas!$L$6:$L$205,MATCH($P25,Facturas!$AA$6:$AA$205,0)),""))</f>
        <v/>
      </c>
      <c r="P25" s="153">
        <f>IFERROR(SMALL(Facturas!$AA$6:$AA$205,13),"")</f>
        <v/>
      </c>
      <c r="Q25" s="1" t="n"/>
      <c r="R25" s="1" t="n"/>
      <c r="S25" s="1" t="n"/>
      <c r="T25" s="1" t="n"/>
      <c r="U25" s="1" t="n"/>
      <c r="V25" s="1" t="n"/>
      <c r="W25" s="1" t="n"/>
      <c r="X25" s="1" t="n"/>
      <c r="Y25" s="1" t="n"/>
      <c r="Z25" s="1" t="n"/>
    </row>
    <row r="26" ht="15" customHeight="1" s="311">
      <c r="A26" s="151">
        <f>IF($P26="","",14)</f>
        <v/>
      </c>
      <c r="B26" s="62">
        <f t="array" ref="B26">IF($P26="","",IFERROR(INDEX(Facturas!$P$6:$P$205,MATCH($P26,Facturas!$AA$6:$AA$205,0)),""))</f>
        <v/>
      </c>
      <c r="C26" s="151">
        <f t="array" ref="C26">IF($P26="","",IFERROR(INDEX(Facturas!$A$6:$A$205,MATCH($P26,Facturas!$AA$6:$AA$205,0)),""))</f>
        <v/>
      </c>
      <c r="D26" s="46">
        <f t="array" ref="D26">IF($P26="","",IFERROR(INDEX(Facturas!$C$6:$C$205,MATCH($P26,Facturas!$AA$6:$AA$205,0)),""))</f>
        <v/>
      </c>
      <c r="E26" s="46">
        <f t="array" ref="E26">IF($P26="","",IFERROR(INDEX(Facturas!$D$6:$D$205,MATCH($P26,Facturas!$AA$6:$AA$205,0)),""))</f>
        <v/>
      </c>
      <c r="F26" s="46">
        <f t="array" ref="F26">IF($P26="","",IFERROR(INDEX(Facturas!$E$6:$E$205,MATCH($P26,Facturas!$AA$6:$AA$205,0)),""))</f>
        <v/>
      </c>
      <c r="G26" s="64">
        <f t="array" ref="G26">IF($P26="","",IFERROR(INDEX(Facturas!$F$6:$F$205,MATCH($P26,Facturas!$AA$6:$AA$205,0)),""))</f>
        <v/>
      </c>
      <c r="H26" s="152">
        <f t="array" ref="H26">IF($P26="","",IFERROR(INDEX(Facturas!$H$6:$H$205,MATCH($P26,Facturas!$AA$6:$AA$205,0)),""))</f>
        <v/>
      </c>
      <c r="I26" s="59">
        <f t="array" ref="I26">IF($P26="","",IFERROR(INDEX(Facturas!$M$6:$M$205,MATCH($P26,Facturas!$AA$6:$AA$205,0)),""))</f>
        <v/>
      </c>
      <c r="J26" s="64">
        <f t="array" ref="J26">IF($P26="","",IFERROR(INDEX(Facturas!$N$6:$N$205,MATCH($P26,Facturas!$AA$6:$AA$205,0)),""))</f>
        <v/>
      </c>
      <c r="K26" s="64">
        <f t="array" ref="K26">IF($P26="","",IFERROR(INDEX(Facturas!$B$6:$B$205,MATCH($P26,Facturas!$AA$6:$AA$205,0)),""))</f>
        <v/>
      </c>
      <c r="L26" s="42">
        <f t="array" ref="L26">IF($P26="","",IFERROR(INDEX(Facturas!$I$6:$I$205,MATCH($P26,Facturas!$AA$6:$AA$205,0)),""))</f>
        <v/>
      </c>
      <c r="M26" s="42">
        <f t="array" ref="M26">IF($P26="","",IFERROR(INDEX(Facturas!$J$6:$J$205,MATCH($P26,Facturas!$AA$6:$AA$205,0)),""))</f>
        <v/>
      </c>
      <c r="N26" s="57">
        <f t="array" ref="N26">IF($P26="","",IFERROR(INDEX(Facturas!$K$6:$K$205,MATCH($P26,Facturas!$AA$6:$AA$205,0)),""))</f>
        <v/>
      </c>
      <c r="O26" s="46">
        <f t="array" ref="O26">IF($P26="","",IFERROR(INDEX(Facturas!$L$6:$L$205,MATCH($P26,Facturas!$AA$6:$AA$205,0)),""))</f>
        <v/>
      </c>
      <c r="P26" s="153">
        <f>IFERROR(SMALL(Facturas!$AA$6:$AA$205,14),"")</f>
        <v/>
      </c>
      <c r="Q26" s="1" t="n"/>
      <c r="R26" s="1" t="n"/>
      <c r="S26" s="1" t="n"/>
      <c r="T26" s="1" t="n"/>
      <c r="U26" s="1" t="n"/>
      <c r="V26" s="1" t="n"/>
      <c r="W26" s="1" t="n"/>
      <c r="X26" s="1" t="n"/>
      <c r="Y26" s="1" t="n"/>
      <c r="Z26" s="1" t="n"/>
    </row>
    <row r="27" ht="15" customHeight="1" s="311">
      <c r="A27" s="151">
        <f>IF($P27="","",15)</f>
        <v/>
      </c>
      <c r="B27" s="62">
        <f t="array" ref="B27">IF($P27="","",IFERROR(INDEX(Facturas!$P$6:$P$205,MATCH($P27,Facturas!$AA$6:$AA$205,0)),""))</f>
        <v/>
      </c>
      <c r="C27" s="151">
        <f t="array" ref="C27">IF($P27="","",IFERROR(INDEX(Facturas!$A$6:$A$205,MATCH($P27,Facturas!$AA$6:$AA$205,0)),""))</f>
        <v/>
      </c>
      <c r="D27" s="46">
        <f t="array" ref="D27">IF($P27="","",IFERROR(INDEX(Facturas!$C$6:$C$205,MATCH($P27,Facturas!$AA$6:$AA$205,0)),""))</f>
        <v/>
      </c>
      <c r="E27" s="46">
        <f t="array" ref="E27">IF($P27="","",IFERROR(INDEX(Facturas!$D$6:$D$205,MATCH($P27,Facturas!$AA$6:$AA$205,0)),""))</f>
        <v/>
      </c>
      <c r="F27" s="46">
        <f t="array" ref="F27">IF($P27="","",IFERROR(INDEX(Facturas!$E$6:$E$205,MATCH($P27,Facturas!$AA$6:$AA$205,0)),""))</f>
        <v/>
      </c>
      <c r="G27" s="64">
        <f t="array" ref="G27">IF($P27="","",IFERROR(INDEX(Facturas!$F$6:$F$205,MATCH($P27,Facturas!$AA$6:$AA$205,0)),""))</f>
        <v/>
      </c>
      <c r="H27" s="152">
        <f t="array" ref="H27">IF($P27="","",IFERROR(INDEX(Facturas!$H$6:$H$205,MATCH($P27,Facturas!$AA$6:$AA$205,0)),""))</f>
        <v/>
      </c>
      <c r="I27" s="59">
        <f t="array" ref="I27">IF($P27="","",IFERROR(INDEX(Facturas!$M$6:$M$205,MATCH($P27,Facturas!$AA$6:$AA$205,0)),""))</f>
        <v/>
      </c>
      <c r="J27" s="64">
        <f t="array" ref="J27">IF($P27="","",IFERROR(INDEX(Facturas!$N$6:$N$205,MATCH($P27,Facturas!$AA$6:$AA$205,0)),""))</f>
        <v/>
      </c>
      <c r="K27" s="64">
        <f t="array" ref="K27">IF($P27="","",IFERROR(INDEX(Facturas!$B$6:$B$205,MATCH($P27,Facturas!$AA$6:$AA$205,0)),""))</f>
        <v/>
      </c>
      <c r="L27" s="42">
        <f t="array" ref="L27">IF($P27="","",IFERROR(INDEX(Facturas!$I$6:$I$205,MATCH($P27,Facturas!$AA$6:$AA$205,0)),""))</f>
        <v/>
      </c>
      <c r="M27" s="42">
        <f t="array" ref="M27">IF($P27="","",IFERROR(INDEX(Facturas!$J$6:$J$205,MATCH($P27,Facturas!$AA$6:$AA$205,0)),""))</f>
        <v/>
      </c>
      <c r="N27" s="57">
        <f t="array" ref="N27">IF($P27="","",IFERROR(INDEX(Facturas!$K$6:$K$205,MATCH($P27,Facturas!$AA$6:$AA$205,0)),""))</f>
        <v/>
      </c>
      <c r="O27" s="46">
        <f t="array" ref="O27">IF($P27="","",IFERROR(INDEX(Facturas!$L$6:$L$205,MATCH($P27,Facturas!$AA$6:$AA$205,0)),""))</f>
        <v/>
      </c>
      <c r="P27" s="153">
        <f>IFERROR(SMALL(Facturas!$AA$6:$AA$205,15),"")</f>
        <v/>
      </c>
      <c r="Q27" s="1" t="n"/>
      <c r="R27" s="1" t="n"/>
      <c r="S27" s="1" t="n"/>
      <c r="T27" s="1" t="n"/>
      <c r="U27" s="1" t="n"/>
      <c r="V27" s="1" t="n"/>
      <c r="W27" s="1" t="n"/>
      <c r="X27" s="1" t="n"/>
      <c r="Y27" s="1" t="n"/>
      <c r="Z27" s="1" t="n"/>
    </row>
    <row r="28" ht="15" customHeight="1" s="311">
      <c r="A28" s="151">
        <f>IF($P28="","",16)</f>
        <v/>
      </c>
      <c r="B28" s="62">
        <f t="array" ref="B28">IF($P28="","",IFERROR(INDEX(Facturas!$P$6:$P$205,MATCH($P28,Facturas!$AA$6:$AA$205,0)),""))</f>
        <v/>
      </c>
      <c r="C28" s="151">
        <f t="array" ref="C28">IF($P28="","",IFERROR(INDEX(Facturas!$A$6:$A$205,MATCH($P28,Facturas!$AA$6:$AA$205,0)),""))</f>
        <v/>
      </c>
      <c r="D28" s="46">
        <f t="array" ref="D28">IF($P28="","",IFERROR(INDEX(Facturas!$C$6:$C$205,MATCH($P28,Facturas!$AA$6:$AA$205,0)),""))</f>
        <v/>
      </c>
      <c r="E28" s="46">
        <f t="array" ref="E28">IF($P28="","",IFERROR(INDEX(Facturas!$D$6:$D$205,MATCH($P28,Facturas!$AA$6:$AA$205,0)),""))</f>
        <v/>
      </c>
      <c r="F28" s="46">
        <f t="array" ref="F28">IF($P28="","",IFERROR(INDEX(Facturas!$E$6:$E$205,MATCH($P28,Facturas!$AA$6:$AA$205,0)),""))</f>
        <v/>
      </c>
      <c r="G28" s="64">
        <f t="array" ref="G28">IF($P28="","",IFERROR(INDEX(Facturas!$F$6:$F$205,MATCH($P28,Facturas!$AA$6:$AA$205,0)),""))</f>
        <v/>
      </c>
      <c r="H28" s="152">
        <f t="array" ref="H28">IF($P28="","",IFERROR(INDEX(Facturas!$H$6:$H$205,MATCH($P28,Facturas!$AA$6:$AA$205,0)),""))</f>
        <v/>
      </c>
      <c r="I28" s="59">
        <f t="array" ref="I28">IF($P28="","",IFERROR(INDEX(Facturas!$M$6:$M$205,MATCH($P28,Facturas!$AA$6:$AA$205,0)),""))</f>
        <v/>
      </c>
      <c r="J28" s="64">
        <f t="array" ref="J28">IF($P28="","",IFERROR(INDEX(Facturas!$N$6:$N$205,MATCH($P28,Facturas!$AA$6:$AA$205,0)),""))</f>
        <v/>
      </c>
      <c r="K28" s="64">
        <f t="array" ref="K28">IF($P28="","",IFERROR(INDEX(Facturas!$B$6:$B$205,MATCH($P28,Facturas!$AA$6:$AA$205,0)),""))</f>
        <v/>
      </c>
      <c r="L28" s="42">
        <f t="array" ref="L28">IF($P28="","",IFERROR(INDEX(Facturas!$I$6:$I$205,MATCH($P28,Facturas!$AA$6:$AA$205,0)),""))</f>
        <v/>
      </c>
      <c r="M28" s="42">
        <f t="array" ref="M28">IF($P28="","",IFERROR(INDEX(Facturas!$J$6:$J$205,MATCH($P28,Facturas!$AA$6:$AA$205,0)),""))</f>
        <v/>
      </c>
      <c r="N28" s="57">
        <f t="array" ref="N28">IF($P28="","",IFERROR(INDEX(Facturas!$K$6:$K$205,MATCH($P28,Facturas!$AA$6:$AA$205,0)),""))</f>
        <v/>
      </c>
      <c r="O28" s="46">
        <f t="array" ref="O28">IF($P28="","",IFERROR(INDEX(Facturas!$L$6:$L$205,MATCH($P28,Facturas!$AA$6:$AA$205,0)),""))</f>
        <v/>
      </c>
      <c r="P28" s="153">
        <f>IFERROR(SMALL(Facturas!$AA$6:$AA$205,16),"")</f>
        <v/>
      </c>
      <c r="Q28" s="1" t="n"/>
      <c r="R28" s="1" t="n"/>
      <c r="S28" s="1" t="n"/>
      <c r="T28" s="1" t="n"/>
      <c r="U28" s="1" t="n"/>
      <c r="V28" s="1" t="n"/>
      <c r="W28" s="1" t="n"/>
      <c r="X28" s="1" t="n"/>
      <c r="Y28" s="1" t="n"/>
      <c r="Z28" s="1" t="n"/>
    </row>
    <row r="29" ht="15" customHeight="1" s="311">
      <c r="A29" s="151">
        <f>IF($P29="","",17)</f>
        <v/>
      </c>
      <c r="B29" s="62">
        <f t="array" ref="B29">IF($P29="","",IFERROR(INDEX(Facturas!$P$6:$P$205,MATCH($P29,Facturas!$AA$6:$AA$205,0)),""))</f>
        <v/>
      </c>
      <c r="C29" s="151">
        <f t="array" ref="C29">IF($P29="","",IFERROR(INDEX(Facturas!$A$6:$A$205,MATCH($P29,Facturas!$AA$6:$AA$205,0)),""))</f>
        <v/>
      </c>
      <c r="D29" s="46">
        <f t="array" ref="D29">IF($P29="","",IFERROR(INDEX(Facturas!$C$6:$C$205,MATCH($P29,Facturas!$AA$6:$AA$205,0)),""))</f>
        <v/>
      </c>
      <c r="E29" s="46">
        <f t="array" ref="E29">IF($P29="","",IFERROR(INDEX(Facturas!$D$6:$D$205,MATCH($P29,Facturas!$AA$6:$AA$205,0)),""))</f>
        <v/>
      </c>
      <c r="F29" s="46">
        <f t="array" ref="F29">IF($P29="","",IFERROR(INDEX(Facturas!$E$6:$E$205,MATCH($P29,Facturas!$AA$6:$AA$205,0)),""))</f>
        <v/>
      </c>
      <c r="G29" s="64">
        <f t="array" ref="G29">IF($P29="","",IFERROR(INDEX(Facturas!$F$6:$F$205,MATCH($P29,Facturas!$AA$6:$AA$205,0)),""))</f>
        <v/>
      </c>
      <c r="H29" s="152">
        <f t="array" ref="H29">IF($P29="","",IFERROR(INDEX(Facturas!$H$6:$H$205,MATCH($P29,Facturas!$AA$6:$AA$205,0)),""))</f>
        <v/>
      </c>
      <c r="I29" s="59">
        <f t="array" ref="I29">IF($P29="","",IFERROR(INDEX(Facturas!$M$6:$M$205,MATCH($P29,Facturas!$AA$6:$AA$205,0)),""))</f>
        <v/>
      </c>
      <c r="J29" s="64">
        <f t="array" ref="J29">IF($P29="","",IFERROR(INDEX(Facturas!$N$6:$N$205,MATCH($P29,Facturas!$AA$6:$AA$205,0)),""))</f>
        <v/>
      </c>
      <c r="K29" s="64">
        <f t="array" ref="K29">IF($P29="","",IFERROR(INDEX(Facturas!$B$6:$B$205,MATCH($P29,Facturas!$AA$6:$AA$205,0)),""))</f>
        <v/>
      </c>
      <c r="L29" s="42">
        <f t="array" ref="L29">IF($P29="","",IFERROR(INDEX(Facturas!$I$6:$I$205,MATCH($P29,Facturas!$AA$6:$AA$205,0)),""))</f>
        <v/>
      </c>
      <c r="M29" s="42">
        <f t="array" ref="M29">IF($P29="","",IFERROR(INDEX(Facturas!$J$6:$J$205,MATCH($P29,Facturas!$AA$6:$AA$205,0)),""))</f>
        <v/>
      </c>
      <c r="N29" s="57">
        <f t="array" ref="N29">IF($P29="","",IFERROR(INDEX(Facturas!$K$6:$K$205,MATCH($P29,Facturas!$AA$6:$AA$205,0)),""))</f>
        <v/>
      </c>
      <c r="O29" s="46">
        <f t="array" ref="O29">IF($P29="","",IFERROR(INDEX(Facturas!$L$6:$L$205,MATCH($P29,Facturas!$AA$6:$AA$205,0)),""))</f>
        <v/>
      </c>
      <c r="P29" s="153">
        <f>IFERROR(SMALL(Facturas!$AA$6:$AA$205,17),"")</f>
        <v/>
      </c>
      <c r="Q29" s="1" t="n"/>
      <c r="R29" s="1" t="n"/>
      <c r="S29" s="1" t="n"/>
      <c r="T29" s="1" t="n"/>
      <c r="U29" s="1" t="n"/>
      <c r="V29" s="1" t="n"/>
      <c r="W29" s="1" t="n"/>
      <c r="X29" s="1" t="n"/>
      <c r="Y29" s="1" t="n"/>
      <c r="Z29" s="1" t="n"/>
    </row>
    <row r="30" ht="15" customHeight="1" s="311">
      <c r="A30" s="151">
        <f>IF($P30="","",18)</f>
        <v/>
      </c>
      <c r="B30" s="62">
        <f t="array" ref="B30">IF($P30="","",IFERROR(INDEX(Facturas!$P$6:$P$205,MATCH($P30,Facturas!$AA$6:$AA$205,0)),""))</f>
        <v/>
      </c>
      <c r="C30" s="151">
        <f t="array" ref="C30">IF($P30="","",IFERROR(INDEX(Facturas!$A$6:$A$205,MATCH($P30,Facturas!$AA$6:$AA$205,0)),""))</f>
        <v/>
      </c>
      <c r="D30" s="46">
        <f t="array" ref="D30">IF($P30="","",IFERROR(INDEX(Facturas!$C$6:$C$205,MATCH($P30,Facturas!$AA$6:$AA$205,0)),""))</f>
        <v/>
      </c>
      <c r="E30" s="46">
        <f t="array" ref="E30">IF($P30="","",IFERROR(INDEX(Facturas!$D$6:$D$205,MATCH($P30,Facturas!$AA$6:$AA$205,0)),""))</f>
        <v/>
      </c>
      <c r="F30" s="46">
        <f t="array" ref="F30">IF($P30="","",IFERROR(INDEX(Facturas!$E$6:$E$205,MATCH($P30,Facturas!$AA$6:$AA$205,0)),""))</f>
        <v/>
      </c>
      <c r="G30" s="64">
        <f t="array" ref="G30">IF($P30="","",IFERROR(INDEX(Facturas!$F$6:$F$205,MATCH($P30,Facturas!$AA$6:$AA$205,0)),""))</f>
        <v/>
      </c>
      <c r="H30" s="152">
        <f t="array" ref="H30">IF($P30="","",IFERROR(INDEX(Facturas!$H$6:$H$205,MATCH($P30,Facturas!$AA$6:$AA$205,0)),""))</f>
        <v/>
      </c>
      <c r="I30" s="59">
        <f t="array" ref="I30">IF($P30="","",IFERROR(INDEX(Facturas!$M$6:$M$205,MATCH($P30,Facturas!$AA$6:$AA$205,0)),""))</f>
        <v/>
      </c>
      <c r="J30" s="64">
        <f t="array" ref="J30">IF($P30="","",IFERROR(INDEX(Facturas!$N$6:$N$205,MATCH($P30,Facturas!$AA$6:$AA$205,0)),""))</f>
        <v/>
      </c>
      <c r="K30" s="64">
        <f t="array" ref="K30">IF($P30="","",IFERROR(INDEX(Facturas!$B$6:$B$205,MATCH($P30,Facturas!$AA$6:$AA$205,0)),""))</f>
        <v/>
      </c>
      <c r="L30" s="42">
        <f t="array" ref="L30">IF($P30="","",IFERROR(INDEX(Facturas!$I$6:$I$205,MATCH($P30,Facturas!$AA$6:$AA$205,0)),""))</f>
        <v/>
      </c>
      <c r="M30" s="42">
        <f t="array" ref="M30">IF($P30="","",IFERROR(INDEX(Facturas!$J$6:$J$205,MATCH($P30,Facturas!$AA$6:$AA$205,0)),""))</f>
        <v/>
      </c>
      <c r="N30" s="57">
        <f t="array" ref="N30">IF($P30="","",IFERROR(INDEX(Facturas!$K$6:$K$205,MATCH($P30,Facturas!$AA$6:$AA$205,0)),""))</f>
        <v/>
      </c>
      <c r="O30" s="46">
        <f t="array" ref="O30">IF($P30="","",IFERROR(INDEX(Facturas!$L$6:$L$205,MATCH($P30,Facturas!$AA$6:$AA$205,0)),""))</f>
        <v/>
      </c>
      <c r="P30" s="153">
        <f>IFERROR(SMALL(Facturas!$AA$6:$AA$205,18),"")</f>
        <v/>
      </c>
      <c r="Q30" s="1" t="n"/>
      <c r="R30" s="1" t="n"/>
      <c r="S30" s="1" t="n"/>
      <c r="T30" s="1" t="n"/>
      <c r="U30" s="1" t="n"/>
      <c r="V30" s="1" t="n"/>
      <c r="W30" s="1" t="n"/>
      <c r="X30" s="1" t="n"/>
      <c r="Y30" s="1" t="n"/>
      <c r="Z30" s="1" t="n"/>
    </row>
    <row r="31" ht="15" customHeight="1" s="311">
      <c r="A31" s="151">
        <f>IF($P31="","",19)</f>
        <v/>
      </c>
      <c r="B31" s="62">
        <f t="array" ref="B31">IF($P31="","",IFERROR(INDEX(Facturas!$P$6:$P$205,MATCH($P31,Facturas!$AA$6:$AA$205,0)),""))</f>
        <v/>
      </c>
      <c r="C31" s="151">
        <f t="array" ref="C31">IF($P31="","",IFERROR(INDEX(Facturas!$A$6:$A$205,MATCH($P31,Facturas!$AA$6:$AA$205,0)),""))</f>
        <v/>
      </c>
      <c r="D31" s="46">
        <f t="array" ref="D31">IF($P31="","",IFERROR(INDEX(Facturas!$C$6:$C$205,MATCH($P31,Facturas!$AA$6:$AA$205,0)),""))</f>
        <v/>
      </c>
      <c r="E31" s="46">
        <f t="array" ref="E31">IF($P31="","",IFERROR(INDEX(Facturas!$D$6:$D$205,MATCH($P31,Facturas!$AA$6:$AA$205,0)),""))</f>
        <v/>
      </c>
      <c r="F31" s="46">
        <f t="array" ref="F31">IF($P31="","",IFERROR(INDEX(Facturas!$E$6:$E$205,MATCH($P31,Facturas!$AA$6:$AA$205,0)),""))</f>
        <v/>
      </c>
      <c r="G31" s="64">
        <f t="array" ref="G31">IF($P31="","",IFERROR(INDEX(Facturas!$F$6:$F$205,MATCH($P31,Facturas!$AA$6:$AA$205,0)),""))</f>
        <v/>
      </c>
      <c r="H31" s="152">
        <f t="array" ref="H31">IF($P31="","",IFERROR(INDEX(Facturas!$H$6:$H$205,MATCH($P31,Facturas!$AA$6:$AA$205,0)),""))</f>
        <v/>
      </c>
      <c r="I31" s="59">
        <f t="array" ref="I31">IF($P31="","",IFERROR(INDEX(Facturas!$M$6:$M$205,MATCH($P31,Facturas!$AA$6:$AA$205,0)),""))</f>
        <v/>
      </c>
      <c r="J31" s="64">
        <f t="array" ref="J31">IF($P31="","",IFERROR(INDEX(Facturas!$N$6:$N$205,MATCH($P31,Facturas!$AA$6:$AA$205,0)),""))</f>
        <v/>
      </c>
      <c r="K31" s="64">
        <f t="array" ref="K31">IF($P31="","",IFERROR(INDEX(Facturas!$B$6:$B$205,MATCH($P31,Facturas!$AA$6:$AA$205,0)),""))</f>
        <v/>
      </c>
      <c r="L31" s="42">
        <f t="array" ref="L31">IF($P31="","",IFERROR(INDEX(Facturas!$I$6:$I$205,MATCH($P31,Facturas!$AA$6:$AA$205,0)),""))</f>
        <v/>
      </c>
      <c r="M31" s="42">
        <f t="array" ref="M31">IF($P31="","",IFERROR(INDEX(Facturas!$J$6:$J$205,MATCH($P31,Facturas!$AA$6:$AA$205,0)),""))</f>
        <v/>
      </c>
      <c r="N31" s="57">
        <f t="array" ref="N31">IF($P31="","",IFERROR(INDEX(Facturas!$K$6:$K$205,MATCH($P31,Facturas!$AA$6:$AA$205,0)),""))</f>
        <v/>
      </c>
      <c r="O31" s="46">
        <f t="array" ref="O31">IF($P31="","",IFERROR(INDEX(Facturas!$L$6:$L$205,MATCH($P31,Facturas!$AA$6:$AA$205,0)),""))</f>
        <v/>
      </c>
      <c r="P31" s="153">
        <f>IFERROR(SMALL(Facturas!$AA$6:$AA$205,19),"")</f>
        <v/>
      </c>
      <c r="Q31" s="1" t="n"/>
      <c r="R31" s="1" t="n"/>
      <c r="S31" s="1" t="n"/>
      <c r="T31" s="1" t="n"/>
      <c r="U31" s="1" t="n"/>
      <c r="V31" s="1" t="n"/>
      <c r="W31" s="1" t="n"/>
      <c r="X31" s="1" t="n"/>
      <c r="Y31" s="1" t="n"/>
      <c r="Z31" s="1" t="n"/>
    </row>
    <row r="32" ht="15" customHeight="1" s="311">
      <c r="A32" s="151">
        <f>IF($P32="","",20)</f>
        <v/>
      </c>
      <c r="B32" s="62">
        <f t="array" ref="B32">IF($P32="","",IFERROR(INDEX(Facturas!$P$6:$P$205,MATCH($P32,Facturas!$AA$6:$AA$205,0)),""))</f>
        <v/>
      </c>
      <c r="C32" s="151">
        <f t="array" ref="C32">IF($P32="","",IFERROR(INDEX(Facturas!$A$6:$A$205,MATCH($P32,Facturas!$AA$6:$AA$205,0)),""))</f>
        <v/>
      </c>
      <c r="D32" s="46">
        <f t="array" ref="D32">IF($P32="","",IFERROR(INDEX(Facturas!$C$6:$C$205,MATCH($P32,Facturas!$AA$6:$AA$205,0)),""))</f>
        <v/>
      </c>
      <c r="E32" s="46">
        <f t="array" ref="E32">IF($P32="","",IFERROR(INDEX(Facturas!$D$6:$D$205,MATCH($P32,Facturas!$AA$6:$AA$205,0)),""))</f>
        <v/>
      </c>
      <c r="F32" s="46">
        <f t="array" ref="F32">IF($P32="","",IFERROR(INDEX(Facturas!$E$6:$E$205,MATCH($P32,Facturas!$AA$6:$AA$205,0)),""))</f>
        <v/>
      </c>
      <c r="G32" s="64">
        <f t="array" ref="G32">IF($P32="","",IFERROR(INDEX(Facturas!$F$6:$F$205,MATCH($P32,Facturas!$AA$6:$AA$205,0)),""))</f>
        <v/>
      </c>
      <c r="H32" s="152">
        <f t="array" ref="H32">IF($P32="","",IFERROR(INDEX(Facturas!$H$6:$H$205,MATCH($P32,Facturas!$AA$6:$AA$205,0)),""))</f>
        <v/>
      </c>
      <c r="I32" s="59">
        <f t="array" ref="I32">IF($P32="","",IFERROR(INDEX(Facturas!$M$6:$M$205,MATCH($P32,Facturas!$AA$6:$AA$205,0)),""))</f>
        <v/>
      </c>
      <c r="J32" s="64">
        <f t="array" ref="J32">IF($P32="","",IFERROR(INDEX(Facturas!$N$6:$N$205,MATCH($P32,Facturas!$AA$6:$AA$205,0)),""))</f>
        <v/>
      </c>
      <c r="K32" s="64">
        <f t="array" ref="K32">IF($P32="","",IFERROR(INDEX(Facturas!$B$6:$B$205,MATCH($P32,Facturas!$AA$6:$AA$205,0)),""))</f>
        <v/>
      </c>
      <c r="L32" s="42">
        <f t="array" ref="L32">IF($P32="","",IFERROR(INDEX(Facturas!$I$6:$I$205,MATCH($P32,Facturas!$AA$6:$AA$205,0)),""))</f>
        <v/>
      </c>
      <c r="M32" s="42">
        <f t="array" ref="M32">IF($P32="","",IFERROR(INDEX(Facturas!$J$6:$J$205,MATCH($P32,Facturas!$AA$6:$AA$205,0)),""))</f>
        <v/>
      </c>
      <c r="N32" s="57">
        <f t="array" ref="N32">IF($P32="","",IFERROR(INDEX(Facturas!$K$6:$K$205,MATCH($P32,Facturas!$AA$6:$AA$205,0)),""))</f>
        <v/>
      </c>
      <c r="O32" s="46">
        <f t="array" ref="O32">IF($P32="","",IFERROR(INDEX(Facturas!$L$6:$L$205,MATCH($P32,Facturas!$AA$6:$AA$205,0)),""))</f>
        <v/>
      </c>
      <c r="P32" s="153">
        <f>IFERROR(SMALL(Facturas!$AA$6:$AA$205,20),"")</f>
        <v/>
      </c>
      <c r="Q32" s="1" t="n"/>
      <c r="R32" s="1" t="n"/>
      <c r="S32" s="1" t="n"/>
      <c r="T32" s="1" t="n"/>
      <c r="U32" s="1" t="n"/>
      <c r="V32" s="1" t="n"/>
      <c r="W32" s="1" t="n"/>
      <c r="X32" s="1" t="n"/>
      <c r="Y32" s="1" t="n"/>
      <c r="Z32" s="1" t="n"/>
    </row>
    <row r="33" ht="15" customHeight="1" s="311">
      <c r="A33" s="151">
        <f>IF($P33="","",21)</f>
        <v/>
      </c>
      <c r="B33" s="62">
        <f t="array" ref="B33">IF($P33="","",IFERROR(INDEX(Facturas!$P$6:$P$205,MATCH($P33,Facturas!$AA$6:$AA$205,0)),""))</f>
        <v/>
      </c>
      <c r="C33" s="151">
        <f t="array" ref="C33">IF($P33="","",IFERROR(INDEX(Facturas!$A$6:$A$205,MATCH($P33,Facturas!$AA$6:$AA$205,0)),""))</f>
        <v/>
      </c>
      <c r="D33" s="46">
        <f t="array" ref="D33">IF($P33="","",IFERROR(INDEX(Facturas!$C$6:$C$205,MATCH($P33,Facturas!$AA$6:$AA$205,0)),""))</f>
        <v/>
      </c>
      <c r="E33" s="46">
        <f t="array" ref="E33">IF($P33="","",IFERROR(INDEX(Facturas!$D$6:$D$205,MATCH($P33,Facturas!$AA$6:$AA$205,0)),""))</f>
        <v/>
      </c>
      <c r="F33" s="46">
        <f t="array" ref="F33">IF($P33="","",IFERROR(INDEX(Facturas!$E$6:$E$205,MATCH($P33,Facturas!$AA$6:$AA$205,0)),""))</f>
        <v/>
      </c>
      <c r="G33" s="64">
        <f t="array" ref="G33">IF($P33="","",IFERROR(INDEX(Facturas!$F$6:$F$205,MATCH($P33,Facturas!$AA$6:$AA$205,0)),""))</f>
        <v/>
      </c>
      <c r="H33" s="152">
        <f t="array" ref="H33">IF($P33="","",IFERROR(INDEX(Facturas!$H$6:$H$205,MATCH($P33,Facturas!$AA$6:$AA$205,0)),""))</f>
        <v/>
      </c>
      <c r="I33" s="59">
        <f t="array" ref="I33">IF($P33="","",IFERROR(INDEX(Facturas!$M$6:$M$205,MATCH($P33,Facturas!$AA$6:$AA$205,0)),""))</f>
        <v/>
      </c>
      <c r="J33" s="64">
        <f t="array" ref="J33">IF($P33="","",IFERROR(INDEX(Facturas!$N$6:$N$205,MATCH($P33,Facturas!$AA$6:$AA$205,0)),""))</f>
        <v/>
      </c>
      <c r="K33" s="64">
        <f t="array" ref="K33">IF($P33="","",IFERROR(INDEX(Facturas!$B$6:$B$205,MATCH($P33,Facturas!$AA$6:$AA$205,0)),""))</f>
        <v/>
      </c>
      <c r="L33" s="42">
        <f t="array" ref="L33">IF($P33="","",IFERROR(INDEX(Facturas!$I$6:$I$205,MATCH($P33,Facturas!$AA$6:$AA$205,0)),""))</f>
        <v/>
      </c>
      <c r="M33" s="42">
        <f t="array" ref="M33">IF($P33="","",IFERROR(INDEX(Facturas!$J$6:$J$205,MATCH($P33,Facturas!$AA$6:$AA$205,0)),""))</f>
        <v/>
      </c>
      <c r="N33" s="57">
        <f t="array" ref="N33">IF($P33="","",IFERROR(INDEX(Facturas!$K$6:$K$205,MATCH($P33,Facturas!$AA$6:$AA$205,0)),""))</f>
        <v/>
      </c>
      <c r="O33" s="46">
        <f t="array" ref="O33">IF($P33="","",IFERROR(INDEX(Facturas!$L$6:$L$205,MATCH($P33,Facturas!$AA$6:$AA$205,0)),""))</f>
        <v/>
      </c>
      <c r="P33" s="153">
        <f>IFERROR(SMALL(Facturas!$AA$6:$AA$205,21),"")</f>
        <v/>
      </c>
      <c r="Q33" s="1" t="n"/>
      <c r="R33" s="1" t="n"/>
      <c r="S33" s="1" t="n"/>
      <c r="T33" s="1" t="n"/>
      <c r="U33" s="1" t="n"/>
      <c r="V33" s="1" t="n"/>
      <c r="W33" s="1" t="n"/>
      <c r="X33" s="1" t="n"/>
      <c r="Y33" s="1" t="n"/>
      <c r="Z33" s="1" t="n"/>
    </row>
    <row r="34" ht="15" customHeight="1" s="311">
      <c r="A34" s="151">
        <f>IF($P34="","",22)</f>
        <v/>
      </c>
      <c r="B34" s="62">
        <f t="array" ref="B34">IF($P34="","",IFERROR(INDEX(Facturas!$P$6:$P$205,MATCH($P34,Facturas!$AA$6:$AA$205,0)),""))</f>
        <v/>
      </c>
      <c r="C34" s="151">
        <f t="array" ref="C34">IF($P34="","",IFERROR(INDEX(Facturas!$A$6:$A$205,MATCH($P34,Facturas!$AA$6:$AA$205,0)),""))</f>
        <v/>
      </c>
      <c r="D34" s="46">
        <f t="array" ref="D34">IF($P34="","",IFERROR(INDEX(Facturas!$C$6:$C$205,MATCH($P34,Facturas!$AA$6:$AA$205,0)),""))</f>
        <v/>
      </c>
      <c r="E34" s="46">
        <f t="array" ref="E34">IF($P34="","",IFERROR(INDEX(Facturas!$D$6:$D$205,MATCH($P34,Facturas!$AA$6:$AA$205,0)),""))</f>
        <v/>
      </c>
      <c r="F34" s="46">
        <f t="array" ref="F34">IF($P34="","",IFERROR(INDEX(Facturas!$E$6:$E$205,MATCH($P34,Facturas!$AA$6:$AA$205,0)),""))</f>
        <v/>
      </c>
      <c r="G34" s="64">
        <f t="array" ref="G34">IF($P34="","",IFERROR(INDEX(Facturas!$F$6:$F$205,MATCH($P34,Facturas!$AA$6:$AA$205,0)),""))</f>
        <v/>
      </c>
      <c r="H34" s="152">
        <f t="array" ref="H34">IF($P34="","",IFERROR(INDEX(Facturas!$H$6:$H$205,MATCH($P34,Facturas!$AA$6:$AA$205,0)),""))</f>
        <v/>
      </c>
      <c r="I34" s="59">
        <f t="array" ref="I34">IF($P34="","",IFERROR(INDEX(Facturas!$M$6:$M$205,MATCH($P34,Facturas!$AA$6:$AA$205,0)),""))</f>
        <v/>
      </c>
      <c r="J34" s="64">
        <f t="array" ref="J34">IF($P34="","",IFERROR(INDEX(Facturas!$N$6:$N$205,MATCH($P34,Facturas!$AA$6:$AA$205,0)),""))</f>
        <v/>
      </c>
      <c r="K34" s="64">
        <f t="array" ref="K34">IF($P34="","",IFERROR(INDEX(Facturas!$B$6:$B$205,MATCH($P34,Facturas!$AA$6:$AA$205,0)),""))</f>
        <v/>
      </c>
      <c r="L34" s="42">
        <f t="array" ref="L34">IF($P34="","",IFERROR(INDEX(Facturas!$I$6:$I$205,MATCH($P34,Facturas!$AA$6:$AA$205,0)),""))</f>
        <v/>
      </c>
      <c r="M34" s="42">
        <f t="array" ref="M34">IF($P34="","",IFERROR(INDEX(Facturas!$J$6:$J$205,MATCH($P34,Facturas!$AA$6:$AA$205,0)),""))</f>
        <v/>
      </c>
      <c r="N34" s="57">
        <f t="array" ref="N34">IF($P34="","",IFERROR(INDEX(Facturas!$K$6:$K$205,MATCH($P34,Facturas!$AA$6:$AA$205,0)),""))</f>
        <v/>
      </c>
      <c r="O34" s="46">
        <f t="array" ref="O34">IF($P34="","",IFERROR(INDEX(Facturas!$L$6:$L$205,MATCH($P34,Facturas!$AA$6:$AA$205,0)),""))</f>
        <v/>
      </c>
      <c r="P34" s="153">
        <f>IFERROR(SMALL(Facturas!$AA$6:$AA$205,22),"")</f>
        <v/>
      </c>
      <c r="Q34" s="1" t="n"/>
      <c r="R34" s="1" t="n"/>
      <c r="S34" s="1" t="n"/>
      <c r="T34" s="1" t="n"/>
      <c r="U34" s="1" t="n"/>
      <c r="V34" s="1" t="n"/>
      <c r="W34" s="1" t="n"/>
      <c r="X34" s="1" t="n"/>
      <c r="Y34" s="1" t="n"/>
      <c r="Z34" s="1" t="n"/>
    </row>
    <row r="35" ht="15" customHeight="1" s="311">
      <c r="A35" s="151">
        <f>IF($P35="","",23)</f>
        <v/>
      </c>
      <c r="B35" s="62">
        <f t="array" ref="B35">IF($P35="","",IFERROR(INDEX(Facturas!$P$6:$P$205,MATCH($P35,Facturas!$AA$6:$AA$205,0)),""))</f>
        <v/>
      </c>
      <c r="C35" s="151">
        <f t="array" ref="C35">IF($P35="","",IFERROR(INDEX(Facturas!$A$6:$A$205,MATCH($P35,Facturas!$AA$6:$AA$205,0)),""))</f>
        <v/>
      </c>
      <c r="D35" s="46">
        <f t="array" ref="D35">IF($P35="","",IFERROR(INDEX(Facturas!$C$6:$C$205,MATCH($P35,Facturas!$AA$6:$AA$205,0)),""))</f>
        <v/>
      </c>
      <c r="E35" s="46">
        <f t="array" ref="E35">IF($P35="","",IFERROR(INDEX(Facturas!$D$6:$D$205,MATCH($P35,Facturas!$AA$6:$AA$205,0)),""))</f>
        <v/>
      </c>
      <c r="F35" s="46">
        <f t="array" ref="F35">IF($P35="","",IFERROR(INDEX(Facturas!$E$6:$E$205,MATCH($P35,Facturas!$AA$6:$AA$205,0)),""))</f>
        <v/>
      </c>
      <c r="G35" s="64">
        <f t="array" ref="G35">IF($P35="","",IFERROR(INDEX(Facturas!$F$6:$F$205,MATCH($P35,Facturas!$AA$6:$AA$205,0)),""))</f>
        <v/>
      </c>
      <c r="H35" s="152">
        <f t="array" ref="H35">IF($P35="","",IFERROR(INDEX(Facturas!$H$6:$H$205,MATCH($P35,Facturas!$AA$6:$AA$205,0)),""))</f>
        <v/>
      </c>
      <c r="I35" s="59">
        <f t="array" ref="I35">IF($P35="","",IFERROR(INDEX(Facturas!$M$6:$M$205,MATCH($P35,Facturas!$AA$6:$AA$205,0)),""))</f>
        <v/>
      </c>
      <c r="J35" s="64">
        <f t="array" ref="J35">IF($P35="","",IFERROR(INDEX(Facturas!$N$6:$N$205,MATCH($P35,Facturas!$AA$6:$AA$205,0)),""))</f>
        <v/>
      </c>
      <c r="K35" s="64">
        <f t="array" ref="K35">IF($P35="","",IFERROR(INDEX(Facturas!$B$6:$B$205,MATCH($P35,Facturas!$AA$6:$AA$205,0)),""))</f>
        <v/>
      </c>
      <c r="L35" s="42">
        <f t="array" ref="L35">IF($P35="","",IFERROR(INDEX(Facturas!$I$6:$I$205,MATCH($P35,Facturas!$AA$6:$AA$205,0)),""))</f>
        <v/>
      </c>
      <c r="M35" s="42">
        <f t="array" ref="M35">IF($P35="","",IFERROR(INDEX(Facturas!$J$6:$J$205,MATCH($P35,Facturas!$AA$6:$AA$205,0)),""))</f>
        <v/>
      </c>
      <c r="N35" s="57">
        <f t="array" ref="N35">IF($P35="","",IFERROR(INDEX(Facturas!$K$6:$K$205,MATCH($P35,Facturas!$AA$6:$AA$205,0)),""))</f>
        <v/>
      </c>
      <c r="O35" s="46">
        <f t="array" ref="O35">IF($P35="","",IFERROR(INDEX(Facturas!$L$6:$L$205,MATCH($P35,Facturas!$AA$6:$AA$205,0)),""))</f>
        <v/>
      </c>
      <c r="P35" s="153">
        <f>IFERROR(SMALL(Facturas!$AA$6:$AA$205,23),"")</f>
        <v/>
      </c>
      <c r="Q35" s="1" t="n"/>
      <c r="R35" s="1" t="n"/>
      <c r="S35" s="1" t="n"/>
      <c r="T35" s="1" t="n"/>
      <c r="U35" s="1" t="n"/>
      <c r="V35" s="1" t="n"/>
      <c r="W35" s="1" t="n"/>
      <c r="X35" s="1" t="n"/>
      <c r="Y35" s="1" t="n"/>
      <c r="Z35" s="1" t="n"/>
    </row>
    <row r="36" ht="15" customHeight="1" s="311">
      <c r="A36" s="151">
        <f>IF($P36="","",24)</f>
        <v/>
      </c>
      <c r="B36" s="62">
        <f t="array" ref="B36">IF($P36="","",IFERROR(INDEX(Facturas!$P$6:$P$205,MATCH($P36,Facturas!$AA$6:$AA$205,0)),""))</f>
        <v/>
      </c>
      <c r="C36" s="151">
        <f t="array" ref="C36">IF($P36="","",IFERROR(INDEX(Facturas!$A$6:$A$205,MATCH($P36,Facturas!$AA$6:$AA$205,0)),""))</f>
        <v/>
      </c>
      <c r="D36" s="46">
        <f t="array" ref="D36">IF($P36="","",IFERROR(INDEX(Facturas!$C$6:$C$205,MATCH($P36,Facturas!$AA$6:$AA$205,0)),""))</f>
        <v/>
      </c>
      <c r="E36" s="46">
        <f t="array" ref="E36">IF($P36="","",IFERROR(INDEX(Facturas!$D$6:$D$205,MATCH($P36,Facturas!$AA$6:$AA$205,0)),""))</f>
        <v/>
      </c>
      <c r="F36" s="46">
        <f t="array" ref="F36">IF($P36="","",IFERROR(INDEX(Facturas!$E$6:$E$205,MATCH($P36,Facturas!$AA$6:$AA$205,0)),""))</f>
        <v/>
      </c>
      <c r="G36" s="64">
        <f t="array" ref="G36">IF($P36="","",IFERROR(INDEX(Facturas!$F$6:$F$205,MATCH($P36,Facturas!$AA$6:$AA$205,0)),""))</f>
        <v/>
      </c>
      <c r="H36" s="152">
        <f t="array" ref="H36">IF($P36="","",IFERROR(INDEX(Facturas!$H$6:$H$205,MATCH($P36,Facturas!$AA$6:$AA$205,0)),""))</f>
        <v/>
      </c>
      <c r="I36" s="59">
        <f t="array" ref="I36">IF($P36="","",IFERROR(INDEX(Facturas!$M$6:$M$205,MATCH($P36,Facturas!$AA$6:$AA$205,0)),""))</f>
        <v/>
      </c>
      <c r="J36" s="64">
        <f t="array" ref="J36">IF($P36="","",IFERROR(INDEX(Facturas!$N$6:$N$205,MATCH($P36,Facturas!$AA$6:$AA$205,0)),""))</f>
        <v/>
      </c>
      <c r="K36" s="64">
        <f t="array" ref="K36">IF($P36="","",IFERROR(INDEX(Facturas!$B$6:$B$205,MATCH($P36,Facturas!$AA$6:$AA$205,0)),""))</f>
        <v/>
      </c>
      <c r="L36" s="42">
        <f t="array" ref="L36">IF($P36="","",IFERROR(INDEX(Facturas!$I$6:$I$205,MATCH($P36,Facturas!$AA$6:$AA$205,0)),""))</f>
        <v/>
      </c>
      <c r="M36" s="42">
        <f t="array" ref="M36">IF($P36="","",IFERROR(INDEX(Facturas!$J$6:$J$205,MATCH($P36,Facturas!$AA$6:$AA$205,0)),""))</f>
        <v/>
      </c>
      <c r="N36" s="57">
        <f t="array" ref="N36">IF($P36="","",IFERROR(INDEX(Facturas!$K$6:$K$205,MATCH($P36,Facturas!$AA$6:$AA$205,0)),""))</f>
        <v/>
      </c>
      <c r="O36" s="46">
        <f t="array" ref="O36">IF($P36="","",IFERROR(INDEX(Facturas!$L$6:$L$205,MATCH($P36,Facturas!$AA$6:$AA$205,0)),""))</f>
        <v/>
      </c>
      <c r="P36" s="153">
        <f>IFERROR(SMALL(Facturas!$AA$6:$AA$205,24),"")</f>
        <v/>
      </c>
      <c r="Q36" s="1" t="n"/>
      <c r="R36" s="1" t="n"/>
      <c r="S36" s="1" t="n"/>
      <c r="T36" s="1" t="n"/>
      <c r="U36" s="1" t="n"/>
      <c r="V36" s="1" t="n"/>
      <c r="W36" s="1" t="n"/>
      <c r="X36" s="1" t="n"/>
      <c r="Y36" s="1" t="n"/>
      <c r="Z36" s="1" t="n"/>
    </row>
    <row r="37" ht="15" customHeight="1" s="311">
      <c r="A37" s="151">
        <f>IF($P37="","",25)</f>
        <v/>
      </c>
      <c r="B37" s="62">
        <f t="array" ref="B37">IF($P37="","",IFERROR(INDEX(Facturas!$P$6:$P$205,MATCH($P37,Facturas!$AA$6:$AA$205,0)),""))</f>
        <v/>
      </c>
      <c r="C37" s="151">
        <f t="array" ref="C37">IF($P37="","",IFERROR(INDEX(Facturas!$A$6:$A$205,MATCH($P37,Facturas!$AA$6:$AA$205,0)),""))</f>
        <v/>
      </c>
      <c r="D37" s="46">
        <f t="array" ref="D37">IF($P37="","",IFERROR(INDEX(Facturas!$C$6:$C$205,MATCH($P37,Facturas!$AA$6:$AA$205,0)),""))</f>
        <v/>
      </c>
      <c r="E37" s="46">
        <f t="array" ref="E37">IF($P37="","",IFERROR(INDEX(Facturas!$D$6:$D$205,MATCH($P37,Facturas!$AA$6:$AA$205,0)),""))</f>
        <v/>
      </c>
      <c r="F37" s="46">
        <f t="array" ref="F37">IF($P37="","",IFERROR(INDEX(Facturas!$E$6:$E$205,MATCH($P37,Facturas!$AA$6:$AA$205,0)),""))</f>
        <v/>
      </c>
      <c r="G37" s="64">
        <f t="array" ref="G37">IF($P37="","",IFERROR(INDEX(Facturas!$F$6:$F$205,MATCH($P37,Facturas!$AA$6:$AA$205,0)),""))</f>
        <v/>
      </c>
      <c r="H37" s="152">
        <f t="array" ref="H37">IF($P37="","",IFERROR(INDEX(Facturas!$H$6:$H$205,MATCH($P37,Facturas!$AA$6:$AA$205,0)),""))</f>
        <v/>
      </c>
      <c r="I37" s="59">
        <f t="array" ref="I37">IF($P37="","",IFERROR(INDEX(Facturas!$M$6:$M$205,MATCH($P37,Facturas!$AA$6:$AA$205,0)),""))</f>
        <v/>
      </c>
      <c r="J37" s="64">
        <f t="array" ref="J37">IF($P37="","",IFERROR(INDEX(Facturas!$N$6:$N$205,MATCH($P37,Facturas!$AA$6:$AA$205,0)),""))</f>
        <v/>
      </c>
      <c r="K37" s="64">
        <f t="array" ref="K37">IF($P37="","",IFERROR(INDEX(Facturas!$B$6:$B$205,MATCH($P37,Facturas!$AA$6:$AA$205,0)),""))</f>
        <v/>
      </c>
      <c r="L37" s="42">
        <f t="array" ref="L37">IF($P37="","",IFERROR(INDEX(Facturas!$I$6:$I$205,MATCH($P37,Facturas!$AA$6:$AA$205,0)),""))</f>
        <v/>
      </c>
      <c r="M37" s="42">
        <f t="array" ref="M37">IF($P37="","",IFERROR(INDEX(Facturas!$J$6:$J$205,MATCH($P37,Facturas!$AA$6:$AA$205,0)),""))</f>
        <v/>
      </c>
      <c r="N37" s="57">
        <f t="array" ref="N37">IF($P37="","",IFERROR(INDEX(Facturas!$K$6:$K$205,MATCH($P37,Facturas!$AA$6:$AA$205,0)),""))</f>
        <v/>
      </c>
      <c r="O37" s="46">
        <f t="array" ref="O37">IF($P37="","",IFERROR(INDEX(Facturas!$L$6:$L$205,MATCH($P37,Facturas!$AA$6:$AA$205,0)),""))</f>
        <v/>
      </c>
      <c r="P37" s="153">
        <f>IFERROR(SMALL(Facturas!$AA$6:$AA$205,25),"")</f>
        <v/>
      </c>
      <c r="Q37" s="1" t="n"/>
      <c r="R37" s="1" t="n"/>
      <c r="S37" s="1" t="n"/>
      <c r="T37" s="1" t="n"/>
      <c r="U37" s="1" t="n"/>
      <c r="V37" s="1" t="n"/>
      <c r="W37" s="1" t="n"/>
      <c r="X37" s="1" t="n"/>
      <c r="Y37" s="1" t="n"/>
      <c r="Z37" s="1" t="n"/>
    </row>
    <row r="38" ht="15" customHeight="1" s="311">
      <c r="A38" s="151">
        <f>IF($P38="","",26)</f>
        <v/>
      </c>
      <c r="B38" s="62">
        <f t="array" ref="B38">IF($P38="","",IFERROR(INDEX(Facturas!$P$6:$P$205,MATCH($P38,Facturas!$AA$6:$AA$205,0)),""))</f>
        <v/>
      </c>
      <c r="C38" s="151">
        <f t="array" ref="C38">IF($P38="","",IFERROR(INDEX(Facturas!$A$6:$A$205,MATCH($P38,Facturas!$AA$6:$AA$205,0)),""))</f>
        <v/>
      </c>
      <c r="D38" s="46">
        <f t="array" ref="D38">IF($P38="","",IFERROR(INDEX(Facturas!$C$6:$C$205,MATCH($P38,Facturas!$AA$6:$AA$205,0)),""))</f>
        <v/>
      </c>
      <c r="E38" s="46">
        <f t="array" ref="E38">IF($P38="","",IFERROR(INDEX(Facturas!$D$6:$D$205,MATCH($P38,Facturas!$AA$6:$AA$205,0)),""))</f>
        <v/>
      </c>
      <c r="F38" s="46">
        <f t="array" ref="F38">IF($P38="","",IFERROR(INDEX(Facturas!$E$6:$E$205,MATCH($P38,Facturas!$AA$6:$AA$205,0)),""))</f>
        <v/>
      </c>
      <c r="G38" s="64">
        <f t="array" ref="G38">IF($P38="","",IFERROR(INDEX(Facturas!$F$6:$F$205,MATCH($P38,Facturas!$AA$6:$AA$205,0)),""))</f>
        <v/>
      </c>
      <c r="H38" s="152">
        <f t="array" ref="H38">IF($P38="","",IFERROR(INDEX(Facturas!$H$6:$H$205,MATCH($P38,Facturas!$AA$6:$AA$205,0)),""))</f>
        <v/>
      </c>
      <c r="I38" s="59">
        <f t="array" ref="I38">IF($P38="","",IFERROR(INDEX(Facturas!$M$6:$M$205,MATCH($P38,Facturas!$AA$6:$AA$205,0)),""))</f>
        <v/>
      </c>
      <c r="J38" s="64">
        <f t="array" ref="J38">IF($P38="","",IFERROR(INDEX(Facturas!$N$6:$N$205,MATCH($P38,Facturas!$AA$6:$AA$205,0)),""))</f>
        <v/>
      </c>
      <c r="K38" s="64">
        <f t="array" ref="K38">IF($P38="","",IFERROR(INDEX(Facturas!$B$6:$B$205,MATCH($P38,Facturas!$AA$6:$AA$205,0)),""))</f>
        <v/>
      </c>
      <c r="L38" s="42">
        <f t="array" ref="L38">IF($P38="","",IFERROR(INDEX(Facturas!$I$6:$I$205,MATCH($P38,Facturas!$AA$6:$AA$205,0)),""))</f>
        <v/>
      </c>
      <c r="M38" s="42">
        <f t="array" ref="M38">IF($P38="","",IFERROR(INDEX(Facturas!$J$6:$J$205,MATCH($P38,Facturas!$AA$6:$AA$205,0)),""))</f>
        <v/>
      </c>
      <c r="N38" s="57">
        <f t="array" ref="N38">IF($P38="","",IFERROR(INDEX(Facturas!$K$6:$K$205,MATCH($P38,Facturas!$AA$6:$AA$205,0)),""))</f>
        <v/>
      </c>
      <c r="O38" s="46">
        <f t="array" ref="O38">IF($P38="","",IFERROR(INDEX(Facturas!$L$6:$L$205,MATCH($P38,Facturas!$AA$6:$AA$205,0)),""))</f>
        <v/>
      </c>
      <c r="P38" s="153">
        <f>IFERROR(SMALL(Facturas!$AA$6:$AA$205,26),"")</f>
        <v/>
      </c>
      <c r="Q38" s="1" t="n"/>
      <c r="R38" s="1" t="n"/>
      <c r="S38" s="1" t="n"/>
      <c r="T38" s="1" t="n"/>
      <c r="U38" s="1" t="n"/>
      <c r="V38" s="1" t="n"/>
      <c r="W38" s="1" t="n"/>
      <c r="X38" s="1" t="n"/>
      <c r="Y38" s="1" t="n"/>
      <c r="Z38" s="1" t="n"/>
    </row>
    <row r="39" ht="15" customHeight="1" s="311">
      <c r="A39" s="151">
        <f>IF($P39="","",27)</f>
        <v/>
      </c>
      <c r="B39" s="62">
        <f t="array" ref="B39">IF($P39="","",IFERROR(INDEX(Facturas!$P$6:$P$205,MATCH($P39,Facturas!$AA$6:$AA$205,0)),""))</f>
        <v/>
      </c>
      <c r="C39" s="151">
        <f t="array" ref="C39">IF($P39="","",IFERROR(INDEX(Facturas!$A$6:$A$205,MATCH($P39,Facturas!$AA$6:$AA$205,0)),""))</f>
        <v/>
      </c>
      <c r="D39" s="46">
        <f t="array" ref="D39">IF($P39="","",IFERROR(INDEX(Facturas!$C$6:$C$205,MATCH($P39,Facturas!$AA$6:$AA$205,0)),""))</f>
        <v/>
      </c>
      <c r="E39" s="46">
        <f t="array" ref="E39">IF($P39="","",IFERROR(INDEX(Facturas!$D$6:$D$205,MATCH($P39,Facturas!$AA$6:$AA$205,0)),""))</f>
        <v/>
      </c>
      <c r="F39" s="46">
        <f t="array" ref="F39">IF($P39="","",IFERROR(INDEX(Facturas!$E$6:$E$205,MATCH($P39,Facturas!$AA$6:$AA$205,0)),""))</f>
        <v/>
      </c>
      <c r="G39" s="64">
        <f t="array" ref="G39">IF($P39="","",IFERROR(INDEX(Facturas!$F$6:$F$205,MATCH($P39,Facturas!$AA$6:$AA$205,0)),""))</f>
        <v/>
      </c>
      <c r="H39" s="152">
        <f t="array" ref="H39">IF($P39="","",IFERROR(INDEX(Facturas!$H$6:$H$205,MATCH($P39,Facturas!$AA$6:$AA$205,0)),""))</f>
        <v/>
      </c>
      <c r="I39" s="59">
        <f t="array" ref="I39">IF($P39="","",IFERROR(INDEX(Facturas!$M$6:$M$205,MATCH($P39,Facturas!$AA$6:$AA$205,0)),""))</f>
        <v/>
      </c>
      <c r="J39" s="64">
        <f t="array" ref="J39">IF($P39="","",IFERROR(INDEX(Facturas!$N$6:$N$205,MATCH($P39,Facturas!$AA$6:$AA$205,0)),""))</f>
        <v/>
      </c>
      <c r="K39" s="64">
        <f t="array" ref="K39">IF($P39="","",IFERROR(INDEX(Facturas!$B$6:$B$205,MATCH($P39,Facturas!$AA$6:$AA$205,0)),""))</f>
        <v/>
      </c>
      <c r="L39" s="42">
        <f t="array" ref="L39">IF($P39="","",IFERROR(INDEX(Facturas!$I$6:$I$205,MATCH($P39,Facturas!$AA$6:$AA$205,0)),""))</f>
        <v/>
      </c>
      <c r="M39" s="42">
        <f t="array" ref="M39">IF($P39="","",IFERROR(INDEX(Facturas!$J$6:$J$205,MATCH($P39,Facturas!$AA$6:$AA$205,0)),""))</f>
        <v/>
      </c>
      <c r="N39" s="57">
        <f t="array" ref="N39">IF($P39="","",IFERROR(INDEX(Facturas!$K$6:$K$205,MATCH($P39,Facturas!$AA$6:$AA$205,0)),""))</f>
        <v/>
      </c>
      <c r="O39" s="46">
        <f t="array" ref="O39">IF($P39="","",IFERROR(INDEX(Facturas!$L$6:$L$205,MATCH($P39,Facturas!$AA$6:$AA$205,0)),""))</f>
        <v/>
      </c>
      <c r="P39" s="153">
        <f>IFERROR(SMALL(Facturas!$AA$6:$AA$205,27),"")</f>
        <v/>
      </c>
      <c r="Q39" s="1" t="n"/>
      <c r="R39" s="1" t="n"/>
      <c r="S39" s="1" t="n"/>
      <c r="T39" s="1" t="n"/>
      <c r="U39" s="1" t="n"/>
      <c r="V39" s="1" t="n"/>
      <c r="W39" s="1" t="n"/>
      <c r="X39" s="1" t="n"/>
      <c r="Y39" s="1" t="n"/>
      <c r="Z39" s="1" t="n"/>
    </row>
    <row r="40" ht="15" customHeight="1" s="311">
      <c r="A40" s="151">
        <f>IF($P40="","",28)</f>
        <v/>
      </c>
      <c r="B40" s="62">
        <f t="array" ref="B40">IF($P40="","",IFERROR(INDEX(Facturas!$P$6:$P$205,MATCH($P40,Facturas!$AA$6:$AA$205,0)),""))</f>
        <v/>
      </c>
      <c r="C40" s="151">
        <f t="array" ref="C40">IF($P40="","",IFERROR(INDEX(Facturas!$A$6:$A$205,MATCH($P40,Facturas!$AA$6:$AA$205,0)),""))</f>
        <v/>
      </c>
      <c r="D40" s="46">
        <f t="array" ref="D40">IF($P40="","",IFERROR(INDEX(Facturas!$C$6:$C$205,MATCH($P40,Facturas!$AA$6:$AA$205,0)),""))</f>
        <v/>
      </c>
      <c r="E40" s="46">
        <f t="array" ref="E40">IF($P40="","",IFERROR(INDEX(Facturas!$D$6:$D$205,MATCH($P40,Facturas!$AA$6:$AA$205,0)),""))</f>
        <v/>
      </c>
      <c r="F40" s="46">
        <f t="array" ref="F40">IF($P40="","",IFERROR(INDEX(Facturas!$E$6:$E$205,MATCH($P40,Facturas!$AA$6:$AA$205,0)),""))</f>
        <v/>
      </c>
      <c r="G40" s="64">
        <f t="array" ref="G40">IF($P40="","",IFERROR(INDEX(Facturas!$F$6:$F$205,MATCH($P40,Facturas!$AA$6:$AA$205,0)),""))</f>
        <v/>
      </c>
      <c r="H40" s="152">
        <f t="array" ref="H40">IF($P40="","",IFERROR(INDEX(Facturas!$H$6:$H$205,MATCH($P40,Facturas!$AA$6:$AA$205,0)),""))</f>
        <v/>
      </c>
      <c r="I40" s="59">
        <f t="array" ref="I40">IF($P40="","",IFERROR(INDEX(Facturas!$M$6:$M$205,MATCH($P40,Facturas!$AA$6:$AA$205,0)),""))</f>
        <v/>
      </c>
      <c r="J40" s="64">
        <f t="array" ref="J40">IF($P40="","",IFERROR(INDEX(Facturas!$N$6:$N$205,MATCH($P40,Facturas!$AA$6:$AA$205,0)),""))</f>
        <v/>
      </c>
      <c r="K40" s="64">
        <f t="array" ref="K40">IF($P40="","",IFERROR(INDEX(Facturas!$B$6:$B$205,MATCH($P40,Facturas!$AA$6:$AA$205,0)),""))</f>
        <v/>
      </c>
      <c r="L40" s="42">
        <f t="array" ref="L40">IF($P40="","",IFERROR(INDEX(Facturas!$I$6:$I$205,MATCH($P40,Facturas!$AA$6:$AA$205,0)),""))</f>
        <v/>
      </c>
      <c r="M40" s="42">
        <f t="array" ref="M40">IF($P40="","",IFERROR(INDEX(Facturas!$J$6:$J$205,MATCH($P40,Facturas!$AA$6:$AA$205,0)),""))</f>
        <v/>
      </c>
      <c r="N40" s="57">
        <f t="array" ref="N40">IF($P40="","",IFERROR(INDEX(Facturas!$K$6:$K$205,MATCH($P40,Facturas!$AA$6:$AA$205,0)),""))</f>
        <v/>
      </c>
      <c r="O40" s="46">
        <f t="array" ref="O40">IF($P40="","",IFERROR(INDEX(Facturas!$L$6:$L$205,MATCH($P40,Facturas!$AA$6:$AA$205,0)),""))</f>
        <v/>
      </c>
      <c r="P40" s="153">
        <f>IFERROR(SMALL(Facturas!$AA$6:$AA$205,28),"")</f>
        <v/>
      </c>
      <c r="Q40" s="1" t="n"/>
      <c r="R40" s="1" t="n"/>
      <c r="S40" s="1" t="n"/>
      <c r="T40" s="1" t="n"/>
      <c r="U40" s="1" t="n"/>
      <c r="V40" s="1" t="n"/>
      <c r="W40" s="1" t="n"/>
      <c r="X40" s="1" t="n"/>
      <c r="Y40" s="1" t="n"/>
      <c r="Z40" s="1" t="n"/>
    </row>
    <row r="41" ht="15" customHeight="1" s="311">
      <c r="A41" s="151">
        <f>IF($P41="","",29)</f>
        <v/>
      </c>
      <c r="B41" s="62">
        <f t="array" ref="B41">IF($P41="","",IFERROR(INDEX(Facturas!$P$6:$P$205,MATCH($P41,Facturas!$AA$6:$AA$205,0)),""))</f>
        <v/>
      </c>
      <c r="C41" s="151">
        <f t="array" ref="C41">IF($P41="","",IFERROR(INDEX(Facturas!$A$6:$A$205,MATCH($P41,Facturas!$AA$6:$AA$205,0)),""))</f>
        <v/>
      </c>
      <c r="D41" s="46">
        <f t="array" ref="D41">IF($P41="","",IFERROR(INDEX(Facturas!$C$6:$C$205,MATCH($P41,Facturas!$AA$6:$AA$205,0)),""))</f>
        <v/>
      </c>
      <c r="E41" s="46">
        <f t="array" ref="E41">IF($P41="","",IFERROR(INDEX(Facturas!$D$6:$D$205,MATCH($P41,Facturas!$AA$6:$AA$205,0)),""))</f>
        <v/>
      </c>
      <c r="F41" s="46">
        <f t="array" ref="F41">IF($P41="","",IFERROR(INDEX(Facturas!$E$6:$E$205,MATCH($P41,Facturas!$AA$6:$AA$205,0)),""))</f>
        <v/>
      </c>
      <c r="G41" s="64">
        <f t="array" ref="G41">IF($P41="","",IFERROR(INDEX(Facturas!$F$6:$F$205,MATCH($P41,Facturas!$AA$6:$AA$205,0)),""))</f>
        <v/>
      </c>
      <c r="H41" s="152">
        <f t="array" ref="H41">IF($P41="","",IFERROR(INDEX(Facturas!$H$6:$H$205,MATCH($P41,Facturas!$AA$6:$AA$205,0)),""))</f>
        <v/>
      </c>
      <c r="I41" s="59">
        <f t="array" ref="I41">IF($P41="","",IFERROR(INDEX(Facturas!$M$6:$M$205,MATCH($P41,Facturas!$AA$6:$AA$205,0)),""))</f>
        <v/>
      </c>
      <c r="J41" s="64">
        <f t="array" ref="J41">IF($P41="","",IFERROR(INDEX(Facturas!$N$6:$N$205,MATCH($P41,Facturas!$AA$6:$AA$205,0)),""))</f>
        <v/>
      </c>
      <c r="K41" s="64">
        <f t="array" ref="K41">IF($P41="","",IFERROR(INDEX(Facturas!$B$6:$B$205,MATCH($P41,Facturas!$AA$6:$AA$205,0)),""))</f>
        <v/>
      </c>
      <c r="L41" s="42">
        <f t="array" ref="L41">IF($P41="","",IFERROR(INDEX(Facturas!$I$6:$I$205,MATCH($P41,Facturas!$AA$6:$AA$205,0)),""))</f>
        <v/>
      </c>
      <c r="M41" s="42">
        <f t="array" ref="M41">IF($P41="","",IFERROR(INDEX(Facturas!$J$6:$J$205,MATCH($P41,Facturas!$AA$6:$AA$205,0)),""))</f>
        <v/>
      </c>
      <c r="N41" s="57">
        <f t="array" ref="N41">IF($P41="","",IFERROR(INDEX(Facturas!$K$6:$K$205,MATCH($P41,Facturas!$AA$6:$AA$205,0)),""))</f>
        <v/>
      </c>
      <c r="O41" s="46">
        <f t="array" ref="O41">IF($P41="","",IFERROR(INDEX(Facturas!$L$6:$L$205,MATCH($P41,Facturas!$AA$6:$AA$205,0)),""))</f>
        <v/>
      </c>
      <c r="P41" s="153">
        <f>IFERROR(SMALL(Facturas!$AA$6:$AA$205,29),"")</f>
        <v/>
      </c>
      <c r="Q41" s="1" t="n"/>
      <c r="R41" s="1" t="n"/>
      <c r="S41" s="1" t="n"/>
      <c r="T41" s="1" t="n"/>
      <c r="U41" s="1" t="n"/>
      <c r="V41" s="1" t="n"/>
      <c r="W41" s="1" t="n"/>
      <c r="X41" s="1" t="n"/>
      <c r="Y41" s="1" t="n"/>
      <c r="Z41" s="1" t="n"/>
    </row>
    <row r="42" ht="15" customHeight="1" s="311">
      <c r="A42" s="151">
        <f>IF($P42="","",30)</f>
        <v/>
      </c>
      <c r="B42" s="62">
        <f t="array" ref="B42">IF($P42="","",IFERROR(INDEX(Facturas!$P$6:$P$205,MATCH($P42,Facturas!$AA$6:$AA$205,0)),""))</f>
        <v/>
      </c>
      <c r="C42" s="151">
        <f t="array" ref="C42">IF($P42="","",IFERROR(INDEX(Facturas!$A$6:$A$205,MATCH($P42,Facturas!$AA$6:$AA$205,0)),""))</f>
        <v/>
      </c>
      <c r="D42" s="46">
        <f t="array" ref="D42">IF($P42="","",IFERROR(INDEX(Facturas!$C$6:$C$205,MATCH($P42,Facturas!$AA$6:$AA$205,0)),""))</f>
        <v/>
      </c>
      <c r="E42" s="46">
        <f t="array" ref="E42">IF($P42="","",IFERROR(INDEX(Facturas!$D$6:$D$205,MATCH($P42,Facturas!$AA$6:$AA$205,0)),""))</f>
        <v/>
      </c>
      <c r="F42" s="46">
        <f t="array" ref="F42">IF($P42="","",IFERROR(INDEX(Facturas!$E$6:$E$205,MATCH($P42,Facturas!$AA$6:$AA$205,0)),""))</f>
        <v/>
      </c>
      <c r="G42" s="64">
        <f t="array" ref="G42">IF($P42="","",IFERROR(INDEX(Facturas!$F$6:$F$205,MATCH($P42,Facturas!$AA$6:$AA$205,0)),""))</f>
        <v/>
      </c>
      <c r="H42" s="152">
        <f t="array" ref="H42">IF($P42="","",IFERROR(INDEX(Facturas!$H$6:$H$205,MATCH($P42,Facturas!$AA$6:$AA$205,0)),""))</f>
        <v/>
      </c>
      <c r="I42" s="59">
        <f t="array" ref="I42">IF($P42="","",IFERROR(INDEX(Facturas!$M$6:$M$205,MATCH($P42,Facturas!$AA$6:$AA$205,0)),""))</f>
        <v/>
      </c>
      <c r="J42" s="64">
        <f t="array" ref="J42">IF($P42="","",IFERROR(INDEX(Facturas!$N$6:$N$205,MATCH($P42,Facturas!$AA$6:$AA$205,0)),""))</f>
        <v/>
      </c>
      <c r="K42" s="64">
        <f t="array" ref="K42">IF($P42="","",IFERROR(INDEX(Facturas!$B$6:$B$205,MATCH($P42,Facturas!$AA$6:$AA$205,0)),""))</f>
        <v/>
      </c>
      <c r="L42" s="42">
        <f t="array" ref="L42">IF($P42="","",IFERROR(INDEX(Facturas!$I$6:$I$205,MATCH($P42,Facturas!$AA$6:$AA$205,0)),""))</f>
        <v/>
      </c>
      <c r="M42" s="42">
        <f t="array" ref="M42">IF($P42="","",IFERROR(INDEX(Facturas!$J$6:$J$205,MATCH($P42,Facturas!$AA$6:$AA$205,0)),""))</f>
        <v/>
      </c>
      <c r="N42" s="57">
        <f t="array" ref="N42">IF($P42="","",IFERROR(INDEX(Facturas!$K$6:$K$205,MATCH($P42,Facturas!$AA$6:$AA$205,0)),""))</f>
        <v/>
      </c>
      <c r="O42" s="46">
        <f t="array" ref="O42">IF($P42="","",IFERROR(INDEX(Facturas!$L$6:$L$205,MATCH($P42,Facturas!$AA$6:$AA$205,0)),""))</f>
        <v/>
      </c>
      <c r="P42" s="153">
        <f>IFERROR(SMALL(Facturas!$AA$6:$AA$205,30),"")</f>
        <v/>
      </c>
      <c r="Q42" s="1" t="n"/>
      <c r="R42" s="1" t="n"/>
      <c r="S42" s="1" t="n"/>
      <c r="T42" s="1" t="n"/>
      <c r="U42" s="1" t="n"/>
      <c r="V42" s="1" t="n"/>
      <c r="W42" s="1" t="n"/>
      <c r="X42" s="1" t="n"/>
      <c r="Y42" s="1" t="n"/>
      <c r="Z42" s="1" t="n"/>
    </row>
    <row r="43" ht="15" customHeight="1" s="311">
      <c r="A43" s="39" t="n"/>
      <c r="B43" s="39" t="n"/>
      <c r="C43" s="39" t="n"/>
      <c r="D43" s="38" t="inlineStr">
        <is>
          <t>TOTAL SELECCIONADO</t>
        </is>
      </c>
      <c r="E43" s="39" t="n"/>
      <c r="F43" s="39" t="n"/>
      <c r="G43" s="39" t="n"/>
      <c r="H43" s="39" t="n"/>
      <c r="I43" s="39" t="n"/>
      <c r="J43" s="39" t="n"/>
      <c r="K43" s="39" t="n"/>
      <c r="L43" s="86">
        <f>SUM(L$13:L$42)</f>
        <v/>
      </c>
      <c r="M43" s="86">
        <f>SUM(M$13:M$42)</f>
        <v/>
      </c>
      <c r="N43" s="86">
        <f>SUM(N$13:N$42)</f>
        <v/>
      </c>
      <c r="O43" s="39" t="n"/>
      <c r="P43" s="39" t="n"/>
      <c r="Q43" s="1" t="n"/>
      <c r="R43" s="1" t="n"/>
      <c r="S43" s="1" t="n"/>
      <c r="T43" s="1" t="n"/>
      <c r="U43" s="1" t="n"/>
      <c r="V43" s="1" t="n"/>
      <c r="W43" s="1" t="n"/>
      <c r="X43" s="1" t="n"/>
      <c r="Y43" s="1" t="n"/>
      <c r="Z43" s="1" t="n"/>
    </row>
    <row r="44" ht="15.75" customHeight="1" s="311">
      <c r="A44" s="145" t="n"/>
      <c r="B44" s="145" t="n"/>
      <c r="C44" s="145" t="n"/>
      <c r="D44" s="145" t="n"/>
      <c r="E44" s="145" t="n"/>
      <c r="F44" s="145" t="n"/>
      <c r="G44" s="145" t="n"/>
      <c r="H44" s="145" t="n"/>
      <c r="I44" s="145" t="n"/>
      <c r="J44" s="145" t="n"/>
      <c r="K44" s="145" t="n"/>
      <c r="L44" s="145" t="n"/>
      <c r="M44" s="145" t="n"/>
      <c r="N44" s="145" t="n"/>
      <c r="O44" s="145" t="n"/>
      <c r="P44" s="145" t="n"/>
      <c r="Q44" s="1" t="n"/>
      <c r="R44" s="1" t="n"/>
      <c r="S44" s="1" t="n"/>
      <c r="T44" s="1" t="n"/>
      <c r="U44" s="1" t="n"/>
      <c r="V44" s="1" t="n"/>
      <c r="W44" s="1" t="n"/>
      <c r="X44" s="1" t="n"/>
      <c r="Y44" s="1" t="n"/>
      <c r="Z44" s="1" t="n"/>
    </row>
    <row r="45" ht="15" customHeight="1" s="311">
      <c r="A45" s="145" t="n"/>
      <c r="B45" s="145" t="n"/>
      <c r="C45" s="145" t="n"/>
      <c r="D45" s="23" t="inlineStr">
        <is>
          <t>CONTROL: el total debe coincidir con el importe a pagar del resumen</t>
        </is>
      </c>
      <c r="E45" s="145" t="n"/>
      <c r="F45" s="145" t="n"/>
      <c r="G45" s="145" t="n"/>
      <c r="H45" s="145" t="n"/>
      <c r="I45" s="145" t="n"/>
      <c r="J45" s="145" t="n"/>
      <c r="K45" s="145" t="n"/>
      <c r="L45" s="145" t="n"/>
      <c r="M45" s="145" t="n"/>
      <c r="N45" s="57">
        <f>ROUND($N$43-(SUMIFS(Facturas!$K$6:$K$205,Facturas!$P$6:$P$205,"&lt;&gt;")),2)</f>
        <v/>
      </c>
      <c r="O45" s="145" t="n"/>
      <c r="P45" s="145" t="n"/>
      <c r="Q45" s="1" t="n"/>
      <c r="R45" s="1" t="n"/>
      <c r="S45" s="1" t="n"/>
      <c r="T45" s="1" t="n"/>
      <c r="U45" s="1" t="n"/>
      <c r="V45" s="1" t="n"/>
      <c r="W45" s="1" t="n"/>
      <c r="X45" s="1" t="n"/>
      <c r="Y45" s="1" t="n"/>
      <c r="Z45" s="1" t="n"/>
    </row>
    <row r="46" ht="18" customHeight="1" s="311">
      <c r="A46" s="145" t="n"/>
      <c r="B46" s="145" t="n"/>
      <c r="C46" s="145" t="n"/>
      <c r="D46" s="20" t="inlineStr">
        <is>
          <t>Si sale distinto de cero es que has marcado más de 30 facturas y no caben en la lista. Amplía el bloque o quita prioridad a alguna.</t>
        </is>
      </c>
      <c r="I46" s="145" t="n"/>
      <c r="J46" s="145" t="n"/>
      <c r="K46" s="145" t="n"/>
      <c r="L46" s="145" t="n"/>
      <c r="M46" s="145" t="n"/>
      <c r="N46" s="145" t="n"/>
      <c r="O46" s="145" t="n"/>
      <c r="P46" s="145" t="n"/>
      <c r="Q46" s="1" t="n"/>
      <c r="R46" s="1" t="n"/>
      <c r="S46" s="1" t="n"/>
      <c r="T46" s="1" t="n"/>
      <c r="U46" s="1" t="n"/>
      <c r="V46" s="1" t="n"/>
      <c r="W46" s="1" t="n"/>
      <c r="X46" s="1" t="n"/>
      <c r="Y46" s="1" t="n"/>
      <c r="Z46" s="1" t="n"/>
    </row>
    <row r="47" ht="15.75" customHeight="1" s="311">
      <c r="A47" s="145" t="n"/>
      <c r="B47" s="145" t="n"/>
      <c r="C47" s="145" t="n"/>
      <c r="D47" s="145" t="n"/>
      <c r="E47" s="145" t="n"/>
      <c r="F47" s="145" t="n"/>
      <c r="G47" s="145" t="n"/>
      <c r="H47" s="145" t="n"/>
      <c r="I47" s="145" t="n"/>
      <c r="J47" s="145" t="n"/>
      <c r="K47" s="145" t="n"/>
      <c r="L47" s="145" t="n"/>
      <c r="M47" s="145" t="n"/>
      <c r="N47" s="145" t="n"/>
      <c r="O47" s="145" t="n"/>
      <c r="P47" s="145" t="n"/>
      <c r="Q47" s="1" t="n"/>
      <c r="R47" s="1" t="n"/>
      <c r="S47" s="1" t="n"/>
      <c r="T47" s="1" t="n"/>
      <c r="U47" s="1" t="n"/>
      <c r="V47" s="1" t="n"/>
      <c r="W47" s="1" t="n"/>
      <c r="X47" s="1" t="n"/>
      <c r="Y47" s="1" t="n"/>
      <c r="Z47" s="1" t="n"/>
    </row>
    <row r="48" ht="21.75" customHeight="1" s="311">
      <c r="A48" s="32" t="inlineStr">
        <is>
          <t>REPARTO POR NIVEL DE PRIORIDAD</t>
        </is>
      </c>
      <c r="B48" s="30" t="n"/>
      <c r="C48" s="30" t="n"/>
      <c r="D48" s="30" t="n"/>
      <c r="E48" s="30" t="n"/>
      <c r="F48" s="30" t="n"/>
      <c r="G48" s="30" t="n"/>
      <c r="H48" s="30" t="n"/>
      <c r="I48" s="30" t="n"/>
      <c r="J48" s="30" t="n"/>
      <c r="K48" s="30" t="n"/>
      <c r="L48" s="30" t="n"/>
      <c r="M48" s="30" t="n"/>
      <c r="N48" s="30" t="n"/>
      <c r="O48" s="30" t="n"/>
      <c r="P48" s="30" t="n"/>
      <c r="Q48" s="1" t="n"/>
      <c r="R48" s="1" t="n"/>
      <c r="S48" s="1" t="n"/>
      <c r="T48" s="1" t="n"/>
      <c r="U48" s="1" t="n"/>
      <c r="V48" s="1" t="n"/>
      <c r="W48" s="1" t="n"/>
      <c r="X48" s="1" t="n"/>
      <c r="Y48" s="1" t="n"/>
      <c r="Z48" s="1" t="n"/>
    </row>
    <row r="49" ht="24" customHeight="1" s="311">
      <c r="A49" s="145" t="n"/>
      <c r="B49" s="33" t="inlineStr">
        <is>
          <t>Nivel</t>
        </is>
      </c>
      <c r="C49" s="33" t="inlineStr">
        <is>
          <t>Nº facturas</t>
        </is>
      </c>
      <c r="D49" s="33" t="inlineStr">
        <is>
          <t>Saldo (€)</t>
        </is>
      </c>
      <c r="E49" s="33" t="inlineStr">
        <is>
          <t>% del total</t>
        </is>
      </c>
      <c r="F49" s="33" t="inlineStr">
        <is>
          <t>Visual</t>
        </is>
      </c>
      <c r="G49" s="145" t="n"/>
      <c r="H49" s="145" t="n"/>
      <c r="I49" s="145" t="n"/>
      <c r="J49" s="145" t="n"/>
      <c r="K49" s="145" t="n"/>
      <c r="L49" s="145" t="n"/>
      <c r="M49" s="145" t="n"/>
      <c r="N49" s="145" t="n"/>
      <c r="O49" s="145" t="n"/>
      <c r="P49" s="145" t="n"/>
      <c r="Q49" s="1" t="n"/>
      <c r="R49" s="1" t="n"/>
      <c r="S49" s="1" t="n"/>
      <c r="T49" s="1" t="n"/>
      <c r="U49" s="1" t="n"/>
      <c r="V49" s="1" t="n"/>
      <c r="W49" s="1" t="n"/>
      <c r="X49" s="1" t="n"/>
      <c r="Y49" s="1" t="n"/>
      <c r="Z49" s="1" t="n"/>
    </row>
    <row r="50" ht="15" customHeight="1" s="311">
      <c r="A50" s="145" t="n"/>
      <c r="B50" s="23" t="inlineStr">
        <is>
          <t>1 · Urgente</t>
        </is>
      </c>
      <c r="C50" s="59">
        <f>COUNTIFS(Facturas!$P$6:$P$205,"1 · Urgente",Facturas!$K$6:$K$205,"&gt;0")</f>
        <v/>
      </c>
      <c r="D50" s="42">
        <f>SUMIFS(Facturas!$K$6:$K$205,Facturas!$P$6:$P$205,"1 · Urgente")</f>
        <v/>
      </c>
      <c r="E50" s="65">
        <f>IFERROR($D50/(SUMIFS(Facturas!$K$6:$K$205,Facturas!$P$6:$P$205,"&lt;&gt;")),"")</f>
        <v/>
      </c>
      <c r="F50" s="115">
        <f>IF($D50=0,"",REPT("█",MAX(1,ROUND($D50/MAX($D$50:$D$53)*18,0))))</f>
        <v/>
      </c>
      <c r="G50" s="145" t="n"/>
      <c r="H50" s="145" t="n"/>
      <c r="I50" s="145" t="n"/>
      <c r="J50" s="145" t="n"/>
      <c r="K50" s="145" t="n"/>
      <c r="L50" s="145" t="n"/>
      <c r="M50" s="145" t="n"/>
      <c r="N50" s="145" t="n"/>
      <c r="O50" s="145" t="n"/>
      <c r="P50" s="145" t="n"/>
      <c r="Q50" s="1" t="n"/>
      <c r="R50" s="1" t="n"/>
      <c r="S50" s="1" t="n"/>
      <c r="T50" s="1" t="n"/>
      <c r="U50" s="1" t="n"/>
      <c r="V50" s="1" t="n"/>
      <c r="W50" s="1" t="n"/>
      <c r="X50" s="1" t="n"/>
      <c r="Y50" s="1" t="n"/>
      <c r="Z50" s="1" t="n"/>
    </row>
    <row r="51" ht="15" customHeight="1" s="311">
      <c r="A51" s="145" t="n"/>
      <c r="B51" s="46" t="inlineStr">
        <is>
          <t>2 · Alta</t>
        </is>
      </c>
      <c r="C51" s="59">
        <f>COUNTIFS(Facturas!$P$6:$P$205,"2 · Alta",Facturas!$K$6:$K$205,"&gt;0")</f>
        <v/>
      </c>
      <c r="D51" s="42">
        <f>SUMIFS(Facturas!$K$6:$K$205,Facturas!$P$6:$P$205,"2 · Alta")</f>
        <v/>
      </c>
      <c r="E51" s="65">
        <f>IFERROR($D51/(SUMIFS(Facturas!$K$6:$K$205,Facturas!$P$6:$P$205,"&lt;&gt;")),"")</f>
        <v/>
      </c>
      <c r="F51" s="115">
        <f>IF($D51=0,"",REPT("█",MAX(1,ROUND($D51/MAX($D$50:$D$53)*18,0))))</f>
        <v/>
      </c>
      <c r="G51" s="145" t="n"/>
      <c r="H51" s="145" t="n"/>
      <c r="I51" s="145" t="n"/>
      <c r="J51" s="145" t="n"/>
      <c r="K51" s="145" t="n"/>
      <c r="L51" s="145" t="n"/>
      <c r="M51" s="145" t="n"/>
      <c r="N51" s="145" t="n"/>
      <c r="O51" s="145" t="n"/>
      <c r="P51" s="145" t="n"/>
      <c r="Q51" s="1" t="n"/>
      <c r="R51" s="1" t="n"/>
      <c r="S51" s="1" t="n"/>
      <c r="T51" s="1" t="n"/>
      <c r="U51" s="1" t="n"/>
      <c r="V51" s="1" t="n"/>
      <c r="W51" s="1" t="n"/>
      <c r="X51" s="1" t="n"/>
      <c r="Y51" s="1" t="n"/>
      <c r="Z51" s="1" t="n"/>
    </row>
    <row r="52" ht="15" customHeight="1" s="311">
      <c r="A52" s="145" t="n"/>
      <c r="B52" s="46" t="inlineStr">
        <is>
          <t>3 · Media</t>
        </is>
      </c>
      <c r="C52" s="59">
        <f>COUNTIFS(Facturas!$P$6:$P$205,"3 · Media",Facturas!$K$6:$K$205,"&gt;0")</f>
        <v/>
      </c>
      <c r="D52" s="42">
        <f>SUMIFS(Facturas!$K$6:$K$205,Facturas!$P$6:$P$205,"3 · Media")</f>
        <v/>
      </c>
      <c r="E52" s="65">
        <f>IFERROR($D52/(SUMIFS(Facturas!$K$6:$K$205,Facturas!$P$6:$P$205,"&lt;&gt;")),"")</f>
        <v/>
      </c>
      <c r="F52" s="115">
        <f>IF($D52=0,"",REPT("█",MAX(1,ROUND($D52/MAX($D$50:$D$53)*18,0))))</f>
        <v/>
      </c>
      <c r="G52" s="145" t="n"/>
      <c r="H52" s="145" t="n"/>
      <c r="I52" s="145" t="n"/>
      <c r="J52" s="145" t="n"/>
      <c r="K52" s="145" t="n"/>
      <c r="L52" s="145" t="n"/>
      <c r="M52" s="145" t="n"/>
      <c r="N52" s="145" t="n"/>
      <c r="O52" s="145" t="n"/>
      <c r="P52" s="145" t="n"/>
      <c r="Q52" s="1" t="n"/>
      <c r="R52" s="1" t="n"/>
      <c r="S52" s="1" t="n"/>
      <c r="T52" s="1" t="n"/>
      <c r="U52" s="1" t="n"/>
      <c r="V52" s="1" t="n"/>
      <c r="W52" s="1" t="n"/>
      <c r="X52" s="1" t="n"/>
      <c r="Y52" s="1" t="n"/>
      <c r="Z52" s="1" t="n"/>
    </row>
    <row r="53" ht="15" customHeight="1" s="311">
      <c r="A53" s="145" t="n"/>
      <c r="B53" s="46" t="inlineStr">
        <is>
          <t>4 · Baja</t>
        </is>
      </c>
      <c r="C53" s="59">
        <f>COUNTIFS(Facturas!$P$6:$P$205,"4 · Baja",Facturas!$K$6:$K$205,"&gt;0")</f>
        <v/>
      </c>
      <c r="D53" s="42">
        <f>SUMIFS(Facturas!$K$6:$K$205,Facturas!$P$6:$P$205,"4 · Baja")</f>
        <v/>
      </c>
      <c r="E53" s="65">
        <f>IFERROR($D53/(SUMIFS(Facturas!$K$6:$K$205,Facturas!$P$6:$P$205,"&lt;&gt;")),"")</f>
        <v/>
      </c>
      <c r="F53" s="115">
        <f>IF($D53=0,"",REPT("█",MAX(1,ROUND($D53/MAX($D$50:$D$53)*18,0))))</f>
        <v/>
      </c>
      <c r="G53" s="145" t="n"/>
      <c r="H53" s="145" t="n"/>
      <c r="I53" s="145" t="n"/>
      <c r="J53" s="145" t="n"/>
      <c r="K53" s="145" t="n"/>
      <c r="L53" s="145" t="n"/>
      <c r="M53" s="145" t="n"/>
      <c r="N53" s="145" t="n"/>
      <c r="O53" s="145" t="n"/>
      <c r="P53" s="145" t="n"/>
      <c r="Q53" s="1" t="n"/>
      <c r="R53" s="1" t="n"/>
      <c r="S53" s="1" t="n"/>
      <c r="T53" s="1" t="n"/>
      <c r="U53" s="1" t="n"/>
      <c r="V53" s="1" t="n"/>
      <c r="W53" s="1" t="n"/>
      <c r="X53" s="1" t="n"/>
      <c r="Y53" s="1" t="n"/>
      <c r="Z53" s="1" t="n"/>
    </row>
    <row r="54" ht="15" customHeight="1" s="311">
      <c r="A54" s="145" t="n"/>
      <c r="B54" s="38" t="inlineStr">
        <is>
          <t>TOTAL</t>
        </is>
      </c>
      <c r="C54" s="109">
        <f>SUM($C$50:$C$53)</f>
        <v/>
      </c>
      <c r="D54" s="86">
        <f>SUM($D$50:$D$53)</f>
        <v/>
      </c>
      <c r="E54" s="39" t="n"/>
      <c r="F54" s="39" t="n"/>
      <c r="G54" s="145" t="n"/>
      <c r="H54" s="145" t="n"/>
      <c r="I54" s="145" t="n"/>
      <c r="J54" s="145" t="n"/>
      <c r="K54" s="145" t="n"/>
      <c r="L54" s="145" t="n"/>
      <c r="M54" s="145" t="n"/>
      <c r="N54" s="145" t="n"/>
      <c r="O54" s="145" t="n"/>
      <c r="P54" s="145" t="n"/>
      <c r="Q54" s="1" t="n"/>
      <c r="R54" s="1" t="n"/>
      <c r="S54" s="1" t="n"/>
      <c r="T54" s="1" t="n"/>
      <c r="U54" s="1" t="n"/>
      <c r="V54" s="1" t="n"/>
      <c r="W54" s="1" t="n"/>
      <c r="X54" s="1" t="n"/>
      <c r="Y54" s="1" t="n"/>
      <c r="Z54" s="1" t="n"/>
    </row>
    <row r="55" ht="15.75" customHeight="1" s="311">
      <c r="A55" s="145" t="n"/>
      <c r="B55" s="145" t="n"/>
      <c r="C55" s="145" t="n"/>
      <c r="D55" s="145" t="n"/>
      <c r="E55" s="145" t="n"/>
      <c r="F55" s="145" t="n"/>
      <c r="G55" s="145" t="n"/>
      <c r="H55" s="145" t="n"/>
      <c r="I55" s="145" t="n"/>
      <c r="J55" s="145" t="n"/>
      <c r="K55" s="145" t="n"/>
      <c r="L55" s="145" t="n"/>
      <c r="M55" s="145" t="n"/>
      <c r="N55" s="145" t="n"/>
      <c r="O55" s="145" t="n"/>
      <c r="P55" s="145" t="n"/>
      <c r="Q55" s="1" t="n"/>
      <c r="R55" s="1" t="n"/>
      <c r="S55" s="1" t="n"/>
      <c r="T55" s="1" t="n"/>
      <c r="U55" s="1" t="n"/>
      <c r="V55" s="1" t="n"/>
      <c r="W55" s="1" t="n"/>
      <c r="X55" s="1" t="n"/>
      <c r="Y55" s="1" t="n"/>
      <c r="Z55" s="1" t="n"/>
    </row>
    <row r="56" ht="15.75" customHeight="1" s="311">
      <c r="A56" s="145" t="n"/>
      <c r="B56" s="145" t="n"/>
      <c r="C56" s="145" t="n"/>
      <c r="D56" s="145" t="n"/>
      <c r="E56" s="145" t="n"/>
      <c r="F56" s="145" t="n"/>
      <c r="G56" s="145" t="n"/>
      <c r="H56" s="145" t="n"/>
      <c r="I56" s="145" t="n"/>
      <c r="J56" s="145" t="n"/>
      <c r="K56" s="145" t="n"/>
      <c r="L56" s="145" t="n"/>
      <c r="M56" s="145" t="n"/>
      <c r="N56" s="145" t="n"/>
      <c r="O56" s="145" t="n"/>
      <c r="P56" s="145" t="n"/>
      <c r="Q56" s="1" t="n"/>
      <c r="R56" s="1" t="n"/>
      <c r="S56" s="1" t="n"/>
      <c r="T56" s="1" t="n"/>
      <c r="U56" s="1" t="n"/>
      <c r="V56" s="1" t="n"/>
      <c r="W56" s="1" t="n"/>
      <c r="X56" s="1" t="n"/>
      <c r="Y56" s="1" t="n"/>
      <c r="Z56" s="1" t="n"/>
    </row>
    <row r="57" ht="15.75" customHeight="1" s="311">
      <c r="A57" s="145" t="n"/>
      <c r="B57" s="145" t="n"/>
      <c r="C57" s="145" t="n"/>
      <c r="D57" s="145" t="n"/>
      <c r="E57" s="145" t="n"/>
      <c r="F57" s="145" t="n"/>
      <c r="G57" s="145" t="n"/>
      <c r="H57" s="145" t="n"/>
      <c r="I57" s="145" t="n"/>
      <c r="J57" s="145" t="n"/>
      <c r="K57" s="145" t="n"/>
      <c r="L57" s="145" t="n"/>
      <c r="M57" s="145" t="n"/>
      <c r="N57" s="145" t="n"/>
      <c r="O57" s="145" t="n"/>
      <c r="P57" s="145" t="n"/>
      <c r="Q57" s="1" t="n"/>
      <c r="R57" s="1" t="n"/>
      <c r="S57" s="1" t="n"/>
      <c r="T57" s="1" t="n"/>
      <c r="U57" s="1" t="n"/>
      <c r="V57" s="1" t="n"/>
      <c r="W57" s="1" t="n"/>
      <c r="X57" s="1" t="n"/>
      <c r="Y57" s="1" t="n"/>
      <c r="Z57" s="1" t="n"/>
    </row>
    <row r="58" ht="15.75" customHeight="1" s="311">
      <c r="A58" s="145" t="n"/>
      <c r="B58" s="145" t="n"/>
      <c r="C58" s="145" t="n"/>
      <c r="D58" s="145" t="n"/>
      <c r="E58" s="145" t="n"/>
      <c r="F58" s="145" t="n"/>
      <c r="G58" s="145" t="n"/>
      <c r="H58" s="145" t="n"/>
      <c r="I58" s="145" t="n"/>
      <c r="J58" s="145" t="n"/>
      <c r="K58" s="145" t="n"/>
      <c r="L58" s="145" t="n"/>
      <c r="M58" s="145" t="n"/>
      <c r="N58" s="145" t="n"/>
      <c r="O58" s="145" t="n"/>
      <c r="P58" s="145" t="n"/>
      <c r="Q58" s="1" t="n"/>
      <c r="R58" s="1" t="n"/>
      <c r="S58" s="1" t="n"/>
      <c r="T58" s="1" t="n"/>
      <c r="U58" s="1" t="n"/>
      <c r="V58" s="1" t="n"/>
      <c r="W58" s="1" t="n"/>
      <c r="X58" s="1" t="n"/>
      <c r="Y58" s="1" t="n"/>
      <c r="Z58" s="1" t="n"/>
    </row>
    <row r="59" ht="15.75" customHeight="1" s="311">
      <c r="A59" s="145" t="n"/>
      <c r="B59" s="145" t="n"/>
      <c r="C59" s="145" t="n"/>
      <c r="D59" s="145" t="n"/>
      <c r="E59" s="145" t="n"/>
      <c r="F59" s="145" t="n"/>
      <c r="G59" s="145" t="n"/>
      <c r="H59" s="145" t="n"/>
      <c r="I59" s="145" t="n"/>
      <c r="J59" s="145" t="n"/>
      <c r="K59" s="145" t="n"/>
      <c r="L59" s="145" t="n"/>
      <c r="M59" s="145" t="n"/>
      <c r="N59" s="145" t="n"/>
      <c r="O59" s="145" t="n"/>
      <c r="P59" s="145" t="n"/>
      <c r="Q59" s="1" t="n"/>
      <c r="R59" s="1" t="n"/>
      <c r="S59" s="1" t="n"/>
      <c r="T59" s="1" t="n"/>
      <c r="U59" s="1" t="n"/>
      <c r="V59" s="1" t="n"/>
      <c r="W59" s="1" t="n"/>
      <c r="X59" s="1" t="n"/>
      <c r="Y59" s="1" t="n"/>
      <c r="Z59" s="1" t="n"/>
    </row>
    <row r="60" ht="15.75" customHeight="1" s="311">
      <c r="A60" s="145" t="n"/>
      <c r="B60" s="145" t="n"/>
      <c r="C60" s="145" t="n"/>
      <c r="D60" s="145" t="n"/>
      <c r="E60" s="145" t="n"/>
      <c r="F60" s="145" t="n"/>
      <c r="G60" s="145" t="n"/>
      <c r="H60" s="145" t="n"/>
      <c r="I60" s="145" t="n"/>
      <c r="J60" s="145" t="n"/>
      <c r="K60" s="145" t="n"/>
      <c r="L60" s="145" t="n"/>
      <c r="M60" s="145" t="n"/>
      <c r="N60" s="145" t="n"/>
      <c r="O60" s="145" t="n"/>
      <c r="P60" s="145" t="n"/>
      <c r="Q60" s="1" t="n"/>
      <c r="R60" s="1" t="n"/>
      <c r="S60" s="1" t="n"/>
      <c r="T60" s="1" t="n"/>
      <c r="U60" s="1" t="n"/>
      <c r="V60" s="1" t="n"/>
      <c r="W60" s="1" t="n"/>
      <c r="X60" s="1" t="n"/>
      <c r="Y60" s="1" t="n"/>
      <c r="Z60" s="1" t="n"/>
    </row>
    <row r="61" ht="15.75" customHeight="1" s="311">
      <c r="A61" s="145" t="n"/>
      <c r="B61" s="145" t="n"/>
      <c r="C61" s="145" t="n"/>
      <c r="D61" s="145" t="n"/>
      <c r="E61" s="145" t="n"/>
      <c r="F61" s="145" t="n"/>
      <c r="G61" s="145" t="n"/>
      <c r="H61" s="145" t="n"/>
      <c r="I61" s="145" t="n"/>
      <c r="J61" s="145" t="n"/>
      <c r="K61" s="145" t="n"/>
      <c r="L61" s="145" t="n"/>
      <c r="M61" s="145" t="n"/>
      <c r="N61" s="145" t="n"/>
      <c r="O61" s="145" t="n"/>
      <c r="P61" s="145" t="n"/>
      <c r="Q61" s="1" t="n"/>
      <c r="R61" s="1" t="n"/>
      <c r="S61" s="1" t="n"/>
      <c r="T61" s="1" t="n"/>
      <c r="U61" s="1" t="n"/>
      <c r="V61" s="1" t="n"/>
      <c r="W61" s="1" t="n"/>
      <c r="X61" s="1" t="n"/>
      <c r="Y61" s="1" t="n"/>
      <c r="Z61" s="1" t="n"/>
    </row>
    <row r="62" ht="15.75" customHeight="1" s="311">
      <c r="A62" s="145" t="n"/>
      <c r="B62" s="145" t="n"/>
      <c r="C62" s="145" t="n"/>
      <c r="D62" s="145" t="n"/>
      <c r="E62" s="145" t="n"/>
      <c r="F62" s="145" t="n"/>
      <c r="G62" s="145" t="n"/>
      <c r="H62" s="145" t="n"/>
      <c r="I62" s="145" t="n"/>
      <c r="J62" s="145" t="n"/>
      <c r="K62" s="145" t="n"/>
      <c r="L62" s="145" t="n"/>
      <c r="M62" s="145" t="n"/>
      <c r="N62" s="145" t="n"/>
      <c r="O62" s="145" t="n"/>
      <c r="P62" s="145" t="n"/>
      <c r="Q62" s="1" t="n"/>
      <c r="R62" s="1" t="n"/>
      <c r="S62" s="1" t="n"/>
      <c r="T62" s="1" t="n"/>
      <c r="U62" s="1" t="n"/>
      <c r="V62" s="1" t="n"/>
      <c r="W62" s="1" t="n"/>
      <c r="X62" s="1" t="n"/>
      <c r="Y62" s="1" t="n"/>
      <c r="Z62" s="1" t="n"/>
    </row>
    <row r="63" ht="15.75" customHeight="1" s="311">
      <c r="A63" s="145" t="n"/>
      <c r="B63" s="145" t="n"/>
      <c r="C63" s="145" t="n"/>
      <c r="D63" s="145" t="n"/>
      <c r="E63" s="145" t="n"/>
      <c r="F63" s="145" t="n"/>
      <c r="G63" s="145" t="n"/>
      <c r="H63" s="145" t="n"/>
      <c r="I63" s="145" t="n"/>
      <c r="J63" s="145" t="n"/>
      <c r="K63" s="145" t="n"/>
      <c r="L63" s="145" t="n"/>
      <c r="M63" s="145" t="n"/>
      <c r="N63" s="145" t="n"/>
      <c r="O63" s="145" t="n"/>
      <c r="P63" s="145" t="n"/>
      <c r="Q63" s="1" t="n"/>
      <c r="R63" s="1" t="n"/>
      <c r="S63" s="1" t="n"/>
      <c r="T63" s="1" t="n"/>
      <c r="U63" s="1" t="n"/>
      <c r="V63" s="1" t="n"/>
      <c r="W63" s="1" t="n"/>
      <c r="X63" s="1" t="n"/>
      <c r="Y63" s="1" t="n"/>
      <c r="Z63" s="1" t="n"/>
    </row>
    <row r="64" ht="15.75" customHeight="1" s="311">
      <c r="A64" s="145" t="n"/>
      <c r="B64" s="145" t="n"/>
      <c r="C64" s="145" t="n"/>
      <c r="D64" s="145" t="n"/>
      <c r="E64" s="145" t="n"/>
      <c r="F64" s="145" t="n"/>
      <c r="G64" s="145" t="n"/>
      <c r="H64" s="145" t="n"/>
      <c r="I64" s="145" t="n"/>
      <c r="J64" s="145" t="n"/>
      <c r="K64" s="145" t="n"/>
      <c r="L64" s="145" t="n"/>
      <c r="M64" s="145" t="n"/>
      <c r="N64" s="145" t="n"/>
      <c r="O64" s="145" t="n"/>
      <c r="P64" s="145" t="n"/>
      <c r="Q64" s="1" t="n"/>
      <c r="R64" s="1" t="n"/>
      <c r="S64" s="1" t="n"/>
      <c r="T64" s="1" t="n"/>
      <c r="U64" s="1" t="n"/>
      <c r="V64" s="1" t="n"/>
      <c r="W64" s="1" t="n"/>
      <c r="X64" s="1" t="n"/>
      <c r="Y64" s="1" t="n"/>
      <c r="Z64" s="1" t="n"/>
    </row>
    <row r="65" ht="15.75" customHeight="1" s="311">
      <c r="A65" s="145" t="n"/>
      <c r="B65" s="145" t="n"/>
      <c r="C65" s="145" t="n"/>
      <c r="D65" s="145" t="n"/>
      <c r="E65" s="145" t="n"/>
      <c r="F65" s="145" t="n"/>
      <c r="G65" s="145" t="n"/>
      <c r="H65" s="145" t="n"/>
      <c r="I65" s="145" t="n"/>
      <c r="J65" s="145" t="n"/>
      <c r="K65" s="145" t="n"/>
      <c r="L65" s="145" t="n"/>
      <c r="M65" s="145" t="n"/>
      <c r="N65" s="145" t="n"/>
      <c r="O65" s="145" t="n"/>
      <c r="P65" s="145" t="n"/>
      <c r="Q65" s="1" t="n"/>
      <c r="R65" s="1" t="n"/>
      <c r="S65" s="1" t="n"/>
      <c r="T65" s="1" t="n"/>
      <c r="U65" s="1" t="n"/>
      <c r="V65" s="1" t="n"/>
      <c r="W65" s="1" t="n"/>
      <c r="X65" s="1" t="n"/>
      <c r="Y65" s="1" t="n"/>
      <c r="Z65" s="1" t="n"/>
    </row>
    <row r="66" ht="15.75" customHeight="1" s="311">
      <c r="A66" s="145" t="n"/>
      <c r="B66" s="145" t="n"/>
      <c r="C66" s="145" t="n"/>
      <c r="D66" s="145" t="n"/>
      <c r="E66" s="145" t="n"/>
      <c r="F66" s="145" t="n"/>
      <c r="G66" s="145" t="n"/>
      <c r="H66" s="145" t="n"/>
      <c r="I66" s="145" t="n"/>
      <c r="J66" s="145" t="n"/>
      <c r="K66" s="145" t="n"/>
      <c r="L66" s="145" t="n"/>
      <c r="M66" s="145" t="n"/>
      <c r="N66" s="145" t="n"/>
      <c r="O66" s="145" t="n"/>
      <c r="P66" s="145" t="n"/>
      <c r="Q66" s="1" t="n"/>
      <c r="R66" s="1" t="n"/>
      <c r="S66" s="1" t="n"/>
      <c r="T66" s="1" t="n"/>
      <c r="U66" s="1" t="n"/>
      <c r="V66" s="1" t="n"/>
      <c r="W66" s="1" t="n"/>
      <c r="X66" s="1" t="n"/>
      <c r="Y66" s="1" t="n"/>
      <c r="Z66" s="1" t="n"/>
    </row>
    <row r="67" ht="15.75" customHeight="1" s="311">
      <c r="A67" s="145" t="n"/>
      <c r="B67" s="145" t="n"/>
      <c r="C67" s="145" t="n"/>
      <c r="D67" s="145" t="n"/>
      <c r="E67" s="145" t="n"/>
      <c r="F67" s="145" t="n"/>
      <c r="G67" s="145" t="n"/>
      <c r="H67" s="145" t="n"/>
      <c r="I67" s="145" t="n"/>
      <c r="J67" s="145" t="n"/>
      <c r="K67" s="145" t="n"/>
      <c r="L67" s="145" t="n"/>
      <c r="M67" s="145" t="n"/>
      <c r="N67" s="145" t="n"/>
      <c r="O67" s="145" t="n"/>
      <c r="P67" s="145" t="n"/>
      <c r="Q67" s="1" t="n"/>
      <c r="R67" s="1" t="n"/>
      <c r="S67" s="1" t="n"/>
      <c r="T67" s="1" t="n"/>
      <c r="U67" s="1" t="n"/>
      <c r="V67" s="1" t="n"/>
      <c r="W67" s="1" t="n"/>
      <c r="X67" s="1" t="n"/>
      <c r="Y67" s="1" t="n"/>
      <c r="Z67" s="1" t="n"/>
    </row>
    <row r="68" ht="15.75" customHeight="1" s="311">
      <c r="A68" s="145" t="n"/>
      <c r="B68" s="145" t="n"/>
      <c r="C68" s="145" t="n"/>
      <c r="D68" s="145" t="n"/>
      <c r="E68" s="145" t="n"/>
      <c r="F68" s="145" t="n"/>
      <c r="G68" s="145" t="n"/>
      <c r="H68" s="145" t="n"/>
      <c r="I68" s="145" t="n"/>
      <c r="J68" s="145" t="n"/>
      <c r="K68" s="145" t="n"/>
      <c r="L68" s="145" t="n"/>
      <c r="M68" s="145" t="n"/>
      <c r="N68" s="145" t="n"/>
      <c r="O68" s="145" t="n"/>
      <c r="P68" s="145" t="n"/>
      <c r="Q68" s="1" t="n"/>
      <c r="R68" s="1" t="n"/>
      <c r="S68" s="1" t="n"/>
      <c r="T68" s="1" t="n"/>
      <c r="U68" s="1" t="n"/>
      <c r="V68" s="1" t="n"/>
      <c r="W68" s="1" t="n"/>
      <c r="X68" s="1" t="n"/>
      <c r="Y68" s="1" t="n"/>
      <c r="Z68" s="1" t="n"/>
    </row>
    <row r="69" ht="15.75" customHeight="1" s="311">
      <c r="A69" s="145" t="n"/>
      <c r="B69" s="145" t="n"/>
      <c r="C69" s="145" t="n"/>
      <c r="D69" s="145" t="n"/>
      <c r="E69" s="145" t="n"/>
      <c r="F69" s="145" t="n"/>
      <c r="G69" s="145" t="n"/>
      <c r="H69" s="145" t="n"/>
      <c r="I69" s="145" t="n"/>
      <c r="J69" s="145" t="n"/>
      <c r="K69" s="145" t="n"/>
      <c r="L69" s="145" t="n"/>
      <c r="M69" s="145" t="n"/>
      <c r="N69" s="145" t="n"/>
      <c r="O69" s="145" t="n"/>
      <c r="P69" s="145" t="n"/>
      <c r="Q69" s="1" t="n"/>
      <c r="R69" s="1" t="n"/>
      <c r="S69" s="1" t="n"/>
      <c r="T69" s="1" t="n"/>
      <c r="U69" s="1" t="n"/>
      <c r="V69" s="1" t="n"/>
      <c r="W69" s="1" t="n"/>
      <c r="X69" s="1" t="n"/>
      <c r="Y69" s="1" t="n"/>
      <c r="Z69" s="1" t="n"/>
    </row>
    <row r="70" ht="15.75" customHeight="1" s="311">
      <c r="A70" s="145" t="n"/>
      <c r="B70" s="145" t="n"/>
      <c r="C70" s="145" t="n"/>
      <c r="D70" s="145" t="n"/>
      <c r="E70" s="145" t="n"/>
      <c r="F70" s="145" t="n"/>
      <c r="G70" s="145" t="n"/>
      <c r="H70" s="145" t="n"/>
      <c r="I70" s="145" t="n"/>
      <c r="J70" s="145" t="n"/>
      <c r="K70" s="145" t="n"/>
      <c r="L70" s="145" t="n"/>
      <c r="M70" s="145" t="n"/>
      <c r="N70" s="145" t="n"/>
      <c r="O70" s="145" t="n"/>
      <c r="P70" s="145" t="n"/>
      <c r="Q70" s="1" t="n"/>
      <c r="R70" s="1" t="n"/>
      <c r="S70" s="1" t="n"/>
      <c r="T70" s="1" t="n"/>
      <c r="U70" s="1" t="n"/>
      <c r="V70" s="1" t="n"/>
      <c r="W70" s="1" t="n"/>
      <c r="X70" s="1" t="n"/>
      <c r="Y70" s="1" t="n"/>
      <c r="Z70" s="1" t="n"/>
    </row>
    <row r="71" ht="15.75" customHeight="1" s="311">
      <c r="A71" s="145" t="n"/>
      <c r="B71" s="145" t="n"/>
      <c r="C71" s="145" t="n"/>
      <c r="D71" s="145" t="n"/>
      <c r="E71" s="145" t="n"/>
      <c r="F71" s="145" t="n"/>
      <c r="G71" s="145" t="n"/>
      <c r="H71" s="145" t="n"/>
      <c r="I71" s="145" t="n"/>
      <c r="J71" s="145" t="n"/>
      <c r="K71" s="145" t="n"/>
      <c r="L71" s="145" t="n"/>
      <c r="M71" s="145" t="n"/>
      <c r="N71" s="145" t="n"/>
      <c r="O71" s="145" t="n"/>
      <c r="P71" s="145" t="n"/>
      <c r="Q71" s="1" t="n"/>
      <c r="R71" s="1" t="n"/>
      <c r="S71" s="1" t="n"/>
      <c r="T71" s="1" t="n"/>
      <c r="U71" s="1" t="n"/>
      <c r="V71" s="1" t="n"/>
      <c r="W71" s="1" t="n"/>
      <c r="X71" s="1" t="n"/>
      <c r="Y71" s="1" t="n"/>
      <c r="Z71" s="1" t="n"/>
    </row>
    <row r="72" ht="15.75" customHeight="1" s="311">
      <c r="A72" s="145" t="n"/>
      <c r="B72" s="145" t="n"/>
      <c r="C72" s="145" t="n"/>
      <c r="D72" s="145" t="n"/>
      <c r="E72" s="145" t="n"/>
      <c r="F72" s="145" t="n"/>
      <c r="G72" s="145" t="n"/>
      <c r="H72" s="145" t="n"/>
      <c r="I72" s="145" t="n"/>
      <c r="J72" s="145" t="n"/>
      <c r="K72" s="145" t="n"/>
      <c r="L72" s="145" t="n"/>
      <c r="M72" s="145" t="n"/>
      <c r="N72" s="145" t="n"/>
      <c r="O72" s="145" t="n"/>
      <c r="P72" s="145" t="n"/>
      <c r="Q72" s="1" t="n"/>
      <c r="R72" s="1" t="n"/>
      <c r="S72" s="1" t="n"/>
      <c r="T72" s="1" t="n"/>
      <c r="U72" s="1" t="n"/>
      <c r="V72" s="1" t="n"/>
      <c r="W72" s="1" t="n"/>
      <c r="X72" s="1" t="n"/>
      <c r="Y72" s="1" t="n"/>
      <c r="Z72" s="1" t="n"/>
    </row>
    <row r="73" ht="15.75" customHeight="1" s="311">
      <c r="A73" s="145" t="n"/>
      <c r="B73" s="145" t="n"/>
      <c r="C73" s="145" t="n"/>
      <c r="D73" s="145" t="n"/>
      <c r="E73" s="145" t="n"/>
      <c r="F73" s="145" t="n"/>
      <c r="G73" s="145" t="n"/>
      <c r="H73" s="145" t="n"/>
      <c r="I73" s="145" t="n"/>
      <c r="J73" s="145" t="n"/>
      <c r="K73" s="145" t="n"/>
      <c r="L73" s="145" t="n"/>
      <c r="M73" s="145" t="n"/>
      <c r="N73" s="145" t="n"/>
      <c r="O73" s="145" t="n"/>
      <c r="P73" s="145" t="n"/>
      <c r="Q73" s="1" t="n"/>
      <c r="R73" s="1" t="n"/>
      <c r="S73" s="1" t="n"/>
      <c r="T73" s="1" t="n"/>
      <c r="U73" s="1" t="n"/>
      <c r="V73" s="1" t="n"/>
      <c r="W73" s="1" t="n"/>
      <c r="X73" s="1" t="n"/>
      <c r="Y73" s="1" t="n"/>
      <c r="Z73" s="1" t="n"/>
    </row>
    <row r="74" ht="15.75" customHeight="1" s="311">
      <c r="A74" s="145" t="n"/>
      <c r="B74" s="145" t="n"/>
      <c r="C74" s="145" t="n"/>
      <c r="D74" s="145" t="n"/>
      <c r="E74" s="145" t="n"/>
      <c r="F74" s="145" t="n"/>
      <c r="G74" s="145" t="n"/>
      <c r="H74" s="145" t="n"/>
      <c r="I74" s="145" t="n"/>
      <c r="J74" s="145" t="n"/>
      <c r="K74" s="145" t="n"/>
      <c r="L74" s="145" t="n"/>
      <c r="M74" s="145" t="n"/>
      <c r="N74" s="145" t="n"/>
      <c r="O74" s="145" t="n"/>
      <c r="P74" s="145" t="n"/>
      <c r="Q74" s="1" t="n"/>
      <c r="R74" s="1" t="n"/>
      <c r="S74" s="1" t="n"/>
      <c r="T74" s="1" t="n"/>
      <c r="U74" s="1" t="n"/>
      <c r="V74" s="1" t="n"/>
      <c r="W74" s="1" t="n"/>
      <c r="X74" s="1" t="n"/>
      <c r="Y74" s="1" t="n"/>
      <c r="Z74" s="1" t="n"/>
    </row>
    <row r="75" ht="15.75" customHeight="1" s="311">
      <c r="A75" s="145" t="n"/>
      <c r="B75" s="145" t="n"/>
      <c r="C75" s="145" t="n"/>
      <c r="D75" s="145" t="n"/>
      <c r="E75" s="145" t="n"/>
      <c r="F75" s="145" t="n"/>
      <c r="G75" s="145" t="n"/>
      <c r="H75" s="145" t="n"/>
      <c r="I75" s="145" t="n"/>
      <c r="J75" s="145" t="n"/>
      <c r="K75" s="145" t="n"/>
      <c r="L75" s="145" t="n"/>
      <c r="M75" s="145" t="n"/>
      <c r="N75" s="145" t="n"/>
      <c r="O75" s="145" t="n"/>
      <c r="P75" s="145" t="n"/>
      <c r="Q75" s="1" t="n"/>
      <c r="R75" s="1" t="n"/>
      <c r="S75" s="1" t="n"/>
      <c r="T75" s="1" t="n"/>
      <c r="U75" s="1" t="n"/>
      <c r="V75" s="1" t="n"/>
      <c r="W75" s="1" t="n"/>
      <c r="X75" s="1" t="n"/>
      <c r="Y75" s="1" t="n"/>
      <c r="Z75" s="1" t="n"/>
    </row>
    <row r="76" ht="15.75" customHeight="1" s="311">
      <c r="A76" s="145" t="n"/>
      <c r="B76" s="145" t="n"/>
      <c r="C76" s="145" t="n"/>
      <c r="D76" s="145" t="n"/>
      <c r="E76" s="145" t="n"/>
      <c r="F76" s="145" t="n"/>
      <c r="G76" s="145" t="n"/>
      <c r="H76" s="145" t="n"/>
      <c r="I76" s="145" t="n"/>
      <c r="J76" s="145" t="n"/>
      <c r="K76" s="145" t="n"/>
      <c r="L76" s="145" t="n"/>
      <c r="M76" s="145" t="n"/>
      <c r="N76" s="145" t="n"/>
      <c r="O76" s="145" t="n"/>
      <c r="P76" s="145" t="n"/>
      <c r="Q76" s="1" t="n"/>
      <c r="R76" s="1" t="n"/>
      <c r="S76" s="1" t="n"/>
      <c r="T76" s="1" t="n"/>
      <c r="U76" s="1" t="n"/>
      <c r="V76" s="1" t="n"/>
      <c r="W76" s="1" t="n"/>
      <c r="X76" s="1" t="n"/>
      <c r="Y76" s="1" t="n"/>
      <c r="Z76" s="1" t="n"/>
    </row>
    <row r="77" ht="15.75" customHeight="1" s="311">
      <c r="A77" s="145" t="n"/>
      <c r="B77" s="145" t="n"/>
      <c r="C77" s="145" t="n"/>
      <c r="D77" s="145" t="n"/>
      <c r="E77" s="145" t="n"/>
      <c r="F77" s="145" t="n"/>
      <c r="G77" s="145" t="n"/>
      <c r="H77" s="145" t="n"/>
      <c r="I77" s="145" t="n"/>
      <c r="J77" s="145" t="n"/>
      <c r="K77" s="145" t="n"/>
      <c r="L77" s="145" t="n"/>
      <c r="M77" s="145" t="n"/>
      <c r="N77" s="145" t="n"/>
      <c r="O77" s="145" t="n"/>
      <c r="P77" s="145" t="n"/>
      <c r="Q77" s="1" t="n"/>
      <c r="R77" s="1" t="n"/>
      <c r="S77" s="1" t="n"/>
      <c r="T77" s="1" t="n"/>
      <c r="U77" s="1" t="n"/>
      <c r="V77" s="1" t="n"/>
      <c r="W77" s="1" t="n"/>
      <c r="X77" s="1" t="n"/>
      <c r="Y77" s="1" t="n"/>
      <c r="Z77" s="1" t="n"/>
    </row>
    <row r="78" ht="15.75" customHeight="1" s="311">
      <c r="A78" s="145" t="n"/>
      <c r="B78" s="145" t="n"/>
      <c r="C78" s="145" t="n"/>
      <c r="D78" s="145" t="n"/>
      <c r="E78" s="145" t="n"/>
      <c r="F78" s="145" t="n"/>
      <c r="G78" s="145" t="n"/>
      <c r="H78" s="145" t="n"/>
      <c r="I78" s="145" t="n"/>
      <c r="J78" s="145" t="n"/>
      <c r="K78" s="145" t="n"/>
      <c r="L78" s="145" t="n"/>
      <c r="M78" s="145" t="n"/>
      <c r="N78" s="145" t="n"/>
      <c r="O78" s="145" t="n"/>
      <c r="P78" s="145" t="n"/>
      <c r="Q78" s="1" t="n"/>
      <c r="R78" s="1" t="n"/>
      <c r="S78" s="1" t="n"/>
      <c r="T78" s="1" t="n"/>
      <c r="U78" s="1" t="n"/>
      <c r="V78" s="1" t="n"/>
      <c r="W78" s="1" t="n"/>
      <c r="X78" s="1" t="n"/>
      <c r="Y78" s="1" t="n"/>
      <c r="Z78" s="1" t="n"/>
    </row>
    <row r="79" ht="15.75" customHeight="1" s="311">
      <c r="A79" s="145" t="n"/>
      <c r="B79" s="145" t="n"/>
      <c r="C79" s="145" t="n"/>
      <c r="D79" s="145" t="n"/>
      <c r="E79" s="145" t="n"/>
      <c r="F79" s="145" t="n"/>
      <c r="G79" s="145" t="n"/>
      <c r="H79" s="145" t="n"/>
      <c r="I79" s="145" t="n"/>
      <c r="J79" s="145" t="n"/>
      <c r="K79" s="145" t="n"/>
      <c r="L79" s="145" t="n"/>
      <c r="M79" s="145" t="n"/>
      <c r="N79" s="145" t="n"/>
      <c r="O79" s="145" t="n"/>
      <c r="P79" s="145" t="n"/>
      <c r="Q79" s="1" t="n"/>
      <c r="R79" s="1" t="n"/>
      <c r="S79" s="1" t="n"/>
      <c r="T79" s="1" t="n"/>
      <c r="U79" s="1" t="n"/>
      <c r="V79" s="1" t="n"/>
      <c r="W79" s="1" t="n"/>
      <c r="X79" s="1" t="n"/>
      <c r="Y79" s="1" t="n"/>
      <c r="Z79" s="1" t="n"/>
    </row>
    <row r="80" ht="15.75" customHeight="1" s="311">
      <c r="A80" s="145" t="n"/>
      <c r="B80" s="145" t="n"/>
      <c r="C80" s="145" t="n"/>
      <c r="D80" s="145" t="n"/>
      <c r="E80" s="145" t="n"/>
      <c r="F80" s="145" t="n"/>
      <c r="G80" s="145" t="n"/>
      <c r="H80" s="145" t="n"/>
      <c r="I80" s="145" t="n"/>
      <c r="J80" s="145" t="n"/>
      <c r="K80" s="145" t="n"/>
      <c r="L80" s="145" t="n"/>
      <c r="M80" s="145" t="n"/>
      <c r="N80" s="145" t="n"/>
      <c r="O80" s="145" t="n"/>
      <c r="P80" s="145" t="n"/>
      <c r="Q80" s="1" t="n"/>
      <c r="R80" s="1" t="n"/>
      <c r="S80" s="1" t="n"/>
      <c r="T80" s="1" t="n"/>
      <c r="U80" s="1" t="n"/>
      <c r="V80" s="1" t="n"/>
      <c r="W80" s="1" t="n"/>
      <c r="X80" s="1" t="n"/>
      <c r="Y80" s="1" t="n"/>
      <c r="Z80" s="1" t="n"/>
    </row>
    <row r="81" ht="15.75" customHeight="1" s="311">
      <c r="A81" s="145" t="n"/>
      <c r="B81" s="145" t="n"/>
      <c r="C81" s="145" t="n"/>
      <c r="D81" s="145" t="n"/>
      <c r="E81" s="145" t="n"/>
      <c r="F81" s="145" t="n"/>
      <c r="G81" s="145" t="n"/>
      <c r="H81" s="145" t="n"/>
      <c r="I81" s="145" t="n"/>
      <c r="J81" s="145" t="n"/>
      <c r="K81" s="145" t="n"/>
      <c r="L81" s="145" t="n"/>
      <c r="M81" s="145" t="n"/>
      <c r="N81" s="145" t="n"/>
      <c r="O81" s="145" t="n"/>
      <c r="P81" s="145" t="n"/>
      <c r="Q81" s="1" t="n"/>
      <c r="R81" s="1" t="n"/>
      <c r="S81" s="1" t="n"/>
      <c r="T81" s="1" t="n"/>
      <c r="U81" s="1" t="n"/>
      <c r="V81" s="1" t="n"/>
      <c r="W81" s="1" t="n"/>
      <c r="X81" s="1" t="n"/>
      <c r="Y81" s="1" t="n"/>
      <c r="Z81" s="1"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 t="n"/>
      <c r="R82" s="1" t="n"/>
      <c r="S82" s="1" t="n"/>
      <c r="T82" s="1" t="n"/>
      <c r="U82" s="1" t="n"/>
      <c r="V82" s="1" t="n"/>
      <c r="W82" s="1" t="n"/>
      <c r="X82" s="1" t="n"/>
      <c r="Y82" s="1" t="n"/>
      <c r="Z82" s="1"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 t="n"/>
      <c r="R83" s="1" t="n"/>
      <c r="S83" s="1" t="n"/>
      <c r="T83" s="1" t="n"/>
      <c r="U83" s="1" t="n"/>
      <c r="V83" s="1" t="n"/>
      <c r="W83" s="1" t="n"/>
      <c r="X83" s="1" t="n"/>
      <c r="Y83" s="1" t="n"/>
      <c r="Z83" s="1" t="n"/>
    </row>
    <row r="84" ht="15.75" customHeight="1" s="311">
      <c r="A84" s="145" t="n"/>
      <c r="B84" s="145" t="n"/>
      <c r="C84" s="145" t="n"/>
      <c r="D84" s="145" t="n"/>
      <c r="E84" s="145" t="n"/>
      <c r="F84" s="145" t="n"/>
      <c r="G84" s="145" t="n"/>
      <c r="H84" s="145" t="n"/>
      <c r="I84" s="145" t="n"/>
      <c r="J84" s="145" t="n"/>
      <c r="K84" s="145" t="n"/>
      <c r="L84" s="145" t="n"/>
      <c r="M84" s="145" t="n"/>
      <c r="N84" s="145" t="n"/>
      <c r="O84" s="145" t="n"/>
      <c r="P84" s="145" t="n"/>
      <c r="Q84" s="1" t="n"/>
      <c r="R84" s="1" t="n"/>
      <c r="S84" s="1" t="n"/>
      <c r="T84" s="1" t="n"/>
      <c r="U84" s="1" t="n"/>
      <c r="V84" s="1" t="n"/>
      <c r="W84" s="1" t="n"/>
      <c r="X84" s="1" t="n"/>
      <c r="Y84" s="1" t="n"/>
      <c r="Z84" s="1" t="n"/>
    </row>
    <row r="85" ht="15.75" customHeight="1" s="311">
      <c r="A85" s="145" t="n"/>
      <c r="B85" s="145" t="n"/>
      <c r="C85" s="145" t="n"/>
      <c r="D85" s="145" t="n"/>
      <c r="E85" s="145" t="n"/>
      <c r="F85" s="145" t="n"/>
      <c r="G85" s="145" t="n"/>
      <c r="H85" s="145" t="n"/>
      <c r="I85" s="145" t="n"/>
      <c r="J85" s="145" t="n"/>
      <c r="K85" s="145" t="n"/>
      <c r="L85" s="145" t="n"/>
      <c r="M85" s="145" t="n"/>
      <c r="N85" s="145" t="n"/>
      <c r="O85" s="145" t="n"/>
      <c r="P85" s="145" t="n"/>
      <c r="Q85" s="1" t="n"/>
      <c r="R85" s="1" t="n"/>
      <c r="S85" s="1" t="n"/>
      <c r="T85" s="1" t="n"/>
      <c r="U85" s="1" t="n"/>
      <c r="V85" s="1" t="n"/>
      <c r="W85" s="1" t="n"/>
      <c r="X85" s="1" t="n"/>
      <c r="Y85" s="1" t="n"/>
      <c r="Z85" s="1" t="n"/>
    </row>
    <row r="86" ht="15.75" customHeight="1" s="311">
      <c r="A86" s="145" t="n"/>
      <c r="B86" s="145" t="n"/>
      <c r="C86" s="145" t="n"/>
      <c r="D86" s="145" t="n"/>
      <c r="E86" s="145" t="n"/>
      <c r="F86" s="145" t="n"/>
      <c r="G86" s="145" t="n"/>
      <c r="H86" s="145" t="n"/>
      <c r="I86" s="145" t="n"/>
      <c r="J86" s="145" t="n"/>
      <c r="K86" s="145" t="n"/>
      <c r="L86" s="145" t="n"/>
      <c r="M86" s="145" t="n"/>
      <c r="N86" s="145" t="n"/>
      <c r="O86" s="145" t="n"/>
      <c r="P86" s="145" t="n"/>
      <c r="Q86" s="1" t="n"/>
      <c r="R86" s="1" t="n"/>
      <c r="S86" s="1" t="n"/>
      <c r="T86" s="1" t="n"/>
      <c r="U86" s="1" t="n"/>
      <c r="V86" s="1" t="n"/>
      <c r="W86" s="1" t="n"/>
      <c r="X86" s="1" t="n"/>
      <c r="Y86" s="1" t="n"/>
      <c r="Z86" s="1" t="n"/>
    </row>
    <row r="87" ht="15.75" customHeight="1" s="311">
      <c r="A87" s="145" t="n"/>
      <c r="B87" s="145" t="n"/>
      <c r="C87" s="145" t="n"/>
      <c r="D87" s="145" t="n"/>
      <c r="E87" s="145" t="n"/>
      <c r="F87" s="145" t="n"/>
      <c r="G87" s="145" t="n"/>
      <c r="H87" s="145" t="n"/>
      <c r="I87" s="145" t="n"/>
      <c r="J87" s="145" t="n"/>
      <c r="K87" s="145" t="n"/>
      <c r="L87" s="145" t="n"/>
      <c r="M87" s="145" t="n"/>
      <c r="N87" s="145" t="n"/>
      <c r="O87" s="145" t="n"/>
      <c r="P87" s="145" t="n"/>
      <c r="Q87" s="1" t="n"/>
      <c r="R87" s="1" t="n"/>
      <c r="S87" s="1" t="n"/>
      <c r="T87" s="1" t="n"/>
      <c r="U87" s="1" t="n"/>
      <c r="V87" s="1" t="n"/>
      <c r="W87" s="1" t="n"/>
      <c r="X87" s="1" t="n"/>
      <c r="Y87" s="1" t="n"/>
      <c r="Z87" s="1" t="n"/>
    </row>
    <row r="88" ht="15.75" customHeight="1" s="311">
      <c r="A88" s="145" t="n"/>
      <c r="B88" s="145" t="n"/>
      <c r="C88" s="145" t="n"/>
      <c r="D88" s="145" t="n"/>
      <c r="E88" s="145" t="n"/>
      <c r="F88" s="145" t="n"/>
      <c r="G88" s="145" t="n"/>
      <c r="H88" s="145" t="n"/>
      <c r="I88" s="145" t="n"/>
      <c r="J88" s="145" t="n"/>
      <c r="K88" s="145" t="n"/>
      <c r="L88" s="145" t="n"/>
      <c r="M88" s="145" t="n"/>
      <c r="N88" s="145" t="n"/>
      <c r="O88" s="145" t="n"/>
      <c r="P88" s="145" t="n"/>
      <c r="Q88" s="1" t="n"/>
      <c r="R88" s="1" t="n"/>
      <c r="S88" s="1" t="n"/>
      <c r="T88" s="1" t="n"/>
      <c r="U88" s="1" t="n"/>
      <c r="V88" s="1" t="n"/>
      <c r="W88" s="1" t="n"/>
      <c r="X88" s="1" t="n"/>
      <c r="Y88" s="1" t="n"/>
      <c r="Z88" s="1" t="n"/>
    </row>
    <row r="89" ht="15.75" customHeight="1" s="311">
      <c r="A89" s="145" t="n"/>
      <c r="B89" s="145" t="n"/>
      <c r="C89" s="145" t="n"/>
      <c r="D89" s="145" t="n"/>
      <c r="E89" s="145" t="n"/>
      <c r="F89" s="145" t="n"/>
      <c r="G89" s="145" t="n"/>
      <c r="H89" s="145" t="n"/>
      <c r="I89" s="145" t="n"/>
      <c r="J89" s="145" t="n"/>
      <c r="K89" s="145" t="n"/>
      <c r="L89" s="145" t="n"/>
      <c r="M89" s="145" t="n"/>
      <c r="N89" s="145" t="n"/>
      <c r="O89" s="145" t="n"/>
      <c r="P89" s="145" t="n"/>
      <c r="Q89" s="1" t="n"/>
      <c r="R89" s="1" t="n"/>
      <c r="S89" s="1" t="n"/>
      <c r="T89" s="1" t="n"/>
      <c r="U89" s="1" t="n"/>
      <c r="V89" s="1" t="n"/>
      <c r="W89" s="1" t="n"/>
      <c r="X89" s="1" t="n"/>
      <c r="Y89" s="1" t="n"/>
      <c r="Z89" s="1" t="n"/>
    </row>
    <row r="90" ht="15.75" customHeight="1" s="311">
      <c r="A90" s="145" t="n"/>
      <c r="B90" s="145" t="n"/>
      <c r="C90" s="145" t="n"/>
      <c r="D90" s="145" t="n"/>
      <c r="E90" s="145" t="n"/>
      <c r="F90" s="145" t="n"/>
      <c r="G90" s="145" t="n"/>
      <c r="H90" s="145" t="n"/>
      <c r="I90" s="145" t="n"/>
      <c r="J90" s="145" t="n"/>
      <c r="K90" s="145" t="n"/>
      <c r="L90" s="145" t="n"/>
      <c r="M90" s="145" t="n"/>
      <c r="N90" s="145" t="n"/>
      <c r="O90" s="145" t="n"/>
      <c r="P90" s="145" t="n"/>
      <c r="Q90" s="1" t="n"/>
      <c r="R90" s="1" t="n"/>
      <c r="S90" s="1" t="n"/>
      <c r="T90" s="1" t="n"/>
      <c r="U90" s="1" t="n"/>
      <c r="V90" s="1" t="n"/>
      <c r="W90" s="1" t="n"/>
      <c r="X90" s="1" t="n"/>
      <c r="Y90" s="1" t="n"/>
      <c r="Z90" s="1" t="n"/>
    </row>
    <row r="91" ht="15.75" customHeight="1" s="311">
      <c r="A91" s="145" t="n"/>
      <c r="B91" s="145" t="n"/>
      <c r="C91" s="145" t="n"/>
      <c r="D91" s="145" t="n"/>
      <c r="E91" s="145" t="n"/>
      <c r="F91" s="145" t="n"/>
      <c r="G91" s="145" t="n"/>
      <c r="H91" s="145" t="n"/>
      <c r="I91" s="145" t="n"/>
      <c r="J91" s="145" t="n"/>
      <c r="K91" s="145" t="n"/>
      <c r="L91" s="145" t="n"/>
      <c r="M91" s="145" t="n"/>
      <c r="N91" s="145" t="n"/>
      <c r="O91" s="145" t="n"/>
      <c r="P91" s="145" t="n"/>
      <c r="Q91" s="1" t="n"/>
      <c r="R91" s="1" t="n"/>
      <c r="S91" s="1" t="n"/>
      <c r="T91" s="1" t="n"/>
      <c r="U91" s="1" t="n"/>
      <c r="V91" s="1" t="n"/>
      <c r="W91" s="1" t="n"/>
      <c r="X91" s="1" t="n"/>
      <c r="Y91" s="1" t="n"/>
      <c r="Z91" s="1" t="n"/>
    </row>
    <row r="92" ht="15.75" customHeight="1" s="311">
      <c r="A92" s="145" t="n"/>
      <c r="B92" s="145" t="n"/>
      <c r="C92" s="145" t="n"/>
      <c r="D92" s="145" t="n"/>
      <c r="E92" s="145" t="n"/>
      <c r="F92" s="145" t="n"/>
      <c r="G92" s="145" t="n"/>
      <c r="H92" s="145" t="n"/>
      <c r="I92" s="145" t="n"/>
      <c r="J92" s="145" t="n"/>
      <c r="K92" s="145" t="n"/>
      <c r="L92" s="145" t="n"/>
      <c r="M92" s="145" t="n"/>
      <c r="N92" s="145" t="n"/>
      <c r="O92" s="145" t="n"/>
      <c r="P92" s="145" t="n"/>
      <c r="Q92" s="1" t="n"/>
      <c r="R92" s="1" t="n"/>
      <c r="S92" s="1" t="n"/>
      <c r="T92" s="1" t="n"/>
      <c r="U92" s="1" t="n"/>
      <c r="V92" s="1" t="n"/>
      <c r="W92" s="1" t="n"/>
      <c r="X92" s="1" t="n"/>
      <c r="Y92" s="1" t="n"/>
      <c r="Z92" s="1" t="n"/>
    </row>
    <row r="93" ht="15.75" customHeight="1" s="311">
      <c r="A93" s="145" t="n"/>
      <c r="B93" s="145" t="n"/>
      <c r="C93" s="145" t="n"/>
      <c r="D93" s="145" t="n"/>
      <c r="E93" s="145" t="n"/>
      <c r="F93" s="145" t="n"/>
      <c r="G93" s="145" t="n"/>
      <c r="H93" s="145" t="n"/>
      <c r="I93" s="145" t="n"/>
      <c r="J93" s="145" t="n"/>
      <c r="K93" s="145" t="n"/>
      <c r="L93" s="145" t="n"/>
      <c r="M93" s="145" t="n"/>
      <c r="N93" s="145" t="n"/>
      <c r="O93" s="145" t="n"/>
      <c r="P93" s="145" t="n"/>
      <c r="Q93" s="1" t="n"/>
      <c r="R93" s="1" t="n"/>
      <c r="S93" s="1" t="n"/>
      <c r="T93" s="1" t="n"/>
      <c r="U93" s="1" t="n"/>
      <c r="V93" s="1" t="n"/>
      <c r="W93" s="1" t="n"/>
      <c r="X93" s="1" t="n"/>
      <c r="Y93" s="1" t="n"/>
      <c r="Z93" s="1" t="n"/>
    </row>
    <row r="94" ht="15.75" customHeight="1" s="311">
      <c r="A94" s="145" t="n"/>
      <c r="B94" s="145" t="n"/>
      <c r="C94" s="145" t="n"/>
      <c r="D94" s="145" t="n"/>
      <c r="E94" s="145" t="n"/>
      <c r="F94" s="145" t="n"/>
      <c r="G94" s="145" t="n"/>
      <c r="H94" s="145" t="n"/>
      <c r="I94" s="145" t="n"/>
      <c r="J94" s="145" t="n"/>
      <c r="K94" s="145" t="n"/>
      <c r="L94" s="145" t="n"/>
      <c r="M94" s="145" t="n"/>
      <c r="N94" s="145" t="n"/>
      <c r="O94" s="145" t="n"/>
      <c r="P94" s="145" t="n"/>
      <c r="Q94" s="1" t="n"/>
      <c r="R94" s="1" t="n"/>
      <c r="S94" s="1" t="n"/>
      <c r="T94" s="1" t="n"/>
      <c r="U94" s="1" t="n"/>
      <c r="V94" s="1" t="n"/>
      <c r="W94" s="1" t="n"/>
      <c r="X94" s="1" t="n"/>
      <c r="Y94" s="1" t="n"/>
      <c r="Z94" s="1" t="n"/>
    </row>
    <row r="95" ht="15.75" customHeight="1" s="311">
      <c r="A95" s="145" t="n"/>
      <c r="B95" s="145" t="n"/>
      <c r="C95" s="145" t="n"/>
      <c r="D95" s="145" t="n"/>
      <c r="E95" s="145" t="n"/>
      <c r="F95" s="145" t="n"/>
      <c r="G95" s="145" t="n"/>
      <c r="H95" s="145" t="n"/>
      <c r="I95" s="145" t="n"/>
      <c r="J95" s="145" t="n"/>
      <c r="K95" s="145" t="n"/>
      <c r="L95" s="145" t="n"/>
      <c r="M95" s="145" t="n"/>
      <c r="N95" s="145" t="n"/>
      <c r="O95" s="145" t="n"/>
      <c r="P95" s="145" t="n"/>
      <c r="Q95" s="1" t="n"/>
      <c r="R95" s="1" t="n"/>
      <c r="S95" s="1" t="n"/>
      <c r="T95" s="1" t="n"/>
      <c r="U95" s="1" t="n"/>
      <c r="V95" s="1" t="n"/>
      <c r="W95" s="1" t="n"/>
      <c r="X95" s="1" t="n"/>
      <c r="Y95" s="1" t="n"/>
      <c r="Z95" s="1" t="n"/>
    </row>
    <row r="96" ht="15.75" customHeight="1" s="311">
      <c r="A96" s="145" t="n"/>
      <c r="B96" s="145" t="n"/>
      <c r="C96" s="145" t="n"/>
      <c r="D96" s="145" t="n"/>
      <c r="E96" s="145" t="n"/>
      <c r="F96" s="145" t="n"/>
      <c r="G96" s="145" t="n"/>
      <c r="H96" s="145" t="n"/>
      <c r="I96" s="145" t="n"/>
      <c r="J96" s="145" t="n"/>
      <c r="K96" s="145" t="n"/>
      <c r="L96" s="145" t="n"/>
      <c r="M96" s="145" t="n"/>
      <c r="N96" s="145" t="n"/>
      <c r="O96" s="145" t="n"/>
      <c r="P96" s="145" t="n"/>
      <c r="Q96" s="1" t="n"/>
      <c r="R96" s="1" t="n"/>
      <c r="S96" s="1" t="n"/>
      <c r="T96" s="1" t="n"/>
      <c r="U96" s="1" t="n"/>
      <c r="V96" s="1" t="n"/>
      <c r="W96" s="1" t="n"/>
      <c r="X96" s="1" t="n"/>
      <c r="Y96" s="1" t="n"/>
      <c r="Z96" s="1" t="n"/>
    </row>
    <row r="97" ht="15.75" customHeight="1" s="311">
      <c r="A97" s="145" t="n"/>
      <c r="B97" s="145" t="n"/>
      <c r="C97" s="145" t="n"/>
      <c r="D97" s="145" t="n"/>
      <c r="E97" s="145" t="n"/>
      <c r="F97" s="145" t="n"/>
      <c r="G97" s="145" t="n"/>
      <c r="H97" s="145" t="n"/>
      <c r="I97" s="145" t="n"/>
      <c r="J97" s="145" t="n"/>
      <c r="K97" s="145" t="n"/>
      <c r="L97" s="145" t="n"/>
      <c r="M97" s="145" t="n"/>
      <c r="N97" s="145" t="n"/>
      <c r="O97" s="145" t="n"/>
      <c r="P97" s="145" t="n"/>
      <c r="Q97" s="1" t="n"/>
      <c r="R97" s="1" t="n"/>
      <c r="S97" s="1" t="n"/>
      <c r="T97" s="1" t="n"/>
      <c r="U97" s="1" t="n"/>
      <c r="V97" s="1" t="n"/>
      <c r="W97" s="1" t="n"/>
      <c r="X97" s="1" t="n"/>
      <c r="Y97" s="1" t="n"/>
      <c r="Z97" s="1" t="n"/>
    </row>
    <row r="98" ht="15.75" customHeight="1" s="311">
      <c r="A98" s="145" t="n"/>
      <c r="B98" s="145" t="n"/>
      <c r="C98" s="145" t="n"/>
      <c r="D98" s="145" t="n"/>
      <c r="E98" s="145" t="n"/>
      <c r="F98" s="145" t="n"/>
      <c r="G98" s="145" t="n"/>
      <c r="H98" s="145" t="n"/>
      <c r="I98" s="145" t="n"/>
      <c r="J98" s="145" t="n"/>
      <c r="K98" s="145" t="n"/>
      <c r="L98" s="145" t="n"/>
      <c r="M98" s="145" t="n"/>
      <c r="N98" s="145" t="n"/>
      <c r="O98" s="145" t="n"/>
      <c r="P98" s="145" t="n"/>
      <c r="Q98" s="1" t="n"/>
      <c r="R98" s="1" t="n"/>
      <c r="S98" s="1" t="n"/>
      <c r="T98" s="1" t="n"/>
      <c r="U98" s="1" t="n"/>
      <c r="V98" s="1" t="n"/>
      <c r="W98" s="1" t="n"/>
      <c r="X98" s="1" t="n"/>
      <c r="Y98" s="1" t="n"/>
      <c r="Z98" s="1" t="n"/>
    </row>
    <row r="99" ht="15.75" customHeight="1" s="311">
      <c r="A99" s="145" t="n"/>
      <c r="B99" s="145" t="n"/>
      <c r="C99" s="145" t="n"/>
      <c r="D99" s="145" t="n"/>
      <c r="E99" s="145" t="n"/>
      <c r="F99" s="145" t="n"/>
      <c r="G99" s="145" t="n"/>
      <c r="H99" s="145" t="n"/>
      <c r="I99" s="145" t="n"/>
      <c r="J99" s="145" t="n"/>
      <c r="K99" s="145" t="n"/>
      <c r="L99" s="145" t="n"/>
      <c r="M99" s="145" t="n"/>
      <c r="N99" s="145" t="n"/>
      <c r="O99" s="145" t="n"/>
      <c r="P99" s="145" t="n"/>
      <c r="Q99" s="1" t="n"/>
      <c r="R99" s="1" t="n"/>
      <c r="S99" s="1" t="n"/>
      <c r="T99" s="1" t="n"/>
      <c r="U99" s="1" t="n"/>
      <c r="V99" s="1" t="n"/>
      <c r="W99" s="1" t="n"/>
      <c r="X99" s="1" t="n"/>
      <c r="Y99" s="1" t="n"/>
      <c r="Z99" s="1" t="n"/>
    </row>
    <row r="100" ht="15.75" customHeight="1" s="311">
      <c r="A100" s="145" t="n"/>
      <c r="B100" s="145" t="n"/>
      <c r="C100" s="145" t="n"/>
      <c r="D100" s="145" t="n"/>
      <c r="E100" s="145" t="n"/>
      <c r="F100" s="145" t="n"/>
      <c r="G100" s="145" t="n"/>
      <c r="H100" s="145" t="n"/>
      <c r="I100" s="145" t="n"/>
      <c r="J100" s="145" t="n"/>
      <c r="K100" s="145" t="n"/>
      <c r="L100" s="145" t="n"/>
      <c r="M100" s="145" t="n"/>
      <c r="N100" s="145" t="n"/>
      <c r="O100" s="145" t="n"/>
      <c r="P100" s="145" t="n"/>
      <c r="Q100" s="1" t="n"/>
      <c r="R100" s="1" t="n"/>
      <c r="S100" s="1" t="n"/>
      <c r="T100" s="1" t="n"/>
      <c r="U100" s="1" t="n"/>
      <c r="V100" s="1" t="n"/>
      <c r="W100" s="1" t="n"/>
      <c r="X100" s="1" t="n"/>
      <c r="Y100" s="1" t="n"/>
      <c r="Z100" s="1" t="n"/>
    </row>
    <row r="101" ht="15.75" customHeight="1" s="311">
      <c r="A101" s="145" t="n"/>
      <c r="B101" s="145" t="n"/>
      <c r="C101" s="145" t="n"/>
      <c r="D101" s="145" t="n"/>
      <c r="E101" s="145" t="n"/>
      <c r="F101" s="145" t="n"/>
      <c r="G101" s="145" t="n"/>
      <c r="H101" s="145" t="n"/>
      <c r="I101" s="145" t="n"/>
      <c r="J101" s="145" t="n"/>
      <c r="K101" s="145" t="n"/>
      <c r="L101" s="145" t="n"/>
      <c r="M101" s="145" t="n"/>
      <c r="N101" s="145" t="n"/>
      <c r="O101" s="145" t="n"/>
      <c r="P101" s="145" t="n"/>
      <c r="Q101" s="1" t="n"/>
      <c r="R101" s="1" t="n"/>
      <c r="S101" s="1" t="n"/>
      <c r="T101" s="1" t="n"/>
      <c r="U101" s="1" t="n"/>
      <c r="V101" s="1" t="n"/>
      <c r="W101" s="1" t="n"/>
      <c r="X101" s="1" t="n"/>
      <c r="Y101" s="1" t="n"/>
      <c r="Z101" s="1" t="n"/>
    </row>
    <row r="102" ht="15.75" customHeight="1" s="311">
      <c r="A102" s="145" t="n"/>
      <c r="B102" s="145" t="n"/>
      <c r="C102" s="145" t="n"/>
      <c r="D102" s="145" t="n"/>
      <c r="E102" s="145" t="n"/>
      <c r="F102" s="145" t="n"/>
      <c r="G102" s="145" t="n"/>
      <c r="H102" s="145" t="n"/>
      <c r="I102" s="145" t="n"/>
      <c r="J102" s="145" t="n"/>
      <c r="K102" s="145" t="n"/>
      <c r="L102" s="145" t="n"/>
      <c r="M102" s="145" t="n"/>
      <c r="N102" s="145" t="n"/>
      <c r="O102" s="145" t="n"/>
      <c r="P102" s="145" t="n"/>
      <c r="Q102" s="1" t="n"/>
      <c r="R102" s="1" t="n"/>
      <c r="S102" s="1" t="n"/>
      <c r="T102" s="1" t="n"/>
      <c r="U102" s="1" t="n"/>
      <c r="V102" s="1" t="n"/>
      <c r="W102" s="1" t="n"/>
      <c r="X102" s="1" t="n"/>
      <c r="Y102" s="1" t="n"/>
      <c r="Z102" s="1" t="n"/>
    </row>
    <row r="103" ht="15.75" customHeight="1" s="311">
      <c r="A103" s="145" t="n"/>
      <c r="B103" s="145" t="n"/>
      <c r="C103" s="145" t="n"/>
      <c r="D103" s="145" t="n"/>
      <c r="E103" s="145" t="n"/>
      <c r="F103" s="145" t="n"/>
      <c r="G103" s="145" t="n"/>
      <c r="H103" s="145" t="n"/>
      <c r="I103" s="145" t="n"/>
      <c r="J103" s="145" t="n"/>
      <c r="K103" s="145" t="n"/>
      <c r="L103" s="145" t="n"/>
      <c r="M103" s="145" t="n"/>
      <c r="N103" s="145" t="n"/>
      <c r="O103" s="145" t="n"/>
      <c r="P103" s="145" t="n"/>
      <c r="Q103" s="1" t="n"/>
      <c r="R103" s="1" t="n"/>
      <c r="S103" s="1" t="n"/>
      <c r="T103" s="1" t="n"/>
      <c r="U103" s="1" t="n"/>
      <c r="V103" s="1" t="n"/>
      <c r="W103" s="1" t="n"/>
      <c r="X103" s="1" t="n"/>
      <c r="Y103" s="1" t="n"/>
      <c r="Z103" s="1" t="n"/>
    </row>
    <row r="104" ht="15.75" customHeight="1" s="311">
      <c r="A104" s="145" t="n"/>
      <c r="B104" s="145" t="n"/>
      <c r="C104" s="145" t="n"/>
      <c r="D104" s="145" t="n"/>
      <c r="E104" s="145" t="n"/>
      <c r="F104" s="145" t="n"/>
      <c r="G104" s="145" t="n"/>
      <c r="H104" s="145" t="n"/>
      <c r="I104" s="145" t="n"/>
      <c r="J104" s="145" t="n"/>
      <c r="K104" s="145" t="n"/>
      <c r="L104" s="145" t="n"/>
      <c r="M104" s="145" t="n"/>
      <c r="N104" s="145" t="n"/>
      <c r="O104" s="145" t="n"/>
      <c r="P104" s="145" t="n"/>
      <c r="Q104" s="1" t="n"/>
      <c r="R104" s="1" t="n"/>
      <c r="S104" s="1" t="n"/>
      <c r="T104" s="1" t="n"/>
      <c r="U104" s="1" t="n"/>
      <c r="V104" s="1" t="n"/>
      <c r="W104" s="1" t="n"/>
      <c r="X104" s="1" t="n"/>
      <c r="Y104" s="1" t="n"/>
      <c r="Z104" s="1" t="n"/>
    </row>
    <row r="105" ht="15.75" customHeight="1" s="311">
      <c r="A105" s="145" t="n"/>
      <c r="B105" s="145" t="n"/>
      <c r="C105" s="145" t="n"/>
      <c r="D105" s="145" t="n"/>
      <c r="E105" s="145" t="n"/>
      <c r="F105" s="145" t="n"/>
      <c r="G105" s="145" t="n"/>
      <c r="H105" s="145" t="n"/>
      <c r="I105" s="145" t="n"/>
      <c r="J105" s="145" t="n"/>
      <c r="K105" s="145" t="n"/>
      <c r="L105" s="145" t="n"/>
      <c r="M105" s="145" t="n"/>
      <c r="N105" s="145" t="n"/>
      <c r="O105" s="145" t="n"/>
      <c r="P105" s="145" t="n"/>
      <c r="Q105" s="1" t="n"/>
      <c r="R105" s="1" t="n"/>
      <c r="S105" s="1" t="n"/>
      <c r="T105" s="1" t="n"/>
      <c r="U105" s="1" t="n"/>
      <c r="V105" s="1" t="n"/>
      <c r="W105" s="1" t="n"/>
      <c r="X105" s="1" t="n"/>
      <c r="Y105" s="1" t="n"/>
      <c r="Z105" s="1" t="n"/>
    </row>
    <row r="106" ht="15.75" customHeight="1" s="311">
      <c r="A106" s="145" t="n"/>
      <c r="B106" s="145" t="n"/>
      <c r="C106" s="145" t="n"/>
      <c r="D106" s="145" t="n"/>
      <c r="E106" s="145" t="n"/>
      <c r="F106" s="145" t="n"/>
      <c r="G106" s="145" t="n"/>
      <c r="H106" s="145" t="n"/>
      <c r="I106" s="145" t="n"/>
      <c r="J106" s="145" t="n"/>
      <c r="K106" s="145" t="n"/>
      <c r="L106" s="145" t="n"/>
      <c r="M106" s="145" t="n"/>
      <c r="N106" s="145" t="n"/>
      <c r="O106" s="145" t="n"/>
      <c r="P106" s="145" t="n"/>
      <c r="Q106" s="1" t="n"/>
      <c r="R106" s="1" t="n"/>
      <c r="S106" s="1" t="n"/>
      <c r="T106" s="1" t="n"/>
      <c r="U106" s="1" t="n"/>
      <c r="V106" s="1" t="n"/>
      <c r="W106" s="1" t="n"/>
      <c r="X106" s="1" t="n"/>
      <c r="Y106" s="1" t="n"/>
      <c r="Z106" s="1" t="n"/>
    </row>
    <row r="107" ht="15.75" customHeight="1" s="311">
      <c r="A107" s="145" t="n"/>
      <c r="B107" s="145" t="n"/>
      <c r="C107" s="145" t="n"/>
      <c r="D107" s="145" t="n"/>
      <c r="E107" s="145" t="n"/>
      <c r="F107" s="145" t="n"/>
      <c r="G107" s="145" t="n"/>
      <c r="H107" s="145" t="n"/>
      <c r="I107" s="145" t="n"/>
      <c r="J107" s="145" t="n"/>
      <c r="K107" s="145" t="n"/>
      <c r="L107" s="145" t="n"/>
      <c r="M107" s="145" t="n"/>
      <c r="N107" s="145" t="n"/>
      <c r="O107" s="145" t="n"/>
      <c r="P107" s="145" t="n"/>
      <c r="Q107" s="1" t="n"/>
      <c r="R107" s="1" t="n"/>
      <c r="S107" s="1" t="n"/>
      <c r="T107" s="1" t="n"/>
      <c r="U107" s="1" t="n"/>
      <c r="V107" s="1" t="n"/>
      <c r="W107" s="1" t="n"/>
      <c r="X107" s="1" t="n"/>
      <c r="Y107" s="1" t="n"/>
      <c r="Z107" s="1" t="n"/>
    </row>
    <row r="108" ht="15.75" customHeight="1" s="311">
      <c r="A108" s="145" t="n"/>
      <c r="B108" s="145" t="n"/>
      <c r="C108" s="145" t="n"/>
      <c r="D108" s="145" t="n"/>
      <c r="E108" s="145" t="n"/>
      <c r="F108" s="145" t="n"/>
      <c r="G108" s="145" t="n"/>
      <c r="H108" s="145" t="n"/>
      <c r="I108" s="145" t="n"/>
      <c r="J108" s="145" t="n"/>
      <c r="K108" s="145" t="n"/>
      <c r="L108" s="145" t="n"/>
      <c r="M108" s="145" t="n"/>
      <c r="N108" s="145" t="n"/>
      <c r="O108" s="145" t="n"/>
      <c r="P108" s="145" t="n"/>
      <c r="Q108" s="1" t="n"/>
      <c r="R108" s="1" t="n"/>
      <c r="S108" s="1" t="n"/>
      <c r="T108" s="1" t="n"/>
      <c r="U108" s="1" t="n"/>
      <c r="V108" s="1" t="n"/>
      <c r="W108" s="1" t="n"/>
      <c r="X108" s="1" t="n"/>
      <c r="Y108" s="1" t="n"/>
      <c r="Z108" s="1" t="n"/>
    </row>
    <row r="109" ht="15.75" customHeight="1" s="311">
      <c r="A109" s="145" t="n"/>
      <c r="B109" s="145" t="n"/>
      <c r="C109" s="145" t="n"/>
      <c r="D109" s="145" t="n"/>
      <c r="E109" s="145" t="n"/>
      <c r="F109" s="145" t="n"/>
      <c r="G109" s="145" t="n"/>
      <c r="H109" s="145" t="n"/>
      <c r="I109" s="145" t="n"/>
      <c r="J109" s="145" t="n"/>
      <c r="K109" s="145" t="n"/>
      <c r="L109" s="145" t="n"/>
      <c r="M109" s="145" t="n"/>
      <c r="N109" s="145" t="n"/>
      <c r="O109" s="145" t="n"/>
      <c r="P109" s="145" t="n"/>
      <c r="Q109" s="1" t="n"/>
      <c r="R109" s="1" t="n"/>
      <c r="S109" s="1" t="n"/>
      <c r="T109" s="1" t="n"/>
      <c r="U109" s="1" t="n"/>
      <c r="V109" s="1" t="n"/>
      <c r="W109" s="1" t="n"/>
      <c r="X109" s="1" t="n"/>
      <c r="Y109" s="1" t="n"/>
      <c r="Z109" s="1" t="n"/>
    </row>
    <row r="110" ht="15.75" customHeight="1" s="311">
      <c r="A110" s="145" t="n"/>
      <c r="B110" s="145" t="n"/>
      <c r="C110" s="145" t="n"/>
      <c r="D110" s="145" t="n"/>
      <c r="E110" s="145" t="n"/>
      <c r="F110" s="145" t="n"/>
      <c r="G110" s="145" t="n"/>
      <c r="H110" s="145" t="n"/>
      <c r="I110" s="145" t="n"/>
      <c r="J110" s="145" t="n"/>
      <c r="K110" s="145" t="n"/>
      <c r="L110" s="145" t="n"/>
      <c r="M110" s="145" t="n"/>
      <c r="N110" s="145" t="n"/>
      <c r="O110" s="145" t="n"/>
      <c r="P110" s="145" t="n"/>
      <c r="Q110" s="1" t="n"/>
      <c r="R110" s="1" t="n"/>
      <c r="S110" s="1" t="n"/>
      <c r="T110" s="1" t="n"/>
      <c r="U110" s="1" t="n"/>
      <c r="V110" s="1" t="n"/>
      <c r="W110" s="1" t="n"/>
      <c r="X110" s="1" t="n"/>
      <c r="Y110" s="1" t="n"/>
      <c r="Z110" s="1" t="n"/>
    </row>
    <row r="111" ht="15.75" customHeight="1" s="311">
      <c r="A111" s="145" t="n"/>
      <c r="B111" s="145" t="n"/>
      <c r="C111" s="145" t="n"/>
      <c r="D111" s="145" t="n"/>
      <c r="E111" s="145" t="n"/>
      <c r="F111" s="145" t="n"/>
      <c r="G111" s="145" t="n"/>
      <c r="H111" s="145" t="n"/>
      <c r="I111" s="145" t="n"/>
      <c r="J111" s="145" t="n"/>
      <c r="K111" s="145" t="n"/>
      <c r="L111" s="145" t="n"/>
      <c r="M111" s="145" t="n"/>
      <c r="N111" s="145" t="n"/>
      <c r="O111" s="145" t="n"/>
      <c r="P111" s="145" t="n"/>
      <c r="Q111" s="1" t="n"/>
      <c r="R111" s="1" t="n"/>
      <c r="S111" s="1" t="n"/>
      <c r="T111" s="1" t="n"/>
      <c r="U111" s="1" t="n"/>
      <c r="V111" s="1" t="n"/>
      <c r="W111" s="1" t="n"/>
      <c r="X111" s="1" t="n"/>
      <c r="Y111" s="1" t="n"/>
      <c r="Z111" s="1" t="n"/>
    </row>
    <row r="112" ht="15.75" customHeight="1" s="311">
      <c r="A112" s="145" t="n"/>
      <c r="B112" s="145" t="n"/>
      <c r="C112" s="145" t="n"/>
      <c r="D112" s="145" t="n"/>
      <c r="E112" s="145" t="n"/>
      <c r="F112" s="145" t="n"/>
      <c r="G112" s="145" t="n"/>
      <c r="H112" s="145" t="n"/>
      <c r="I112" s="145" t="n"/>
      <c r="J112" s="145" t="n"/>
      <c r="K112" s="145" t="n"/>
      <c r="L112" s="145" t="n"/>
      <c r="M112" s="145" t="n"/>
      <c r="N112" s="145" t="n"/>
      <c r="O112" s="145" t="n"/>
      <c r="P112" s="145" t="n"/>
      <c r="Q112" s="1" t="n"/>
      <c r="R112" s="1" t="n"/>
      <c r="S112" s="1" t="n"/>
      <c r="T112" s="1" t="n"/>
      <c r="U112" s="1" t="n"/>
      <c r="V112" s="1" t="n"/>
      <c r="W112" s="1" t="n"/>
      <c r="X112" s="1" t="n"/>
      <c r="Y112" s="1" t="n"/>
      <c r="Z112" s="1" t="n"/>
    </row>
    <row r="113" ht="15.75" customHeight="1" s="311">
      <c r="A113" s="145" t="n"/>
      <c r="B113" s="145" t="n"/>
      <c r="C113" s="145" t="n"/>
      <c r="D113" s="145" t="n"/>
      <c r="E113" s="145" t="n"/>
      <c r="F113" s="145" t="n"/>
      <c r="G113" s="145" t="n"/>
      <c r="H113" s="145" t="n"/>
      <c r="I113" s="145" t="n"/>
      <c r="J113" s="145" t="n"/>
      <c r="K113" s="145" t="n"/>
      <c r="L113" s="145" t="n"/>
      <c r="M113" s="145" t="n"/>
      <c r="N113" s="145" t="n"/>
      <c r="O113" s="145" t="n"/>
      <c r="P113" s="145" t="n"/>
      <c r="Q113" s="1" t="n"/>
      <c r="R113" s="1" t="n"/>
      <c r="S113" s="1" t="n"/>
      <c r="T113" s="1" t="n"/>
      <c r="U113" s="1" t="n"/>
      <c r="V113" s="1" t="n"/>
      <c r="W113" s="1" t="n"/>
      <c r="X113" s="1" t="n"/>
      <c r="Y113" s="1" t="n"/>
      <c r="Z113" s="1" t="n"/>
    </row>
    <row r="114" ht="15.75" customHeight="1" s="311">
      <c r="A114" s="145" t="n"/>
      <c r="B114" s="145" t="n"/>
      <c r="C114" s="145" t="n"/>
      <c r="D114" s="145" t="n"/>
      <c r="E114" s="145" t="n"/>
      <c r="F114" s="145" t="n"/>
      <c r="G114" s="145" t="n"/>
      <c r="H114" s="145" t="n"/>
      <c r="I114" s="145" t="n"/>
      <c r="J114" s="145" t="n"/>
      <c r="K114" s="145" t="n"/>
      <c r="L114" s="145" t="n"/>
      <c r="M114" s="145" t="n"/>
      <c r="N114" s="145" t="n"/>
      <c r="O114" s="145" t="n"/>
      <c r="P114" s="145" t="n"/>
      <c r="Q114" s="1" t="n"/>
      <c r="R114" s="1" t="n"/>
      <c r="S114" s="1" t="n"/>
      <c r="T114" s="1" t="n"/>
      <c r="U114" s="1" t="n"/>
      <c r="V114" s="1" t="n"/>
      <c r="W114" s="1" t="n"/>
      <c r="X114" s="1" t="n"/>
      <c r="Y114" s="1" t="n"/>
      <c r="Z114" s="1" t="n"/>
    </row>
    <row r="115" ht="15.75" customHeight="1" s="311">
      <c r="A115" s="145" t="n"/>
      <c r="B115" s="145" t="n"/>
      <c r="C115" s="145" t="n"/>
      <c r="D115" s="145" t="n"/>
      <c r="E115" s="145" t="n"/>
      <c r="F115" s="145" t="n"/>
      <c r="G115" s="145" t="n"/>
      <c r="H115" s="145" t="n"/>
      <c r="I115" s="145" t="n"/>
      <c r="J115" s="145" t="n"/>
      <c r="K115" s="145" t="n"/>
      <c r="L115" s="145" t="n"/>
      <c r="M115" s="145" t="n"/>
      <c r="N115" s="145" t="n"/>
      <c r="O115" s="145" t="n"/>
      <c r="P115" s="145" t="n"/>
      <c r="Q115" s="1" t="n"/>
      <c r="R115" s="1" t="n"/>
      <c r="S115" s="1" t="n"/>
      <c r="T115" s="1" t="n"/>
      <c r="U115" s="1" t="n"/>
      <c r="V115" s="1" t="n"/>
      <c r="W115" s="1" t="n"/>
      <c r="X115" s="1" t="n"/>
      <c r="Y115" s="1" t="n"/>
      <c r="Z115" s="1" t="n"/>
    </row>
    <row r="116" ht="15.75" customHeight="1" s="311">
      <c r="A116" s="145" t="n"/>
      <c r="B116" s="145" t="n"/>
      <c r="C116" s="145" t="n"/>
      <c r="D116" s="145" t="n"/>
      <c r="E116" s="145" t="n"/>
      <c r="F116" s="145" t="n"/>
      <c r="G116" s="145" t="n"/>
      <c r="H116" s="145" t="n"/>
      <c r="I116" s="145" t="n"/>
      <c r="J116" s="145" t="n"/>
      <c r="K116" s="145" t="n"/>
      <c r="L116" s="145" t="n"/>
      <c r="M116" s="145" t="n"/>
      <c r="N116" s="145" t="n"/>
      <c r="O116" s="145" t="n"/>
      <c r="P116" s="145" t="n"/>
      <c r="Q116" s="1" t="n"/>
      <c r="R116" s="1" t="n"/>
      <c r="S116" s="1" t="n"/>
      <c r="T116" s="1" t="n"/>
      <c r="U116" s="1" t="n"/>
      <c r="V116" s="1" t="n"/>
      <c r="W116" s="1" t="n"/>
      <c r="X116" s="1" t="n"/>
      <c r="Y116" s="1" t="n"/>
      <c r="Z116" s="1" t="n"/>
    </row>
    <row r="117" ht="15.75" customHeight="1" s="311">
      <c r="A117" s="145" t="n"/>
      <c r="B117" s="145" t="n"/>
      <c r="C117" s="145" t="n"/>
      <c r="D117" s="145" t="n"/>
      <c r="E117" s="145" t="n"/>
      <c r="F117" s="145" t="n"/>
      <c r="G117" s="145" t="n"/>
      <c r="H117" s="145" t="n"/>
      <c r="I117" s="145" t="n"/>
      <c r="J117" s="145" t="n"/>
      <c r="K117" s="145" t="n"/>
      <c r="L117" s="145" t="n"/>
      <c r="M117" s="145" t="n"/>
      <c r="N117" s="145" t="n"/>
      <c r="O117" s="145" t="n"/>
      <c r="P117" s="145" t="n"/>
      <c r="Q117" s="1" t="n"/>
      <c r="R117" s="1" t="n"/>
      <c r="S117" s="1" t="n"/>
      <c r="T117" s="1" t="n"/>
      <c r="U117" s="1" t="n"/>
      <c r="V117" s="1" t="n"/>
      <c r="W117" s="1" t="n"/>
      <c r="X117" s="1" t="n"/>
      <c r="Y117" s="1" t="n"/>
      <c r="Z117" s="1" t="n"/>
    </row>
    <row r="118" ht="15.75" customHeight="1" s="311">
      <c r="A118" s="145" t="n"/>
      <c r="B118" s="145" t="n"/>
      <c r="C118" s="145" t="n"/>
      <c r="D118" s="145" t="n"/>
      <c r="E118" s="145" t="n"/>
      <c r="F118" s="145" t="n"/>
      <c r="G118" s="145" t="n"/>
      <c r="H118" s="145" t="n"/>
      <c r="I118" s="145" t="n"/>
      <c r="J118" s="145" t="n"/>
      <c r="K118" s="145" t="n"/>
      <c r="L118" s="145" t="n"/>
      <c r="M118" s="145" t="n"/>
      <c r="N118" s="145" t="n"/>
      <c r="O118" s="145" t="n"/>
      <c r="P118" s="145" t="n"/>
      <c r="Q118" s="1" t="n"/>
      <c r="R118" s="1" t="n"/>
      <c r="S118" s="1" t="n"/>
      <c r="T118" s="1" t="n"/>
      <c r="U118" s="1" t="n"/>
      <c r="V118" s="1" t="n"/>
      <c r="W118" s="1" t="n"/>
      <c r="X118" s="1" t="n"/>
      <c r="Y118" s="1" t="n"/>
      <c r="Z118" s="1" t="n"/>
    </row>
    <row r="119" ht="15.75" customHeight="1" s="311">
      <c r="A119" s="145" t="n"/>
      <c r="B119" s="145" t="n"/>
      <c r="C119" s="145" t="n"/>
      <c r="D119" s="145" t="n"/>
      <c r="E119" s="145" t="n"/>
      <c r="F119" s="145" t="n"/>
      <c r="G119" s="145" t="n"/>
      <c r="H119" s="145" t="n"/>
      <c r="I119" s="145" t="n"/>
      <c r="J119" s="145" t="n"/>
      <c r="K119" s="145" t="n"/>
      <c r="L119" s="145" t="n"/>
      <c r="M119" s="145" t="n"/>
      <c r="N119" s="145" t="n"/>
      <c r="O119" s="145" t="n"/>
      <c r="P119" s="145" t="n"/>
      <c r="Q119" s="1" t="n"/>
      <c r="R119" s="1" t="n"/>
      <c r="S119" s="1" t="n"/>
      <c r="T119" s="1" t="n"/>
      <c r="U119" s="1" t="n"/>
      <c r="V119" s="1" t="n"/>
      <c r="W119" s="1" t="n"/>
      <c r="X119" s="1" t="n"/>
      <c r="Y119" s="1" t="n"/>
      <c r="Z119" s="1" t="n"/>
    </row>
    <row r="120" ht="15.75" customHeight="1" s="311">
      <c r="A120" s="145" t="n"/>
      <c r="B120" s="145" t="n"/>
      <c r="C120" s="145" t="n"/>
      <c r="D120" s="145" t="n"/>
      <c r="E120" s="145" t="n"/>
      <c r="F120" s="145" t="n"/>
      <c r="G120" s="145" t="n"/>
      <c r="H120" s="145" t="n"/>
      <c r="I120" s="145" t="n"/>
      <c r="J120" s="145" t="n"/>
      <c r="K120" s="145" t="n"/>
      <c r="L120" s="145" t="n"/>
      <c r="M120" s="145" t="n"/>
      <c r="N120" s="145" t="n"/>
      <c r="O120" s="145" t="n"/>
      <c r="P120" s="145" t="n"/>
      <c r="Q120" s="1" t="n"/>
      <c r="R120" s="1" t="n"/>
      <c r="S120" s="1" t="n"/>
      <c r="T120" s="1" t="n"/>
      <c r="U120" s="1" t="n"/>
      <c r="V120" s="1" t="n"/>
      <c r="W120" s="1" t="n"/>
      <c r="X120" s="1" t="n"/>
      <c r="Y120" s="1" t="n"/>
      <c r="Z120" s="1" t="n"/>
    </row>
    <row r="121" ht="15.75" customHeight="1" s="311">
      <c r="A121" s="145" t="n"/>
      <c r="B121" s="145" t="n"/>
      <c r="C121" s="145" t="n"/>
      <c r="D121" s="145" t="n"/>
      <c r="E121" s="145" t="n"/>
      <c r="F121" s="145" t="n"/>
      <c r="G121" s="145" t="n"/>
      <c r="H121" s="145" t="n"/>
      <c r="I121" s="145" t="n"/>
      <c r="J121" s="145" t="n"/>
      <c r="K121" s="145" t="n"/>
      <c r="L121" s="145" t="n"/>
      <c r="M121" s="145" t="n"/>
      <c r="N121" s="145" t="n"/>
      <c r="O121" s="145" t="n"/>
      <c r="P121" s="145" t="n"/>
      <c r="Q121" s="1" t="n"/>
      <c r="R121" s="1" t="n"/>
      <c r="S121" s="1" t="n"/>
      <c r="T121" s="1" t="n"/>
      <c r="U121" s="1" t="n"/>
      <c r="V121" s="1" t="n"/>
      <c r="W121" s="1" t="n"/>
      <c r="X121" s="1" t="n"/>
      <c r="Y121" s="1" t="n"/>
      <c r="Z121" s="1" t="n"/>
    </row>
    <row r="122" ht="15.75" customHeight="1" s="311">
      <c r="A122" s="145" t="n"/>
      <c r="B122" s="145" t="n"/>
      <c r="C122" s="145" t="n"/>
      <c r="D122" s="145" t="n"/>
      <c r="E122" s="145" t="n"/>
      <c r="F122" s="145" t="n"/>
      <c r="G122" s="145" t="n"/>
      <c r="H122" s="145" t="n"/>
      <c r="I122" s="145" t="n"/>
      <c r="J122" s="145" t="n"/>
      <c r="K122" s="145" t="n"/>
      <c r="L122" s="145" t="n"/>
      <c r="M122" s="145" t="n"/>
      <c r="N122" s="145" t="n"/>
      <c r="O122" s="145" t="n"/>
      <c r="P122" s="145" t="n"/>
      <c r="Q122" s="1" t="n"/>
      <c r="R122" s="1" t="n"/>
      <c r="S122" s="1" t="n"/>
      <c r="T122" s="1" t="n"/>
      <c r="U122" s="1" t="n"/>
      <c r="V122" s="1" t="n"/>
      <c r="W122" s="1" t="n"/>
      <c r="X122" s="1" t="n"/>
      <c r="Y122" s="1" t="n"/>
      <c r="Z122" s="1" t="n"/>
    </row>
    <row r="123" ht="15.75" customHeight="1" s="311">
      <c r="A123" s="145" t="n"/>
      <c r="B123" s="145" t="n"/>
      <c r="C123" s="145" t="n"/>
      <c r="D123" s="145" t="n"/>
      <c r="E123" s="145" t="n"/>
      <c r="F123" s="145" t="n"/>
      <c r="G123" s="145" t="n"/>
      <c r="H123" s="145" t="n"/>
      <c r="I123" s="145" t="n"/>
      <c r="J123" s="145" t="n"/>
      <c r="K123" s="145" t="n"/>
      <c r="L123" s="145" t="n"/>
      <c r="M123" s="145" t="n"/>
      <c r="N123" s="145" t="n"/>
      <c r="O123" s="145" t="n"/>
      <c r="P123" s="145" t="n"/>
      <c r="Q123" s="1" t="n"/>
      <c r="R123" s="1" t="n"/>
      <c r="S123" s="1" t="n"/>
      <c r="T123" s="1" t="n"/>
      <c r="U123" s="1" t="n"/>
      <c r="V123" s="1" t="n"/>
      <c r="W123" s="1" t="n"/>
      <c r="X123" s="1" t="n"/>
      <c r="Y123" s="1" t="n"/>
      <c r="Z123" s="1" t="n"/>
    </row>
    <row r="124" ht="15.75" customHeight="1" s="311">
      <c r="A124" s="145" t="n"/>
      <c r="B124" s="145" t="n"/>
      <c r="C124" s="145" t="n"/>
      <c r="D124" s="145" t="n"/>
      <c r="E124" s="145" t="n"/>
      <c r="F124" s="145" t="n"/>
      <c r="G124" s="145" t="n"/>
      <c r="H124" s="145" t="n"/>
      <c r="I124" s="145" t="n"/>
      <c r="J124" s="145" t="n"/>
      <c r="K124" s="145" t="n"/>
      <c r="L124" s="145" t="n"/>
      <c r="M124" s="145" t="n"/>
      <c r="N124" s="145" t="n"/>
      <c r="O124" s="145" t="n"/>
      <c r="P124" s="145" t="n"/>
      <c r="Q124" s="1" t="n"/>
      <c r="R124" s="1" t="n"/>
      <c r="S124" s="1" t="n"/>
      <c r="T124" s="1" t="n"/>
      <c r="U124" s="1" t="n"/>
      <c r="V124" s="1" t="n"/>
      <c r="W124" s="1" t="n"/>
      <c r="X124" s="1" t="n"/>
      <c r="Y124" s="1" t="n"/>
      <c r="Z124" s="1" t="n"/>
    </row>
    <row r="125" ht="15.75" customHeight="1" s="311">
      <c r="A125" s="145" t="n"/>
      <c r="B125" s="145" t="n"/>
      <c r="C125" s="145" t="n"/>
      <c r="D125" s="145" t="n"/>
      <c r="E125" s="145" t="n"/>
      <c r="F125" s="145" t="n"/>
      <c r="G125" s="145" t="n"/>
      <c r="H125" s="145" t="n"/>
      <c r="I125" s="145" t="n"/>
      <c r="J125" s="145" t="n"/>
      <c r="K125" s="145" t="n"/>
      <c r="L125" s="145" t="n"/>
      <c r="M125" s="145" t="n"/>
      <c r="N125" s="145" t="n"/>
      <c r="O125" s="145" t="n"/>
      <c r="P125" s="145" t="n"/>
      <c r="Q125" s="1" t="n"/>
      <c r="R125" s="1" t="n"/>
      <c r="S125" s="1" t="n"/>
      <c r="T125" s="1" t="n"/>
      <c r="U125" s="1" t="n"/>
      <c r="V125" s="1" t="n"/>
      <c r="W125" s="1" t="n"/>
      <c r="X125" s="1" t="n"/>
      <c r="Y125" s="1" t="n"/>
      <c r="Z125" s="1" t="n"/>
    </row>
    <row r="126" ht="15.75" customHeight="1" s="311">
      <c r="A126" s="145" t="n"/>
      <c r="B126" s="145" t="n"/>
      <c r="C126" s="145" t="n"/>
      <c r="D126" s="145" t="n"/>
      <c r="E126" s="145" t="n"/>
      <c r="F126" s="145" t="n"/>
      <c r="G126" s="145" t="n"/>
      <c r="H126" s="145" t="n"/>
      <c r="I126" s="145" t="n"/>
      <c r="J126" s="145" t="n"/>
      <c r="K126" s="145" t="n"/>
      <c r="L126" s="145" t="n"/>
      <c r="M126" s="145" t="n"/>
      <c r="N126" s="145" t="n"/>
      <c r="O126" s="145" t="n"/>
      <c r="P126" s="145" t="n"/>
      <c r="Q126" s="1" t="n"/>
      <c r="R126" s="1" t="n"/>
      <c r="S126" s="1" t="n"/>
      <c r="T126" s="1" t="n"/>
      <c r="U126" s="1" t="n"/>
      <c r="V126" s="1" t="n"/>
      <c r="W126" s="1" t="n"/>
      <c r="X126" s="1" t="n"/>
      <c r="Y126" s="1" t="n"/>
      <c r="Z126" s="1" t="n"/>
    </row>
    <row r="127" ht="15.75" customHeight="1" s="311">
      <c r="A127" s="145" t="n"/>
      <c r="B127" s="145" t="n"/>
      <c r="C127" s="145" t="n"/>
      <c r="D127" s="145" t="n"/>
      <c r="E127" s="145" t="n"/>
      <c r="F127" s="145" t="n"/>
      <c r="G127" s="145" t="n"/>
      <c r="H127" s="145" t="n"/>
      <c r="I127" s="145" t="n"/>
      <c r="J127" s="145" t="n"/>
      <c r="K127" s="145" t="n"/>
      <c r="L127" s="145" t="n"/>
      <c r="M127" s="145" t="n"/>
      <c r="N127" s="145" t="n"/>
      <c r="O127" s="145" t="n"/>
      <c r="P127" s="145" t="n"/>
      <c r="Q127" s="1" t="n"/>
      <c r="R127" s="1" t="n"/>
      <c r="S127" s="1" t="n"/>
      <c r="T127" s="1" t="n"/>
      <c r="U127" s="1" t="n"/>
      <c r="V127" s="1" t="n"/>
      <c r="W127" s="1" t="n"/>
      <c r="X127" s="1" t="n"/>
      <c r="Y127" s="1" t="n"/>
      <c r="Z127" s="1"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 t="n"/>
      <c r="R128" s="1" t="n"/>
      <c r="S128" s="1" t="n"/>
      <c r="T128" s="1" t="n"/>
      <c r="U128" s="1" t="n"/>
      <c r="V128" s="1" t="n"/>
      <c r="W128" s="1" t="n"/>
      <c r="X128" s="1" t="n"/>
      <c r="Y128" s="1" t="n"/>
      <c r="Z128" s="1" t="n"/>
    </row>
    <row r="129" ht="15.75" customHeight="1" s="311">
      <c r="A129" s="145" t="n"/>
      <c r="B129" s="145" t="n"/>
      <c r="C129" s="145" t="n"/>
      <c r="D129" s="145" t="n"/>
      <c r="E129" s="145" t="n"/>
      <c r="F129" s="145" t="n"/>
      <c r="G129" s="145" t="n"/>
      <c r="H129" s="145" t="n"/>
      <c r="I129" s="145" t="n"/>
      <c r="J129" s="145" t="n"/>
      <c r="K129" s="145" t="n"/>
      <c r="L129" s="145" t="n"/>
      <c r="M129" s="145" t="n"/>
      <c r="N129" s="145" t="n"/>
      <c r="O129" s="145" t="n"/>
      <c r="P129" s="145" t="n"/>
      <c r="Q129" s="1" t="n"/>
      <c r="R129" s="1" t="n"/>
      <c r="S129" s="1" t="n"/>
      <c r="T129" s="1" t="n"/>
      <c r="U129" s="1" t="n"/>
      <c r="V129" s="1" t="n"/>
      <c r="W129" s="1" t="n"/>
      <c r="X129" s="1" t="n"/>
      <c r="Y129" s="1" t="n"/>
      <c r="Z129" s="1" t="n"/>
    </row>
    <row r="130" ht="15.75" customHeight="1" s="311">
      <c r="A130" s="145" t="n"/>
      <c r="B130" s="145" t="n"/>
      <c r="C130" s="145" t="n"/>
      <c r="D130" s="145" t="n"/>
      <c r="E130" s="145" t="n"/>
      <c r="F130" s="145" t="n"/>
      <c r="G130" s="145" t="n"/>
      <c r="H130" s="145" t="n"/>
      <c r="I130" s="145" t="n"/>
      <c r="J130" s="145" t="n"/>
      <c r="K130" s="145" t="n"/>
      <c r="L130" s="145" t="n"/>
      <c r="M130" s="145" t="n"/>
      <c r="N130" s="145" t="n"/>
      <c r="O130" s="145" t="n"/>
      <c r="P130" s="145" t="n"/>
      <c r="Q130" s="1" t="n"/>
      <c r="R130" s="1" t="n"/>
      <c r="S130" s="1" t="n"/>
      <c r="T130" s="1" t="n"/>
      <c r="U130" s="1" t="n"/>
      <c r="V130" s="1" t="n"/>
      <c r="W130" s="1" t="n"/>
      <c r="X130" s="1" t="n"/>
      <c r="Y130" s="1" t="n"/>
      <c r="Z130" s="1" t="n"/>
    </row>
    <row r="131" ht="15.75" customHeight="1" s="311">
      <c r="A131" s="145" t="n"/>
      <c r="B131" s="145" t="n"/>
      <c r="C131" s="145" t="n"/>
      <c r="D131" s="145" t="n"/>
      <c r="E131" s="145" t="n"/>
      <c r="F131" s="145" t="n"/>
      <c r="G131" s="145" t="n"/>
      <c r="H131" s="145" t="n"/>
      <c r="I131" s="145" t="n"/>
      <c r="J131" s="145" t="n"/>
      <c r="K131" s="145" t="n"/>
      <c r="L131" s="145" t="n"/>
      <c r="M131" s="145" t="n"/>
      <c r="N131" s="145" t="n"/>
      <c r="O131" s="145" t="n"/>
      <c r="P131" s="145" t="n"/>
      <c r="Q131" s="1" t="n"/>
      <c r="R131" s="1" t="n"/>
      <c r="S131" s="1" t="n"/>
      <c r="T131" s="1" t="n"/>
      <c r="U131" s="1" t="n"/>
      <c r="V131" s="1" t="n"/>
      <c r="W131" s="1" t="n"/>
      <c r="X131" s="1" t="n"/>
      <c r="Y131" s="1" t="n"/>
      <c r="Z131" s="1" t="n"/>
    </row>
    <row r="132" ht="15.75" customHeight="1" s="311">
      <c r="A132" s="145" t="n"/>
      <c r="B132" s="145" t="n"/>
      <c r="C132" s="145" t="n"/>
      <c r="D132" s="145" t="n"/>
      <c r="E132" s="145" t="n"/>
      <c r="F132" s="145" t="n"/>
      <c r="G132" s="145" t="n"/>
      <c r="H132" s="145" t="n"/>
      <c r="I132" s="145" t="n"/>
      <c r="J132" s="145" t="n"/>
      <c r="K132" s="145" t="n"/>
      <c r="L132" s="145" t="n"/>
      <c r="M132" s="145" t="n"/>
      <c r="N132" s="145" t="n"/>
      <c r="O132" s="145" t="n"/>
      <c r="P132" s="145" t="n"/>
      <c r="Q132" s="1" t="n"/>
      <c r="R132" s="1" t="n"/>
      <c r="S132" s="1" t="n"/>
      <c r="T132" s="1" t="n"/>
      <c r="U132" s="1" t="n"/>
      <c r="V132" s="1" t="n"/>
      <c r="W132" s="1" t="n"/>
      <c r="X132" s="1" t="n"/>
      <c r="Y132" s="1" t="n"/>
      <c r="Z132" s="1" t="n"/>
    </row>
    <row r="133" ht="15.75" customHeight="1" s="311">
      <c r="A133" s="145" t="n"/>
      <c r="B133" s="145" t="n"/>
      <c r="C133" s="145" t="n"/>
      <c r="D133" s="145" t="n"/>
      <c r="E133" s="145" t="n"/>
      <c r="F133" s="145" t="n"/>
      <c r="G133" s="145" t="n"/>
      <c r="H133" s="145" t="n"/>
      <c r="I133" s="145" t="n"/>
      <c r="J133" s="145" t="n"/>
      <c r="K133" s="145" t="n"/>
      <c r="L133" s="145" t="n"/>
      <c r="M133" s="145" t="n"/>
      <c r="N133" s="145" t="n"/>
      <c r="O133" s="145" t="n"/>
      <c r="P133" s="145" t="n"/>
      <c r="Q133" s="1" t="n"/>
      <c r="R133" s="1" t="n"/>
      <c r="S133" s="1" t="n"/>
      <c r="T133" s="1" t="n"/>
      <c r="U133" s="1" t="n"/>
      <c r="V133" s="1" t="n"/>
      <c r="W133" s="1" t="n"/>
      <c r="X133" s="1" t="n"/>
      <c r="Y133" s="1" t="n"/>
      <c r="Z133" s="1" t="n"/>
    </row>
    <row r="134" ht="15.75" customHeight="1" s="311">
      <c r="A134" s="145" t="n"/>
      <c r="B134" s="145" t="n"/>
      <c r="C134" s="145" t="n"/>
      <c r="D134" s="145" t="n"/>
      <c r="E134" s="145" t="n"/>
      <c r="F134" s="145" t="n"/>
      <c r="G134" s="145" t="n"/>
      <c r="H134" s="145" t="n"/>
      <c r="I134" s="145" t="n"/>
      <c r="J134" s="145" t="n"/>
      <c r="K134" s="145" t="n"/>
      <c r="L134" s="145" t="n"/>
      <c r="M134" s="145" t="n"/>
      <c r="N134" s="145" t="n"/>
      <c r="O134" s="145" t="n"/>
      <c r="P134" s="145" t="n"/>
      <c r="Q134" s="1" t="n"/>
      <c r="R134" s="1" t="n"/>
      <c r="S134" s="1" t="n"/>
      <c r="T134" s="1" t="n"/>
      <c r="U134" s="1" t="n"/>
      <c r="V134" s="1" t="n"/>
      <c r="W134" s="1" t="n"/>
      <c r="X134" s="1" t="n"/>
      <c r="Y134" s="1" t="n"/>
      <c r="Z134" s="1" t="n"/>
    </row>
    <row r="135" ht="15.75" customHeight="1" s="311">
      <c r="A135" s="145" t="n"/>
      <c r="B135" s="145" t="n"/>
      <c r="C135" s="145" t="n"/>
      <c r="D135" s="145" t="n"/>
      <c r="E135" s="145" t="n"/>
      <c r="F135" s="145" t="n"/>
      <c r="G135" s="145" t="n"/>
      <c r="H135" s="145" t="n"/>
      <c r="I135" s="145" t="n"/>
      <c r="J135" s="145" t="n"/>
      <c r="K135" s="145" t="n"/>
      <c r="L135" s="145" t="n"/>
      <c r="M135" s="145" t="n"/>
      <c r="N135" s="145" t="n"/>
      <c r="O135" s="145" t="n"/>
      <c r="P135" s="145" t="n"/>
      <c r="Q135" s="1" t="n"/>
      <c r="R135" s="1" t="n"/>
      <c r="S135" s="1" t="n"/>
      <c r="T135" s="1" t="n"/>
      <c r="U135" s="1" t="n"/>
      <c r="V135" s="1" t="n"/>
      <c r="W135" s="1" t="n"/>
      <c r="X135" s="1" t="n"/>
      <c r="Y135" s="1" t="n"/>
      <c r="Z135" s="1" t="n"/>
    </row>
    <row r="136" ht="15.75" customHeight="1" s="311">
      <c r="A136" s="145" t="n"/>
      <c r="B136" s="145" t="n"/>
      <c r="C136" s="145" t="n"/>
      <c r="D136" s="145" t="n"/>
      <c r="E136" s="145" t="n"/>
      <c r="F136" s="145" t="n"/>
      <c r="G136" s="145" t="n"/>
      <c r="H136" s="145" t="n"/>
      <c r="I136" s="145" t="n"/>
      <c r="J136" s="145" t="n"/>
      <c r="K136" s="145" t="n"/>
      <c r="L136" s="145" t="n"/>
      <c r="M136" s="145" t="n"/>
      <c r="N136" s="145" t="n"/>
      <c r="O136" s="145" t="n"/>
      <c r="P136" s="145" t="n"/>
      <c r="Q136" s="1" t="n"/>
      <c r="R136" s="1" t="n"/>
      <c r="S136" s="1" t="n"/>
      <c r="T136" s="1" t="n"/>
      <c r="U136" s="1" t="n"/>
      <c r="V136" s="1" t="n"/>
      <c r="W136" s="1" t="n"/>
      <c r="X136" s="1" t="n"/>
      <c r="Y136" s="1" t="n"/>
      <c r="Z136" s="1" t="n"/>
    </row>
    <row r="137" ht="15.75" customHeight="1" s="311">
      <c r="A137" s="145" t="n"/>
      <c r="B137" s="145" t="n"/>
      <c r="C137" s="145" t="n"/>
      <c r="D137" s="145" t="n"/>
      <c r="E137" s="145" t="n"/>
      <c r="F137" s="145" t="n"/>
      <c r="G137" s="145" t="n"/>
      <c r="H137" s="145" t="n"/>
      <c r="I137" s="145" t="n"/>
      <c r="J137" s="145" t="n"/>
      <c r="K137" s="145" t="n"/>
      <c r="L137" s="145" t="n"/>
      <c r="M137" s="145" t="n"/>
      <c r="N137" s="145" t="n"/>
      <c r="O137" s="145" t="n"/>
      <c r="P137" s="145" t="n"/>
      <c r="Q137" s="1" t="n"/>
      <c r="R137" s="1" t="n"/>
      <c r="S137" s="1" t="n"/>
      <c r="T137" s="1" t="n"/>
      <c r="U137" s="1" t="n"/>
      <c r="V137" s="1" t="n"/>
      <c r="W137" s="1" t="n"/>
      <c r="X137" s="1" t="n"/>
      <c r="Y137" s="1" t="n"/>
      <c r="Z137" s="1"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 t="n"/>
      <c r="R138" s="1" t="n"/>
      <c r="S138" s="1" t="n"/>
      <c r="T138" s="1" t="n"/>
      <c r="U138" s="1" t="n"/>
      <c r="V138" s="1" t="n"/>
      <c r="W138" s="1" t="n"/>
      <c r="X138" s="1" t="n"/>
      <c r="Y138" s="1" t="n"/>
      <c r="Z138" s="1" t="n"/>
    </row>
    <row r="139" ht="15.75" customHeight="1" s="311">
      <c r="A139" s="145" t="n"/>
      <c r="B139" s="145" t="n"/>
      <c r="C139" s="145" t="n"/>
      <c r="D139" s="145" t="n"/>
      <c r="E139" s="145" t="n"/>
      <c r="F139" s="145" t="n"/>
      <c r="G139" s="145" t="n"/>
      <c r="H139" s="145" t="n"/>
      <c r="I139" s="145" t="n"/>
      <c r="J139" s="145" t="n"/>
      <c r="K139" s="145" t="n"/>
      <c r="L139" s="145" t="n"/>
      <c r="M139" s="145" t="n"/>
      <c r="N139" s="145" t="n"/>
      <c r="O139" s="145" t="n"/>
      <c r="P139" s="145" t="n"/>
      <c r="Q139" s="1" t="n"/>
      <c r="R139" s="1" t="n"/>
      <c r="S139" s="1" t="n"/>
      <c r="T139" s="1" t="n"/>
      <c r="U139" s="1" t="n"/>
      <c r="V139" s="1" t="n"/>
      <c r="W139" s="1" t="n"/>
      <c r="X139" s="1" t="n"/>
      <c r="Y139" s="1" t="n"/>
      <c r="Z139" s="1" t="n"/>
    </row>
    <row r="140" ht="15.75" customHeight="1" s="311">
      <c r="A140" s="145" t="n"/>
      <c r="B140" s="145" t="n"/>
      <c r="C140" s="145" t="n"/>
      <c r="D140" s="145" t="n"/>
      <c r="E140" s="145" t="n"/>
      <c r="F140" s="145" t="n"/>
      <c r="G140" s="145" t="n"/>
      <c r="H140" s="145" t="n"/>
      <c r="I140" s="145" t="n"/>
      <c r="J140" s="145" t="n"/>
      <c r="K140" s="145" t="n"/>
      <c r="L140" s="145" t="n"/>
      <c r="M140" s="145" t="n"/>
      <c r="N140" s="145" t="n"/>
      <c r="O140" s="145" t="n"/>
      <c r="P140" s="145" t="n"/>
      <c r="Q140" s="1" t="n"/>
      <c r="R140" s="1" t="n"/>
      <c r="S140" s="1" t="n"/>
      <c r="T140" s="1" t="n"/>
      <c r="U140" s="1" t="n"/>
      <c r="V140" s="1" t="n"/>
      <c r="W140" s="1" t="n"/>
      <c r="X140" s="1" t="n"/>
      <c r="Y140" s="1" t="n"/>
      <c r="Z140" s="1" t="n"/>
    </row>
    <row r="141" ht="15.75" customHeight="1" s="311">
      <c r="A141" s="145" t="n"/>
      <c r="B141" s="145" t="n"/>
      <c r="C141" s="145" t="n"/>
      <c r="D141" s="145" t="n"/>
      <c r="E141" s="145" t="n"/>
      <c r="F141" s="145" t="n"/>
      <c r="G141" s="145" t="n"/>
      <c r="H141" s="145" t="n"/>
      <c r="I141" s="145" t="n"/>
      <c r="J141" s="145" t="n"/>
      <c r="K141" s="145" t="n"/>
      <c r="L141" s="145" t="n"/>
      <c r="M141" s="145" t="n"/>
      <c r="N141" s="145" t="n"/>
      <c r="O141" s="145" t="n"/>
      <c r="P141" s="145" t="n"/>
      <c r="Q141" s="1" t="n"/>
      <c r="R141" s="1" t="n"/>
      <c r="S141" s="1" t="n"/>
      <c r="T141" s="1" t="n"/>
      <c r="U141" s="1" t="n"/>
      <c r="V141" s="1" t="n"/>
      <c r="W141" s="1" t="n"/>
      <c r="X141" s="1" t="n"/>
      <c r="Y141" s="1" t="n"/>
      <c r="Z141" s="1" t="n"/>
    </row>
    <row r="142" ht="15.75" customHeight="1" s="311">
      <c r="A142" s="145" t="n"/>
      <c r="B142" s="145" t="n"/>
      <c r="C142" s="145" t="n"/>
      <c r="D142" s="145" t="n"/>
      <c r="E142" s="145" t="n"/>
      <c r="F142" s="145" t="n"/>
      <c r="G142" s="145" t="n"/>
      <c r="H142" s="145" t="n"/>
      <c r="I142" s="145" t="n"/>
      <c r="J142" s="145" t="n"/>
      <c r="K142" s="145" t="n"/>
      <c r="L142" s="145" t="n"/>
      <c r="M142" s="145" t="n"/>
      <c r="N142" s="145" t="n"/>
      <c r="O142" s="145" t="n"/>
      <c r="P142" s="145" t="n"/>
      <c r="Q142" s="1" t="n"/>
      <c r="R142" s="1" t="n"/>
      <c r="S142" s="1" t="n"/>
      <c r="T142" s="1" t="n"/>
      <c r="U142" s="1" t="n"/>
      <c r="V142" s="1" t="n"/>
      <c r="W142" s="1" t="n"/>
      <c r="X142" s="1" t="n"/>
      <c r="Y142" s="1" t="n"/>
      <c r="Z142" s="1" t="n"/>
    </row>
    <row r="143" ht="15.75" customHeight="1" s="311">
      <c r="A143" s="145" t="n"/>
      <c r="B143" s="145" t="n"/>
      <c r="C143" s="145" t="n"/>
      <c r="D143" s="145" t="n"/>
      <c r="E143" s="145" t="n"/>
      <c r="F143" s="145" t="n"/>
      <c r="G143" s="145" t="n"/>
      <c r="H143" s="145" t="n"/>
      <c r="I143" s="145" t="n"/>
      <c r="J143" s="145" t="n"/>
      <c r="K143" s="145" t="n"/>
      <c r="L143" s="145" t="n"/>
      <c r="M143" s="145" t="n"/>
      <c r="N143" s="145" t="n"/>
      <c r="O143" s="145" t="n"/>
      <c r="P143" s="145" t="n"/>
      <c r="Q143" s="1" t="n"/>
      <c r="R143" s="1" t="n"/>
      <c r="S143" s="1" t="n"/>
      <c r="T143" s="1" t="n"/>
      <c r="U143" s="1" t="n"/>
      <c r="V143" s="1" t="n"/>
      <c r="W143" s="1" t="n"/>
      <c r="X143" s="1" t="n"/>
      <c r="Y143" s="1" t="n"/>
      <c r="Z143" s="1" t="n"/>
    </row>
    <row r="144" ht="15.75" customHeight="1" s="311">
      <c r="A144" s="145" t="n"/>
      <c r="B144" s="145" t="n"/>
      <c r="C144" s="145" t="n"/>
      <c r="D144" s="145" t="n"/>
      <c r="E144" s="145" t="n"/>
      <c r="F144" s="145" t="n"/>
      <c r="G144" s="145" t="n"/>
      <c r="H144" s="145" t="n"/>
      <c r="I144" s="145" t="n"/>
      <c r="J144" s="145" t="n"/>
      <c r="K144" s="145" t="n"/>
      <c r="L144" s="145" t="n"/>
      <c r="M144" s="145" t="n"/>
      <c r="N144" s="145" t="n"/>
      <c r="O144" s="145" t="n"/>
      <c r="P144" s="145" t="n"/>
      <c r="Q144" s="1" t="n"/>
      <c r="R144" s="1" t="n"/>
      <c r="S144" s="1" t="n"/>
      <c r="T144" s="1" t="n"/>
      <c r="U144" s="1" t="n"/>
      <c r="V144" s="1" t="n"/>
      <c r="W144" s="1" t="n"/>
      <c r="X144" s="1" t="n"/>
      <c r="Y144" s="1" t="n"/>
      <c r="Z144" s="1" t="n"/>
    </row>
    <row r="145" ht="15.75" customHeight="1" s="311">
      <c r="A145" s="145" t="n"/>
      <c r="B145" s="145" t="n"/>
      <c r="C145" s="145" t="n"/>
      <c r="D145" s="145" t="n"/>
      <c r="E145" s="145" t="n"/>
      <c r="F145" s="145" t="n"/>
      <c r="G145" s="145" t="n"/>
      <c r="H145" s="145" t="n"/>
      <c r="I145" s="145" t="n"/>
      <c r="J145" s="145" t="n"/>
      <c r="K145" s="145" t="n"/>
      <c r="L145" s="145" t="n"/>
      <c r="M145" s="145" t="n"/>
      <c r="N145" s="145" t="n"/>
      <c r="O145" s="145" t="n"/>
      <c r="P145" s="145" t="n"/>
      <c r="Q145" s="1" t="n"/>
      <c r="R145" s="1" t="n"/>
      <c r="S145" s="1" t="n"/>
      <c r="T145" s="1" t="n"/>
      <c r="U145" s="1" t="n"/>
      <c r="V145" s="1" t="n"/>
      <c r="W145" s="1" t="n"/>
      <c r="X145" s="1" t="n"/>
      <c r="Y145" s="1" t="n"/>
      <c r="Z145" s="1" t="n"/>
    </row>
    <row r="146" ht="15.75" customHeight="1" s="311">
      <c r="A146" s="145" t="n"/>
      <c r="B146" s="145" t="n"/>
      <c r="C146" s="145" t="n"/>
      <c r="D146" s="145" t="n"/>
      <c r="E146" s="145" t="n"/>
      <c r="F146" s="145" t="n"/>
      <c r="G146" s="145" t="n"/>
      <c r="H146" s="145" t="n"/>
      <c r="I146" s="145" t="n"/>
      <c r="J146" s="145" t="n"/>
      <c r="K146" s="145" t="n"/>
      <c r="L146" s="145" t="n"/>
      <c r="M146" s="145" t="n"/>
      <c r="N146" s="145" t="n"/>
      <c r="O146" s="145" t="n"/>
      <c r="P146" s="145" t="n"/>
      <c r="Q146" s="1" t="n"/>
      <c r="R146" s="1" t="n"/>
      <c r="S146" s="1" t="n"/>
      <c r="T146" s="1" t="n"/>
      <c r="U146" s="1" t="n"/>
      <c r="V146" s="1" t="n"/>
      <c r="W146" s="1" t="n"/>
      <c r="X146" s="1" t="n"/>
      <c r="Y146" s="1" t="n"/>
      <c r="Z146" s="1"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 t="n"/>
      <c r="R147" s="1" t="n"/>
      <c r="S147" s="1" t="n"/>
      <c r="T147" s="1" t="n"/>
      <c r="U147" s="1" t="n"/>
      <c r="V147" s="1" t="n"/>
      <c r="W147" s="1" t="n"/>
      <c r="X147" s="1" t="n"/>
      <c r="Y147" s="1" t="n"/>
      <c r="Z147" s="1"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 t="n"/>
      <c r="R148" s="1" t="n"/>
      <c r="S148" s="1" t="n"/>
      <c r="T148" s="1" t="n"/>
      <c r="U148" s="1" t="n"/>
      <c r="V148" s="1" t="n"/>
      <c r="W148" s="1" t="n"/>
      <c r="X148" s="1" t="n"/>
      <c r="Y148" s="1" t="n"/>
      <c r="Z148" s="1" t="n"/>
    </row>
    <row r="149" ht="15.75" customHeight="1" s="311">
      <c r="A149" s="145" t="n"/>
      <c r="B149" s="145" t="n"/>
      <c r="C149" s="145" t="n"/>
      <c r="D149" s="145" t="n"/>
      <c r="E149" s="145" t="n"/>
      <c r="F149" s="145" t="n"/>
      <c r="G149" s="145" t="n"/>
      <c r="H149" s="145" t="n"/>
      <c r="I149" s="145" t="n"/>
      <c r="J149" s="145" t="n"/>
      <c r="K149" s="145" t="n"/>
      <c r="L149" s="145" t="n"/>
      <c r="M149" s="145" t="n"/>
      <c r="N149" s="145" t="n"/>
      <c r="O149" s="145" t="n"/>
      <c r="P149" s="145" t="n"/>
      <c r="Q149" s="1" t="n"/>
      <c r="R149" s="1" t="n"/>
      <c r="S149" s="1" t="n"/>
      <c r="T149" s="1" t="n"/>
      <c r="U149" s="1" t="n"/>
      <c r="V149" s="1" t="n"/>
      <c r="W149" s="1" t="n"/>
      <c r="X149" s="1" t="n"/>
      <c r="Y149" s="1" t="n"/>
      <c r="Z149" s="1" t="n"/>
    </row>
    <row r="150" ht="15.75" customHeight="1" s="311">
      <c r="A150" s="145" t="n"/>
      <c r="B150" s="145" t="n"/>
      <c r="C150" s="145" t="n"/>
      <c r="D150" s="145" t="n"/>
      <c r="E150" s="145" t="n"/>
      <c r="F150" s="145" t="n"/>
      <c r="G150" s="145" t="n"/>
      <c r="H150" s="145" t="n"/>
      <c r="I150" s="145" t="n"/>
      <c r="J150" s="145" t="n"/>
      <c r="K150" s="145" t="n"/>
      <c r="L150" s="145" t="n"/>
      <c r="M150" s="145" t="n"/>
      <c r="N150" s="145" t="n"/>
      <c r="O150" s="145" t="n"/>
      <c r="P150" s="145" t="n"/>
      <c r="Q150" s="1" t="n"/>
      <c r="R150" s="1" t="n"/>
      <c r="S150" s="1" t="n"/>
      <c r="T150" s="1" t="n"/>
      <c r="U150" s="1" t="n"/>
      <c r="V150" s="1" t="n"/>
      <c r="W150" s="1" t="n"/>
      <c r="X150" s="1" t="n"/>
      <c r="Y150" s="1" t="n"/>
      <c r="Z150" s="1" t="n"/>
    </row>
    <row r="151" ht="15.75" customHeight="1" s="311">
      <c r="A151" s="145" t="n"/>
      <c r="B151" s="145" t="n"/>
      <c r="C151" s="145" t="n"/>
      <c r="D151" s="145" t="n"/>
      <c r="E151" s="145" t="n"/>
      <c r="F151" s="145" t="n"/>
      <c r="G151" s="145" t="n"/>
      <c r="H151" s="145" t="n"/>
      <c r="I151" s="145" t="n"/>
      <c r="J151" s="145" t="n"/>
      <c r="K151" s="145" t="n"/>
      <c r="L151" s="145" t="n"/>
      <c r="M151" s="145" t="n"/>
      <c r="N151" s="145" t="n"/>
      <c r="O151" s="145" t="n"/>
      <c r="P151" s="145" t="n"/>
      <c r="Q151" s="1" t="n"/>
      <c r="R151" s="1" t="n"/>
      <c r="S151" s="1" t="n"/>
      <c r="T151" s="1" t="n"/>
      <c r="U151" s="1" t="n"/>
      <c r="V151" s="1" t="n"/>
      <c r="W151" s="1" t="n"/>
      <c r="X151" s="1" t="n"/>
      <c r="Y151" s="1" t="n"/>
      <c r="Z151" s="1" t="n"/>
    </row>
    <row r="152" ht="15.75" customHeight="1" s="311">
      <c r="A152" s="145" t="n"/>
      <c r="B152" s="145" t="n"/>
      <c r="C152" s="145" t="n"/>
      <c r="D152" s="145" t="n"/>
      <c r="E152" s="145" t="n"/>
      <c r="F152" s="145" t="n"/>
      <c r="G152" s="145" t="n"/>
      <c r="H152" s="145" t="n"/>
      <c r="I152" s="145" t="n"/>
      <c r="J152" s="145" t="n"/>
      <c r="K152" s="145" t="n"/>
      <c r="L152" s="145" t="n"/>
      <c r="M152" s="145" t="n"/>
      <c r="N152" s="145" t="n"/>
      <c r="O152" s="145" t="n"/>
      <c r="P152" s="145" t="n"/>
      <c r="Q152" s="1" t="n"/>
      <c r="R152" s="1" t="n"/>
      <c r="S152" s="1" t="n"/>
      <c r="T152" s="1" t="n"/>
      <c r="U152" s="1" t="n"/>
      <c r="V152" s="1" t="n"/>
      <c r="W152" s="1" t="n"/>
      <c r="X152" s="1" t="n"/>
      <c r="Y152" s="1" t="n"/>
      <c r="Z152" s="1" t="n"/>
    </row>
    <row r="153" ht="15.75" customHeight="1" s="311">
      <c r="A153" s="145" t="n"/>
      <c r="B153" s="145" t="n"/>
      <c r="C153" s="145" t="n"/>
      <c r="D153" s="145" t="n"/>
      <c r="E153" s="145" t="n"/>
      <c r="F153" s="145" t="n"/>
      <c r="G153" s="145" t="n"/>
      <c r="H153" s="145" t="n"/>
      <c r="I153" s="145" t="n"/>
      <c r="J153" s="145" t="n"/>
      <c r="K153" s="145" t="n"/>
      <c r="L153" s="145" t="n"/>
      <c r="M153" s="145" t="n"/>
      <c r="N153" s="145" t="n"/>
      <c r="O153" s="145" t="n"/>
      <c r="P153" s="145" t="n"/>
      <c r="Q153" s="1" t="n"/>
      <c r="R153" s="1" t="n"/>
      <c r="S153" s="1" t="n"/>
      <c r="T153" s="1" t="n"/>
      <c r="U153" s="1" t="n"/>
      <c r="V153" s="1" t="n"/>
      <c r="W153" s="1" t="n"/>
      <c r="X153" s="1" t="n"/>
      <c r="Y153" s="1" t="n"/>
      <c r="Z153" s="1" t="n"/>
    </row>
    <row r="154" ht="15.75" customHeight="1" s="311">
      <c r="A154" s="145" t="n"/>
      <c r="B154" s="145" t="n"/>
      <c r="C154" s="145" t="n"/>
      <c r="D154" s="145" t="n"/>
      <c r="E154" s="145" t="n"/>
      <c r="F154" s="145" t="n"/>
      <c r="G154" s="145" t="n"/>
      <c r="H154" s="145" t="n"/>
      <c r="I154" s="145" t="n"/>
      <c r="J154" s="145" t="n"/>
      <c r="K154" s="145" t="n"/>
      <c r="L154" s="145" t="n"/>
      <c r="M154" s="145" t="n"/>
      <c r="N154" s="145" t="n"/>
      <c r="O154" s="145" t="n"/>
      <c r="P154" s="145" t="n"/>
      <c r="Q154" s="1" t="n"/>
      <c r="R154" s="1" t="n"/>
      <c r="S154" s="1" t="n"/>
      <c r="T154" s="1" t="n"/>
      <c r="U154" s="1" t="n"/>
      <c r="V154" s="1" t="n"/>
      <c r="W154" s="1" t="n"/>
      <c r="X154" s="1" t="n"/>
      <c r="Y154" s="1" t="n"/>
      <c r="Z154" s="1" t="n"/>
    </row>
    <row r="155" ht="15.75" customHeight="1" s="311">
      <c r="A155" s="145" t="n"/>
      <c r="B155" s="145" t="n"/>
      <c r="C155" s="145" t="n"/>
      <c r="D155" s="145" t="n"/>
      <c r="E155" s="145" t="n"/>
      <c r="F155" s="145" t="n"/>
      <c r="G155" s="145" t="n"/>
      <c r="H155" s="145" t="n"/>
      <c r="I155" s="145" t="n"/>
      <c r="J155" s="145" t="n"/>
      <c r="K155" s="145" t="n"/>
      <c r="L155" s="145" t="n"/>
      <c r="M155" s="145" t="n"/>
      <c r="N155" s="145" t="n"/>
      <c r="O155" s="145" t="n"/>
      <c r="P155" s="145" t="n"/>
      <c r="Q155" s="1" t="n"/>
      <c r="R155" s="1" t="n"/>
      <c r="S155" s="1" t="n"/>
      <c r="T155" s="1" t="n"/>
      <c r="U155" s="1" t="n"/>
      <c r="V155" s="1" t="n"/>
      <c r="W155" s="1" t="n"/>
      <c r="X155" s="1" t="n"/>
      <c r="Y155" s="1" t="n"/>
      <c r="Z155" s="1"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 t="n"/>
      <c r="R156" s="1" t="n"/>
      <c r="S156" s="1" t="n"/>
      <c r="T156" s="1" t="n"/>
      <c r="U156" s="1" t="n"/>
      <c r="V156" s="1" t="n"/>
      <c r="W156" s="1" t="n"/>
      <c r="X156" s="1" t="n"/>
      <c r="Y156" s="1" t="n"/>
      <c r="Z156" s="1" t="n"/>
    </row>
    <row r="157" ht="15.75" customHeight="1" s="311">
      <c r="A157" s="145" t="n"/>
      <c r="B157" s="145" t="n"/>
      <c r="C157" s="145" t="n"/>
      <c r="D157" s="145" t="n"/>
      <c r="E157" s="145" t="n"/>
      <c r="F157" s="145" t="n"/>
      <c r="G157" s="145" t="n"/>
      <c r="H157" s="145" t="n"/>
      <c r="I157" s="145" t="n"/>
      <c r="J157" s="145" t="n"/>
      <c r="K157" s="145" t="n"/>
      <c r="L157" s="145" t="n"/>
      <c r="M157" s="145" t="n"/>
      <c r="N157" s="145" t="n"/>
      <c r="O157" s="145" t="n"/>
      <c r="P157" s="145" t="n"/>
      <c r="Q157" s="1" t="n"/>
      <c r="R157" s="1" t="n"/>
      <c r="S157" s="1" t="n"/>
      <c r="T157" s="1" t="n"/>
      <c r="U157" s="1" t="n"/>
      <c r="V157" s="1" t="n"/>
      <c r="W157" s="1" t="n"/>
      <c r="X157" s="1" t="n"/>
      <c r="Y157" s="1" t="n"/>
      <c r="Z157" s="1" t="n"/>
    </row>
    <row r="158" ht="15.75" customHeight="1" s="311">
      <c r="A158" s="145" t="n"/>
      <c r="B158" s="145" t="n"/>
      <c r="C158" s="145" t="n"/>
      <c r="D158" s="145" t="n"/>
      <c r="E158" s="145" t="n"/>
      <c r="F158" s="145" t="n"/>
      <c r="G158" s="145" t="n"/>
      <c r="H158" s="145" t="n"/>
      <c r="I158" s="145" t="n"/>
      <c r="J158" s="145" t="n"/>
      <c r="K158" s="145" t="n"/>
      <c r="L158" s="145" t="n"/>
      <c r="M158" s="145" t="n"/>
      <c r="N158" s="145" t="n"/>
      <c r="O158" s="145" t="n"/>
      <c r="P158" s="145" t="n"/>
      <c r="Q158" s="1" t="n"/>
      <c r="R158" s="1" t="n"/>
      <c r="S158" s="1" t="n"/>
      <c r="T158" s="1" t="n"/>
      <c r="U158" s="1" t="n"/>
      <c r="V158" s="1" t="n"/>
      <c r="W158" s="1" t="n"/>
      <c r="X158" s="1" t="n"/>
      <c r="Y158" s="1" t="n"/>
      <c r="Z158" s="1" t="n"/>
    </row>
    <row r="159" ht="15.75" customHeight="1" s="311">
      <c r="A159" s="145" t="n"/>
      <c r="B159" s="145" t="n"/>
      <c r="C159" s="145" t="n"/>
      <c r="D159" s="145" t="n"/>
      <c r="E159" s="145" t="n"/>
      <c r="F159" s="145" t="n"/>
      <c r="G159" s="145" t="n"/>
      <c r="H159" s="145" t="n"/>
      <c r="I159" s="145" t="n"/>
      <c r="J159" s="145" t="n"/>
      <c r="K159" s="145" t="n"/>
      <c r="L159" s="145" t="n"/>
      <c r="M159" s="145" t="n"/>
      <c r="N159" s="145" t="n"/>
      <c r="O159" s="145" t="n"/>
      <c r="P159" s="145" t="n"/>
      <c r="Q159" s="1" t="n"/>
      <c r="R159" s="1" t="n"/>
      <c r="S159" s="1" t="n"/>
      <c r="T159" s="1" t="n"/>
      <c r="U159" s="1" t="n"/>
      <c r="V159" s="1" t="n"/>
      <c r="W159" s="1" t="n"/>
      <c r="X159" s="1" t="n"/>
      <c r="Y159" s="1" t="n"/>
      <c r="Z159" s="1" t="n"/>
    </row>
    <row r="160" ht="15.75" customHeight="1" s="311">
      <c r="A160" s="145" t="n"/>
      <c r="B160" s="145" t="n"/>
      <c r="C160" s="145" t="n"/>
      <c r="D160" s="145" t="n"/>
      <c r="E160" s="145" t="n"/>
      <c r="F160" s="145" t="n"/>
      <c r="G160" s="145" t="n"/>
      <c r="H160" s="145" t="n"/>
      <c r="I160" s="145" t="n"/>
      <c r="J160" s="145" t="n"/>
      <c r="K160" s="145" t="n"/>
      <c r="L160" s="145" t="n"/>
      <c r="M160" s="145" t="n"/>
      <c r="N160" s="145" t="n"/>
      <c r="O160" s="145" t="n"/>
      <c r="P160" s="145" t="n"/>
      <c r="Q160" s="1" t="n"/>
      <c r="R160" s="1" t="n"/>
      <c r="S160" s="1" t="n"/>
      <c r="T160" s="1" t="n"/>
      <c r="U160" s="1" t="n"/>
      <c r="V160" s="1" t="n"/>
      <c r="W160" s="1" t="n"/>
      <c r="X160" s="1" t="n"/>
      <c r="Y160" s="1" t="n"/>
      <c r="Z160" s="1" t="n"/>
    </row>
    <row r="161" ht="15.75" customHeight="1" s="311">
      <c r="A161" s="145" t="n"/>
      <c r="B161" s="145" t="n"/>
      <c r="C161" s="145" t="n"/>
      <c r="D161" s="145" t="n"/>
      <c r="E161" s="145" t="n"/>
      <c r="F161" s="145" t="n"/>
      <c r="G161" s="145" t="n"/>
      <c r="H161" s="145" t="n"/>
      <c r="I161" s="145" t="n"/>
      <c r="J161" s="145" t="n"/>
      <c r="K161" s="145" t="n"/>
      <c r="L161" s="145" t="n"/>
      <c r="M161" s="145" t="n"/>
      <c r="N161" s="145" t="n"/>
      <c r="O161" s="145" t="n"/>
      <c r="P161" s="145" t="n"/>
      <c r="Q161" s="1" t="n"/>
      <c r="R161" s="1" t="n"/>
      <c r="S161" s="1" t="n"/>
      <c r="T161" s="1" t="n"/>
      <c r="U161" s="1" t="n"/>
      <c r="V161" s="1" t="n"/>
      <c r="W161" s="1" t="n"/>
      <c r="X161" s="1" t="n"/>
      <c r="Y161" s="1" t="n"/>
      <c r="Z161" s="1"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 t="n"/>
      <c r="R162" s="1" t="n"/>
      <c r="S162" s="1" t="n"/>
      <c r="T162" s="1" t="n"/>
      <c r="U162" s="1" t="n"/>
      <c r="V162" s="1" t="n"/>
      <c r="W162" s="1" t="n"/>
      <c r="X162" s="1" t="n"/>
      <c r="Y162" s="1" t="n"/>
      <c r="Z162" s="1" t="n"/>
    </row>
    <row r="163" ht="15.75" customHeight="1" s="311">
      <c r="A163" s="145" t="n"/>
      <c r="B163" s="145" t="n"/>
      <c r="C163" s="145" t="n"/>
      <c r="D163" s="145" t="n"/>
      <c r="E163" s="145" t="n"/>
      <c r="F163" s="145" t="n"/>
      <c r="G163" s="145" t="n"/>
      <c r="H163" s="145" t="n"/>
      <c r="I163" s="145" t="n"/>
      <c r="J163" s="145" t="n"/>
      <c r="K163" s="145" t="n"/>
      <c r="L163" s="145" t="n"/>
      <c r="M163" s="145" t="n"/>
      <c r="N163" s="145" t="n"/>
      <c r="O163" s="145" t="n"/>
      <c r="P163" s="145" t="n"/>
      <c r="Q163" s="1" t="n"/>
      <c r="R163" s="1" t="n"/>
      <c r="S163" s="1" t="n"/>
      <c r="T163" s="1" t="n"/>
      <c r="U163" s="1" t="n"/>
      <c r="V163" s="1" t="n"/>
      <c r="W163" s="1" t="n"/>
      <c r="X163" s="1" t="n"/>
      <c r="Y163" s="1" t="n"/>
      <c r="Z163" s="1" t="n"/>
    </row>
    <row r="164" ht="15.75" customHeight="1" s="311">
      <c r="A164" s="145" t="n"/>
      <c r="B164" s="145" t="n"/>
      <c r="C164" s="145" t="n"/>
      <c r="D164" s="145" t="n"/>
      <c r="E164" s="145" t="n"/>
      <c r="F164" s="145" t="n"/>
      <c r="G164" s="145" t="n"/>
      <c r="H164" s="145" t="n"/>
      <c r="I164" s="145" t="n"/>
      <c r="J164" s="145" t="n"/>
      <c r="K164" s="145" t="n"/>
      <c r="L164" s="145" t="n"/>
      <c r="M164" s="145" t="n"/>
      <c r="N164" s="145" t="n"/>
      <c r="O164" s="145" t="n"/>
      <c r="P164" s="145" t="n"/>
      <c r="Q164" s="1" t="n"/>
      <c r="R164" s="1" t="n"/>
      <c r="S164" s="1" t="n"/>
      <c r="T164" s="1" t="n"/>
      <c r="U164" s="1" t="n"/>
      <c r="V164" s="1" t="n"/>
      <c r="W164" s="1" t="n"/>
      <c r="X164" s="1" t="n"/>
      <c r="Y164" s="1" t="n"/>
      <c r="Z164" s="1" t="n"/>
    </row>
    <row r="165" ht="15.75" customHeight="1" s="311">
      <c r="A165" s="145" t="n"/>
      <c r="B165" s="145" t="n"/>
      <c r="C165" s="145" t="n"/>
      <c r="D165" s="145" t="n"/>
      <c r="E165" s="145" t="n"/>
      <c r="F165" s="145" t="n"/>
      <c r="G165" s="145" t="n"/>
      <c r="H165" s="145" t="n"/>
      <c r="I165" s="145" t="n"/>
      <c r="J165" s="145" t="n"/>
      <c r="K165" s="145" t="n"/>
      <c r="L165" s="145" t="n"/>
      <c r="M165" s="145" t="n"/>
      <c r="N165" s="145" t="n"/>
      <c r="O165" s="145" t="n"/>
      <c r="P165" s="145" t="n"/>
      <c r="Q165" s="1" t="n"/>
      <c r="R165" s="1" t="n"/>
      <c r="S165" s="1" t="n"/>
      <c r="T165" s="1" t="n"/>
      <c r="U165" s="1" t="n"/>
      <c r="V165" s="1" t="n"/>
      <c r="W165" s="1" t="n"/>
      <c r="X165" s="1" t="n"/>
      <c r="Y165" s="1" t="n"/>
      <c r="Z165" s="1" t="n"/>
    </row>
    <row r="166" ht="15.75" customHeight="1" s="311">
      <c r="A166" s="145" t="n"/>
      <c r="B166" s="145" t="n"/>
      <c r="C166" s="145" t="n"/>
      <c r="D166" s="145" t="n"/>
      <c r="E166" s="145" t="n"/>
      <c r="F166" s="145" t="n"/>
      <c r="G166" s="145" t="n"/>
      <c r="H166" s="145" t="n"/>
      <c r="I166" s="145" t="n"/>
      <c r="J166" s="145" t="n"/>
      <c r="K166" s="145" t="n"/>
      <c r="L166" s="145" t="n"/>
      <c r="M166" s="145" t="n"/>
      <c r="N166" s="145" t="n"/>
      <c r="O166" s="145" t="n"/>
      <c r="P166" s="145" t="n"/>
      <c r="Q166" s="1" t="n"/>
      <c r="R166" s="1" t="n"/>
      <c r="S166" s="1" t="n"/>
      <c r="T166" s="1" t="n"/>
      <c r="U166" s="1" t="n"/>
      <c r="V166" s="1" t="n"/>
      <c r="W166" s="1" t="n"/>
      <c r="X166" s="1" t="n"/>
      <c r="Y166" s="1" t="n"/>
      <c r="Z166" s="1" t="n"/>
    </row>
    <row r="167" ht="15.75" customHeight="1" s="311">
      <c r="A167" s="145" t="n"/>
      <c r="B167" s="145" t="n"/>
      <c r="C167" s="145" t="n"/>
      <c r="D167" s="145" t="n"/>
      <c r="E167" s="145" t="n"/>
      <c r="F167" s="145" t="n"/>
      <c r="G167" s="145" t="n"/>
      <c r="H167" s="145" t="n"/>
      <c r="I167" s="145" t="n"/>
      <c r="J167" s="145" t="n"/>
      <c r="K167" s="145" t="n"/>
      <c r="L167" s="145" t="n"/>
      <c r="M167" s="145" t="n"/>
      <c r="N167" s="145" t="n"/>
      <c r="O167" s="145" t="n"/>
      <c r="P167" s="145" t="n"/>
      <c r="Q167" s="1" t="n"/>
      <c r="R167" s="1" t="n"/>
      <c r="S167" s="1" t="n"/>
      <c r="T167" s="1" t="n"/>
      <c r="U167" s="1" t="n"/>
      <c r="V167" s="1" t="n"/>
      <c r="W167" s="1" t="n"/>
      <c r="X167" s="1" t="n"/>
      <c r="Y167" s="1" t="n"/>
      <c r="Z167" s="1" t="n"/>
    </row>
    <row r="168" ht="15.75" customHeight="1" s="311">
      <c r="A168" s="145" t="n"/>
      <c r="B168" s="145" t="n"/>
      <c r="C168" s="145" t="n"/>
      <c r="D168" s="145" t="n"/>
      <c r="E168" s="145" t="n"/>
      <c r="F168" s="145" t="n"/>
      <c r="G168" s="145" t="n"/>
      <c r="H168" s="145" t="n"/>
      <c r="I168" s="145" t="n"/>
      <c r="J168" s="145" t="n"/>
      <c r="K168" s="145" t="n"/>
      <c r="L168" s="145" t="n"/>
      <c r="M168" s="145" t="n"/>
      <c r="N168" s="145" t="n"/>
      <c r="O168" s="145" t="n"/>
      <c r="P168" s="145" t="n"/>
      <c r="Q168" s="1" t="n"/>
      <c r="R168" s="1" t="n"/>
      <c r="S168" s="1" t="n"/>
      <c r="T168" s="1" t="n"/>
      <c r="U168" s="1" t="n"/>
      <c r="V168" s="1" t="n"/>
      <c r="W168" s="1" t="n"/>
      <c r="X168" s="1" t="n"/>
      <c r="Y168" s="1" t="n"/>
      <c r="Z168" s="1"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 t="n"/>
      <c r="R169" s="1" t="n"/>
      <c r="S169" s="1" t="n"/>
      <c r="T169" s="1" t="n"/>
      <c r="U169" s="1" t="n"/>
      <c r="V169" s="1" t="n"/>
      <c r="W169" s="1" t="n"/>
      <c r="X169" s="1" t="n"/>
      <c r="Y169" s="1" t="n"/>
      <c r="Z169" s="1" t="n"/>
    </row>
    <row r="170" ht="15.75" customHeight="1" s="311">
      <c r="A170" s="145" t="n"/>
      <c r="B170" s="145" t="n"/>
      <c r="C170" s="145" t="n"/>
      <c r="D170" s="145" t="n"/>
      <c r="E170" s="145" t="n"/>
      <c r="F170" s="145" t="n"/>
      <c r="G170" s="145" t="n"/>
      <c r="H170" s="145" t="n"/>
      <c r="I170" s="145" t="n"/>
      <c r="J170" s="145" t="n"/>
      <c r="K170" s="145" t="n"/>
      <c r="L170" s="145" t="n"/>
      <c r="M170" s="145" t="n"/>
      <c r="N170" s="145" t="n"/>
      <c r="O170" s="145" t="n"/>
      <c r="P170" s="145" t="n"/>
      <c r="Q170" s="1" t="n"/>
      <c r="R170" s="1" t="n"/>
      <c r="S170" s="1" t="n"/>
      <c r="T170" s="1" t="n"/>
      <c r="U170" s="1" t="n"/>
      <c r="V170" s="1" t="n"/>
      <c r="W170" s="1" t="n"/>
      <c r="X170" s="1" t="n"/>
      <c r="Y170" s="1" t="n"/>
      <c r="Z170" s="1"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 t="n"/>
      <c r="R171" s="1" t="n"/>
      <c r="S171" s="1" t="n"/>
      <c r="T171" s="1" t="n"/>
      <c r="U171" s="1" t="n"/>
      <c r="V171" s="1" t="n"/>
      <c r="W171" s="1" t="n"/>
      <c r="X171" s="1" t="n"/>
      <c r="Y171" s="1" t="n"/>
      <c r="Z171" s="1"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 t="n"/>
      <c r="R172" s="1" t="n"/>
      <c r="S172" s="1" t="n"/>
      <c r="T172" s="1" t="n"/>
      <c r="U172" s="1" t="n"/>
      <c r="V172" s="1" t="n"/>
      <c r="W172" s="1" t="n"/>
      <c r="X172" s="1" t="n"/>
      <c r="Y172" s="1" t="n"/>
      <c r="Z172" s="1"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 t="n"/>
      <c r="R173" s="1" t="n"/>
      <c r="S173" s="1" t="n"/>
      <c r="T173" s="1" t="n"/>
      <c r="U173" s="1" t="n"/>
      <c r="V173" s="1" t="n"/>
      <c r="W173" s="1" t="n"/>
      <c r="X173" s="1" t="n"/>
      <c r="Y173" s="1" t="n"/>
      <c r="Z173" s="1"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 t="n"/>
      <c r="R174" s="1" t="n"/>
      <c r="S174" s="1" t="n"/>
      <c r="T174" s="1" t="n"/>
      <c r="U174" s="1" t="n"/>
      <c r="V174" s="1" t="n"/>
      <c r="W174" s="1" t="n"/>
      <c r="X174" s="1" t="n"/>
      <c r="Y174" s="1" t="n"/>
      <c r="Z174" s="1"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 t="n"/>
      <c r="R175" s="1" t="n"/>
      <c r="S175" s="1" t="n"/>
      <c r="T175" s="1" t="n"/>
      <c r="U175" s="1" t="n"/>
      <c r="V175" s="1" t="n"/>
      <c r="W175" s="1" t="n"/>
      <c r="X175" s="1" t="n"/>
      <c r="Y175" s="1" t="n"/>
      <c r="Z175" s="1"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 t="n"/>
      <c r="R176" s="1" t="n"/>
      <c r="S176" s="1" t="n"/>
      <c r="T176" s="1" t="n"/>
      <c r="U176" s="1" t="n"/>
      <c r="V176" s="1" t="n"/>
      <c r="W176" s="1" t="n"/>
      <c r="X176" s="1" t="n"/>
      <c r="Y176" s="1" t="n"/>
      <c r="Z176" s="1"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 t="n"/>
      <c r="R177" s="1" t="n"/>
      <c r="S177" s="1" t="n"/>
      <c r="T177" s="1" t="n"/>
      <c r="U177" s="1" t="n"/>
      <c r="V177" s="1" t="n"/>
      <c r="W177" s="1" t="n"/>
      <c r="X177" s="1" t="n"/>
      <c r="Y177" s="1" t="n"/>
      <c r="Z177" s="1"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 t="n"/>
      <c r="R178" s="1" t="n"/>
      <c r="S178" s="1" t="n"/>
      <c r="T178" s="1" t="n"/>
      <c r="U178" s="1" t="n"/>
      <c r="V178" s="1" t="n"/>
      <c r="W178" s="1" t="n"/>
      <c r="X178" s="1" t="n"/>
      <c r="Y178" s="1" t="n"/>
      <c r="Z178" s="1"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 t="n"/>
      <c r="R179" s="1" t="n"/>
      <c r="S179" s="1" t="n"/>
      <c r="T179" s="1" t="n"/>
      <c r="U179" s="1" t="n"/>
      <c r="V179" s="1" t="n"/>
      <c r="W179" s="1" t="n"/>
      <c r="X179" s="1" t="n"/>
      <c r="Y179" s="1" t="n"/>
      <c r="Z179" s="1"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 t="n"/>
      <c r="R180" s="1" t="n"/>
      <c r="S180" s="1" t="n"/>
      <c r="T180" s="1" t="n"/>
      <c r="U180" s="1" t="n"/>
      <c r="V180" s="1" t="n"/>
      <c r="W180" s="1" t="n"/>
      <c r="X180" s="1" t="n"/>
      <c r="Y180" s="1" t="n"/>
      <c r="Z180" s="1"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 t="n"/>
      <c r="R181" s="1" t="n"/>
      <c r="S181" s="1" t="n"/>
      <c r="T181" s="1" t="n"/>
      <c r="U181" s="1" t="n"/>
      <c r="V181" s="1" t="n"/>
      <c r="W181" s="1" t="n"/>
      <c r="X181" s="1" t="n"/>
      <c r="Y181" s="1" t="n"/>
      <c r="Z181" s="1"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 t="n"/>
      <c r="R182" s="1" t="n"/>
      <c r="S182" s="1" t="n"/>
      <c r="T182" s="1" t="n"/>
      <c r="U182" s="1" t="n"/>
      <c r="V182" s="1" t="n"/>
      <c r="W182" s="1" t="n"/>
      <c r="X182" s="1" t="n"/>
      <c r="Y182" s="1" t="n"/>
      <c r="Z182" s="1"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 t="n"/>
      <c r="R183" s="1" t="n"/>
      <c r="S183" s="1" t="n"/>
      <c r="T183" s="1" t="n"/>
      <c r="U183" s="1" t="n"/>
      <c r="V183" s="1" t="n"/>
      <c r="W183" s="1" t="n"/>
      <c r="X183" s="1" t="n"/>
      <c r="Y183" s="1" t="n"/>
      <c r="Z183" s="1"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 t="n"/>
      <c r="R184" s="1" t="n"/>
      <c r="S184" s="1" t="n"/>
      <c r="T184" s="1" t="n"/>
      <c r="U184" s="1" t="n"/>
      <c r="V184" s="1" t="n"/>
      <c r="W184" s="1" t="n"/>
      <c r="X184" s="1" t="n"/>
      <c r="Y184" s="1" t="n"/>
      <c r="Z184" s="1"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 t="n"/>
      <c r="R185" s="1" t="n"/>
      <c r="S185" s="1" t="n"/>
      <c r="T185" s="1" t="n"/>
      <c r="U185" s="1" t="n"/>
      <c r="V185" s="1" t="n"/>
      <c r="W185" s="1" t="n"/>
      <c r="X185" s="1" t="n"/>
      <c r="Y185" s="1" t="n"/>
      <c r="Z185" s="1"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 t="n"/>
      <c r="R186" s="1" t="n"/>
      <c r="S186" s="1" t="n"/>
      <c r="T186" s="1" t="n"/>
      <c r="U186" s="1" t="n"/>
      <c r="V186" s="1" t="n"/>
      <c r="W186" s="1" t="n"/>
      <c r="X186" s="1" t="n"/>
      <c r="Y186" s="1" t="n"/>
      <c r="Z186" s="1"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 t="n"/>
      <c r="R187" s="1" t="n"/>
      <c r="S187" s="1" t="n"/>
      <c r="T187" s="1" t="n"/>
      <c r="U187" s="1" t="n"/>
      <c r="V187" s="1" t="n"/>
      <c r="W187" s="1" t="n"/>
      <c r="X187" s="1" t="n"/>
      <c r="Y187" s="1" t="n"/>
      <c r="Z187" s="1"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 t="n"/>
      <c r="R188" s="1" t="n"/>
      <c r="S188" s="1" t="n"/>
      <c r="T188" s="1" t="n"/>
      <c r="U188" s="1" t="n"/>
      <c r="V188" s="1" t="n"/>
      <c r="W188" s="1" t="n"/>
      <c r="X188" s="1" t="n"/>
      <c r="Y188" s="1" t="n"/>
      <c r="Z188" s="1"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 t="n"/>
      <c r="R189" s="1" t="n"/>
      <c r="S189" s="1" t="n"/>
      <c r="T189" s="1" t="n"/>
      <c r="U189" s="1" t="n"/>
      <c r="V189" s="1" t="n"/>
      <c r="W189" s="1" t="n"/>
      <c r="X189" s="1" t="n"/>
      <c r="Y189" s="1" t="n"/>
      <c r="Z189" s="1"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 t="n"/>
      <c r="R190" s="1" t="n"/>
      <c r="S190" s="1" t="n"/>
      <c r="T190" s="1" t="n"/>
      <c r="U190" s="1" t="n"/>
      <c r="V190" s="1" t="n"/>
      <c r="W190" s="1" t="n"/>
      <c r="X190" s="1" t="n"/>
      <c r="Y190" s="1" t="n"/>
      <c r="Z190" s="1"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 t="n"/>
      <c r="R191" s="1" t="n"/>
      <c r="S191" s="1" t="n"/>
      <c r="T191" s="1" t="n"/>
      <c r="U191" s="1" t="n"/>
      <c r="V191" s="1" t="n"/>
      <c r="W191" s="1" t="n"/>
      <c r="X191" s="1" t="n"/>
      <c r="Y191" s="1" t="n"/>
      <c r="Z191" s="1"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 t="n"/>
      <c r="R192" s="1" t="n"/>
      <c r="S192" s="1" t="n"/>
      <c r="T192" s="1" t="n"/>
      <c r="U192" s="1" t="n"/>
      <c r="V192" s="1" t="n"/>
      <c r="W192" s="1" t="n"/>
      <c r="X192" s="1" t="n"/>
      <c r="Y192" s="1" t="n"/>
      <c r="Z192" s="1"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 t="n"/>
      <c r="R193" s="1" t="n"/>
      <c r="S193" s="1" t="n"/>
      <c r="T193" s="1" t="n"/>
      <c r="U193" s="1" t="n"/>
      <c r="V193" s="1" t="n"/>
      <c r="W193" s="1" t="n"/>
      <c r="X193" s="1" t="n"/>
      <c r="Y193" s="1" t="n"/>
      <c r="Z193" s="1"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 t="n"/>
      <c r="R194" s="1" t="n"/>
      <c r="S194" s="1" t="n"/>
      <c r="T194" s="1" t="n"/>
      <c r="U194" s="1" t="n"/>
      <c r="V194" s="1" t="n"/>
      <c r="W194" s="1" t="n"/>
      <c r="X194" s="1" t="n"/>
      <c r="Y194" s="1" t="n"/>
      <c r="Z194" s="1"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 t="n"/>
      <c r="R195" s="1" t="n"/>
      <c r="S195" s="1" t="n"/>
      <c r="T195" s="1" t="n"/>
      <c r="U195" s="1" t="n"/>
      <c r="V195" s="1" t="n"/>
      <c r="W195" s="1" t="n"/>
      <c r="X195" s="1" t="n"/>
      <c r="Y195" s="1" t="n"/>
      <c r="Z195" s="1"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 t="n"/>
      <c r="R196" s="1" t="n"/>
      <c r="S196" s="1" t="n"/>
      <c r="T196" s="1" t="n"/>
      <c r="U196" s="1" t="n"/>
      <c r="V196" s="1" t="n"/>
      <c r="W196" s="1" t="n"/>
      <c r="X196" s="1" t="n"/>
      <c r="Y196" s="1" t="n"/>
      <c r="Z196" s="1"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 t="n"/>
      <c r="R197" s="1" t="n"/>
      <c r="S197" s="1" t="n"/>
      <c r="T197" s="1" t="n"/>
      <c r="U197" s="1" t="n"/>
      <c r="V197" s="1" t="n"/>
      <c r="W197" s="1" t="n"/>
      <c r="X197" s="1" t="n"/>
      <c r="Y197" s="1" t="n"/>
      <c r="Z197" s="1"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 t="n"/>
      <c r="R198" s="1" t="n"/>
      <c r="S198" s="1" t="n"/>
      <c r="T198" s="1" t="n"/>
      <c r="U198" s="1" t="n"/>
      <c r="V198" s="1" t="n"/>
      <c r="W198" s="1" t="n"/>
      <c r="X198" s="1" t="n"/>
      <c r="Y198" s="1" t="n"/>
      <c r="Z198" s="1"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 t="n"/>
      <c r="R199" s="1" t="n"/>
      <c r="S199" s="1" t="n"/>
      <c r="T199" s="1" t="n"/>
      <c r="U199" s="1" t="n"/>
      <c r="V199" s="1" t="n"/>
      <c r="W199" s="1" t="n"/>
      <c r="X199" s="1" t="n"/>
      <c r="Y199" s="1" t="n"/>
      <c r="Z199" s="1"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 t="n"/>
      <c r="R200" s="1" t="n"/>
      <c r="S200" s="1" t="n"/>
      <c r="T200" s="1" t="n"/>
      <c r="U200" s="1" t="n"/>
      <c r="V200" s="1" t="n"/>
      <c r="W200" s="1" t="n"/>
      <c r="X200" s="1" t="n"/>
      <c r="Y200" s="1" t="n"/>
      <c r="Z200" s="1"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 t="n"/>
      <c r="R201" s="1" t="n"/>
      <c r="S201" s="1" t="n"/>
      <c r="T201" s="1" t="n"/>
      <c r="U201" s="1" t="n"/>
      <c r="V201" s="1" t="n"/>
      <c r="W201" s="1" t="n"/>
      <c r="X201" s="1" t="n"/>
      <c r="Y201" s="1" t="n"/>
      <c r="Z201" s="1"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 t="n"/>
      <c r="R202" s="1" t="n"/>
      <c r="S202" s="1" t="n"/>
      <c r="T202" s="1" t="n"/>
      <c r="U202" s="1" t="n"/>
      <c r="V202" s="1" t="n"/>
      <c r="W202" s="1" t="n"/>
      <c r="X202" s="1" t="n"/>
      <c r="Y202" s="1" t="n"/>
      <c r="Z202" s="1"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 t="n"/>
      <c r="R203" s="1" t="n"/>
      <c r="S203" s="1" t="n"/>
      <c r="T203" s="1" t="n"/>
      <c r="U203" s="1" t="n"/>
      <c r="V203" s="1" t="n"/>
      <c r="W203" s="1" t="n"/>
      <c r="X203" s="1" t="n"/>
      <c r="Y203" s="1" t="n"/>
      <c r="Z203" s="1"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 t="n"/>
      <c r="R204" s="1" t="n"/>
      <c r="S204" s="1" t="n"/>
      <c r="T204" s="1" t="n"/>
      <c r="U204" s="1" t="n"/>
      <c r="V204" s="1" t="n"/>
      <c r="W204" s="1" t="n"/>
      <c r="X204" s="1" t="n"/>
      <c r="Y204" s="1" t="n"/>
      <c r="Z204" s="1"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 t="n"/>
      <c r="R205" s="1" t="n"/>
      <c r="S205" s="1" t="n"/>
      <c r="T205" s="1" t="n"/>
      <c r="U205" s="1" t="n"/>
      <c r="V205" s="1" t="n"/>
      <c r="W205" s="1" t="n"/>
      <c r="X205" s="1" t="n"/>
      <c r="Y205" s="1" t="n"/>
      <c r="Z205" s="1"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 t="n"/>
      <c r="R206" s="1" t="n"/>
      <c r="S206" s="1" t="n"/>
      <c r="T206" s="1" t="n"/>
      <c r="U206" s="1" t="n"/>
      <c r="V206" s="1" t="n"/>
      <c r="W206" s="1" t="n"/>
      <c r="X206" s="1" t="n"/>
      <c r="Y206" s="1" t="n"/>
      <c r="Z206" s="1"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 t="n"/>
      <c r="R207" s="1" t="n"/>
      <c r="S207" s="1" t="n"/>
      <c r="T207" s="1" t="n"/>
      <c r="U207" s="1" t="n"/>
      <c r="V207" s="1" t="n"/>
      <c r="W207" s="1" t="n"/>
      <c r="X207" s="1" t="n"/>
      <c r="Y207" s="1" t="n"/>
      <c r="Z207" s="1"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 t="n"/>
      <c r="R208" s="1" t="n"/>
      <c r="S208" s="1" t="n"/>
      <c r="T208" s="1" t="n"/>
      <c r="U208" s="1" t="n"/>
      <c r="V208" s="1" t="n"/>
      <c r="W208" s="1" t="n"/>
      <c r="X208" s="1" t="n"/>
      <c r="Y208" s="1" t="n"/>
      <c r="Z208" s="1"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 t="n"/>
      <c r="R209" s="1" t="n"/>
      <c r="S209" s="1" t="n"/>
      <c r="T209" s="1" t="n"/>
      <c r="U209" s="1" t="n"/>
      <c r="V209" s="1" t="n"/>
      <c r="W209" s="1" t="n"/>
      <c r="X209" s="1" t="n"/>
      <c r="Y209" s="1" t="n"/>
      <c r="Z209" s="1"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 t="n"/>
      <c r="R210" s="1" t="n"/>
      <c r="S210" s="1" t="n"/>
      <c r="T210" s="1" t="n"/>
      <c r="U210" s="1" t="n"/>
      <c r="V210" s="1" t="n"/>
      <c r="W210" s="1" t="n"/>
      <c r="X210" s="1" t="n"/>
      <c r="Y210" s="1" t="n"/>
      <c r="Z210" s="1"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 t="n"/>
      <c r="R211" s="1" t="n"/>
      <c r="S211" s="1" t="n"/>
      <c r="T211" s="1" t="n"/>
      <c r="U211" s="1" t="n"/>
      <c r="V211" s="1" t="n"/>
      <c r="W211" s="1" t="n"/>
      <c r="X211" s="1" t="n"/>
      <c r="Y211" s="1" t="n"/>
      <c r="Z211" s="1"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 t="n"/>
      <c r="R212" s="1" t="n"/>
      <c r="S212" s="1" t="n"/>
      <c r="T212" s="1" t="n"/>
      <c r="U212" s="1" t="n"/>
      <c r="V212" s="1" t="n"/>
      <c r="W212" s="1" t="n"/>
      <c r="X212" s="1" t="n"/>
      <c r="Y212" s="1" t="n"/>
      <c r="Z212" s="1"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 t="n"/>
      <c r="R213" s="1" t="n"/>
      <c r="S213" s="1" t="n"/>
      <c r="T213" s="1" t="n"/>
      <c r="U213" s="1" t="n"/>
      <c r="V213" s="1" t="n"/>
      <c r="W213" s="1" t="n"/>
      <c r="X213" s="1" t="n"/>
      <c r="Y213" s="1" t="n"/>
      <c r="Z213" s="1"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 t="n"/>
      <c r="R214" s="1" t="n"/>
      <c r="S214" s="1" t="n"/>
      <c r="T214" s="1" t="n"/>
      <c r="U214" s="1" t="n"/>
      <c r="V214" s="1" t="n"/>
      <c r="W214" s="1" t="n"/>
      <c r="X214" s="1" t="n"/>
      <c r="Y214" s="1" t="n"/>
      <c r="Z214" s="1"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 t="n"/>
      <c r="R215" s="1" t="n"/>
      <c r="S215" s="1" t="n"/>
      <c r="T215" s="1" t="n"/>
      <c r="U215" s="1" t="n"/>
      <c r="V215" s="1" t="n"/>
      <c r="W215" s="1" t="n"/>
      <c r="X215" s="1" t="n"/>
      <c r="Y215" s="1" t="n"/>
      <c r="Z215" s="1"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 t="n"/>
      <c r="R216" s="1" t="n"/>
      <c r="S216" s="1" t="n"/>
      <c r="T216" s="1" t="n"/>
      <c r="U216" s="1" t="n"/>
      <c r="V216" s="1" t="n"/>
      <c r="W216" s="1" t="n"/>
      <c r="X216" s="1" t="n"/>
      <c r="Y216" s="1" t="n"/>
      <c r="Z216" s="1"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 t="n"/>
      <c r="R217" s="1" t="n"/>
      <c r="S217" s="1" t="n"/>
      <c r="T217" s="1" t="n"/>
      <c r="U217" s="1" t="n"/>
      <c r="V217" s="1" t="n"/>
      <c r="W217" s="1" t="n"/>
      <c r="X217" s="1" t="n"/>
      <c r="Y217" s="1" t="n"/>
      <c r="Z217" s="1"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 t="n"/>
      <c r="R218" s="1" t="n"/>
      <c r="S218" s="1" t="n"/>
      <c r="T218" s="1" t="n"/>
      <c r="U218" s="1" t="n"/>
      <c r="V218" s="1" t="n"/>
      <c r="W218" s="1" t="n"/>
      <c r="X218" s="1" t="n"/>
      <c r="Y218" s="1" t="n"/>
      <c r="Z218" s="1"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 t="n"/>
      <c r="R219" s="1" t="n"/>
      <c r="S219" s="1" t="n"/>
      <c r="T219" s="1" t="n"/>
      <c r="U219" s="1" t="n"/>
      <c r="V219" s="1" t="n"/>
      <c r="W219" s="1" t="n"/>
      <c r="X219" s="1" t="n"/>
      <c r="Y219" s="1" t="n"/>
      <c r="Z219" s="1"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 t="n"/>
      <c r="R220" s="1" t="n"/>
      <c r="S220" s="1" t="n"/>
      <c r="T220" s="1" t="n"/>
      <c r="U220" s="1" t="n"/>
      <c r="V220" s="1" t="n"/>
      <c r="W220" s="1" t="n"/>
      <c r="X220" s="1" t="n"/>
      <c r="Y220" s="1" t="n"/>
      <c r="Z220" s="1"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 t="n"/>
      <c r="R221" s="1" t="n"/>
      <c r="S221" s="1" t="n"/>
      <c r="T221" s="1" t="n"/>
      <c r="U221" s="1" t="n"/>
      <c r="V221" s="1" t="n"/>
      <c r="W221" s="1" t="n"/>
      <c r="X221" s="1" t="n"/>
      <c r="Y221" s="1" t="n"/>
      <c r="Z221" s="1"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 t="n"/>
      <c r="R222" s="1" t="n"/>
      <c r="S222" s="1" t="n"/>
      <c r="T222" s="1" t="n"/>
      <c r="U222" s="1" t="n"/>
      <c r="V222" s="1" t="n"/>
      <c r="W222" s="1" t="n"/>
      <c r="X222" s="1" t="n"/>
      <c r="Y222" s="1" t="n"/>
      <c r="Z222" s="1"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 t="n"/>
      <c r="R223" s="1" t="n"/>
      <c r="S223" s="1" t="n"/>
      <c r="T223" s="1" t="n"/>
      <c r="U223" s="1" t="n"/>
      <c r="V223" s="1" t="n"/>
      <c r="W223" s="1" t="n"/>
      <c r="X223" s="1" t="n"/>
      <c r="Y223" s="1" t="n"/>
      <c r="Z223" s="1"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 t="n"/>
      <c r="R224" s="1" t="n"/>
      <c r="S224" s="1" t="n"/>
      <c r="T224" s="1" t="n"/>
      <c r="U224" s="1" t="n"/>
      <c r="V224" s="1" t="n"/>
      <c r="W224" s="1" t="n"/>
      <c r="X224" s="1" t="n"/>
      <c r="Y224" s="1" t="n"/>
      <c r="Z224" s="1"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 t="n"/>
      <c r="R225" s="1" t="n"/>
      <c r="S225" s="1" t="n"/>
      <c r="T225" s="1" t="n"/>
      <c r="U225" s="1" t="n"/>
      <c r="V225" s="1" t="n"/>
      <c r="W225" s="1" t="n"/>
      <c r="X225" s="1" t="n"/>
      <c r="Y225" s="1" t="n"/>
      <c r="Z225" s="1"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 t="n"/>
      <c r="R226" s="1" t="n"/>
      <c r="S226" s="1" t="n"/>
      <c r="T226" s="1" t="n"/>
      <c r="U226" s="1" t="n"/>
      <c r="V226" s="1" t="n"/>
      <c r="W226" s="1" t="n"/>
      <c r="X226" s="1" t="n"/>
      <c r="Y226" s="1" t="n"/>
      <c r="Z226" s="1"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 t="n"/>
      <c r="R227" s="1" t="n"/>
      <c r="S227" s="1" t="n"/>
      <c r="T227" s="1" t="n"/>
      <c r="U227" s="1" t="n"/>
      <c r="V227" s="1" t="n"/>
      <c r="W227" s="1" t="n"/>
      <c r="X227" s="1" t="n"/>
      <c r="Y227" s="1" t="n"/>
      <c r="Z227" s="1"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 t="n"/>
      <c r="R228" s="1" t="n"/>
      <c r="S228" s="1" t="n"/>
      <c r="T228" s="1" t="n"/>
      <c r="U228" s="1" t="n"/>
      <c r="V228" s="1" t="n"/>
      <c r="W228" s="1" t="n"/>
      <c r="X228" s="1" t="n"/>
      <c r="Y228" s="1" t="n"/>
      <c r="Z228" s="1"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 t="n"/>
      <c r="R229" s="1" t="n"/>
      <c r="S229" s="1" t="n"/>
      <c r="T229" s="1" t="n"/>
      <c r="U229" s="1" t="n"/>
      <c r="V229" s="1" t="n"/>
      <c r="W229" s="1" t="n"/>
      <c r="X229" s="1" t="n"/>
      <c r="Y229" s="1" t="n"/>
      <c r="Z229" s="1"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 t="n"/>
      <c r="R230" s="1" t="n"/>
      <c r="S230" s="1" t="n"/>
      <c r="T230" s="1" t="n"/>
      <c r="U230" s="1" t="n"/>
      <c r="V230" s="1" t="n"/>
      <c r="W230" s="1" t="n"/>
      <c r="X230" s="1" t="n"/>
      <c r="Y230" s="1" t="n"/>
      <c r="Z230" s="1"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 t="n"/>
      <c r="R231" s="1" t="n"/>
      <c r="S231" s="1" t="n"/>
      <c r="T231" s="1" t="n"/>
      <c r="U231" s="1" t="n"/>
      <c r="V231" s="1" t="n"/>
      <c r="W231" s="1" t="n"/>
      <c r="X231" s="1" t="n"/>
      <c r="Y231" s="1" t="n"/>
      <c r="Z231" s="1"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 t="n"/>
      <c r="R232" s="1" t="n"/>
      <c r="S232" s="1" t="n"/>
      <c r="T232" s="1" t="n"/>
      <c r="U232" s="1" t="n"/>
      <c r="V232" s="1" t="n"/>
      <c r="W232" s="1" t="n"/>
      <c r="X232" s="1" t="n"/>
      <c r="Y232" s="1" t="n"/>
      <c r="Z232" s="1"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 t="n"/>
      <c r="R233" s="1" t="n"/>
      <c r="S233" s="1" t="n"/>
      <c r="T233" s="1" t="n"/>
      <c r="U233" s="1" t="n"/>
      <c r="V233" s="1" t="n"/>
      <c r="W233" s="1" t="n"/>
      <c r="X233" s="1" t="n"/>
      <c r="Y233" s="1" t="n"/>
      <c r="Z233" s="1"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 t="n"/>
      <c r="R234" s="1" t="n"/>
      <c r="S234" s="1" t="n"/>
      <c r="T234" s="1" t="n"/>
      <c r="U234" s="1" t="n"/>
      <c r="V234" s="1" t="n"/>
      <c r="W234" s="1" t="n"/>
      <c r="X234" s="1" t="n"/>
      <c r="Y234" s="1" t="n"/>
      <c r="Z234" s="1"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 t="n"/>
      <c r="R235" s="1" t="n"/>
      <c r="S235" s="1" t="n"/>
      <c r="T235" s="1" t="n"/>
      <c r="U235" s="1" t="n"/>
      <c r="V235" s="1" t="n"/>
      <c r="W235" s="1" t="n"/>
      <c r="X235" s="1" t="n"/>
      <c r="Y235" s="1" t="n"/>
      <c r="Z235" s="1"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 t="n"/>
      <c r="R236" s="1" t="n"/>
      <c r="S236" s="1" t="n"/>
      <c r="T236" s="1" t="n"/>
      <c r="U236" s="1" t="n"/>
      <c r="V236" s="1" t="n"/>
      <c r="W236" s="1" t="n"/>
      <c r="X236" s="1" t="n"/>
      <c r="Y236" s="1" t="n"/>
      <c r="Z236" s="1"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 t="n"/>
      <c r="R237" s="1" t="n"/>
      <c r="S237" s="1" t="n"/>
      <c r="T237" s="1" t="n"/>
      <c r="U237" s="1" t="n"/>
      <c r="V237" s="1" t="n"/>
      <c r="W237" s="1" t="n"/>
      <c r="X237" s="1" t="n"/>
      <c r="Y237" s="1" t="n"/>
      <c r="Z237" s="1"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 t="n"/>
      <c r="R238" s="1" t="n"/>
      <c r="S238" s="1" t="n"/>
      <c r="T238" s="1" t="n"/>
      <c r="U238" s="1" t="n"/>
      <c r="V238" s="1" t="n"/>
      <c r="W238" s="1" t="n"/>
      <c r="X238" s="1" t="n"/>
      <c r="Y238" s="1" t="n"/>
      <c r="Z238" s="1"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 t="n"/>
      <c r="R239" s="1" t="n"/>
      <c r="S239" s="1" t="n"/>
      <c r="T239" s="1" t="n"/>
      <c r="U239" s="1" t="n"/>
      <c r="V239" s="1" t="n"/>
      <c r="W239" s="1" t="n"/>
      <c r="X239" s="1" t="n"/>
      <c r="Y239" s="1" t="n"/>
      <c r="Z239" s="1"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 t="n"/>
      <c r="R240" s="1" t="n"/>
      <c r="S240" s="1" t="n"/>
      <c r="T240" s="1" t="n"/>
      <c r="U240" s="1" t="n"/>
      <c r="V240" s="1" t="n"/>
      <c r="W240" s="1" t="n"/>
      <c r="X240" s="1" t="n"/>
      <c r="Y240" s="1" t="n"/>
      <c r="Z240" s="1"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 t="n"/>
      <c r="R241" s="1" t="n"/>
      <c r="S241" s="1" t="n"/>
      <c r="T241" s="1" t="n"/>
      <c r="U241" s="1" t="n"/>
      <c r="V241" s="1" t="n"/>
      <c r="W241" s="1" t="n"/>
      <c r="X241" s="1" t="n"/>
      <c r="Y241" s="1" t="n"/>
      <c r="Z241" s="1"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 t="n"/>
      <c r="R242" s="1" t="n"/>
      <c r="S242" s="1" t="n"/>
      <c r="T242" s="1" t="n"/>
      <c r="U242" s="1" t="n"/>
      <c r="V242" s="1" t="n"/>
      <c r="W242" s="1" t="n"/>
      <c r="X242" s="1" t="n"/>
      <c r="Y242" s="1" t="n"/>
      <c r="Z242" s="1"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 t="n"/>
      <c r="R243" s="1" t="n"/>
      <c r="S243" s="1" t="n"/>
      <c r="T243" s="1" t="n"/>
      <c r="U243" s="1" t="n"/>
      <c r="V243" s="1" t="n"/>
      <c r="W243" s="1" t="n"/>
      <c r="X243" s="1" t="n"/>
      <c r="Y243" s="1" t="n"/>
      <c r="Z243" s="1"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 t="n"/>
      <c r="R244" s="1" t="n"/>
      <c r="S244" s="1" t="n"/>
      <c r="T244" s="1" t="n"/>
      <c r="U244" s="1" t="n"/>
      <c r="V244" s="1" t="n"/>
      <c r="W244" s="1" t="n"/>
      <c r="X244" s="1" t="n"/>
      <c r="Y244" s="1" t="n"/>
      <c r="Z244" s="1"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 t="n"/>
      <c r="R245" s="1" t="n"/>
      <c r="S245" s="1" t="n"/>
      <c r="T245" s="1" t="n"/>
      <c r="U245" s="1" t="n"/>
      <c r="V245" s="1" t="n"/>
      <c r="W245" s="1" t="n"/>
      <c r="X245" s="1" t="n"/>
      <c r="Y245" s="1" t="n"/>
      <c r="Z245" s="1"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 t="n"/>
      <c r="R246" s="1" t="n"/>
      <c r="S246" s="1" t="n"/>
      <c r="T246" s="1" t="n"/>
      <c r="U246" s="1" t="n"/>
      <c r="V246" s="1" t="n"/>
      <c r="W246" s="1" t="n"/>
      <c r="X246" s="1" t="n"/>
      <c r="Y246" s="1" t="n"/>
      <c r="Z246" s="1"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 t="n"/>
      <c r="R247" s="1" t="n"/>
      <c r="S247" s="1" t="n"/>
      <c r="T247" s="1" t="n"/>
      <c r="U247" s="1" t="n"/>
      <c r="V247" s="1" t="n"/>
      <c r="W247" s="1" t="n"/>
      <c r="X247" s="1" t="n"/>
      <c r="Y247" s="1" t="n"/>
      <c r="Z247" s="1"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 t="n"/>
      <c r="R248" s="1" t="n"/>
      <c r="S248" s="1" t="n"/>
      <c r="T248" s="1" t="n"/>
      <c r="U248" s="1" t="n"/>
      <c r="V248" s="1" t="n"/>
      <c r="W248" s="1" t="n"/>
      <c r="X248" s="1" t="n"/>
      <c r="Y248" s="1" t="n"/>
      <c r="Z248" s="1"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 t="n"/>
      <c r="R249" s="1" t="n"/>
      <c r="S249" s="1" t="n"/>
      <c r="T249" s="1" t="n"/>
      <c r="U249" s="1" t="n"/>
      <c r="V249" s="1" t="n"/>
      <c r="W249" s="1" t="n"/>
      <c r="X249" s="1" t="n"/>
      <c r="Y249" s="1" t="n"/>
      <c r="Z249" s="1"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 t="n"/>
      <c r="R250" s="1" t="n"/>
      <c r="S250" s="1" t="n"/>
      <c r="T250" s="1" t="n"/>
      <c r="U250" s="1" t="n"/>
      <c r="V250" s="1" t="n"/>
      <c r="W250" s="1" t="n"/>
      <c r="X250" s="1" t="n"/>
      <c r="Y250" s="1" t="n"/>
      <c r="Z250" s="1"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 t="n"/>
      <c r="R251" s="1" t="n"/>
      <c r="S251" s="1" t="n"/>
      <c r="T251" s="1" t="n"/>
      <c r="U251" s="1" t="n"/>
      <c r="V251" s="1" t="n"/>
      <c r="W251" s="1" t="n"/>
      <c r="X251" s="1" t="n"/>
      <c r="Y251" s="1" t="n"/>
      <c r="Z251" s="1"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 t="n"/>
      <c r="R252" s="1" t="n"/>
      <c r="S252" s="1" t="n"/>
      <c r="T252" s="1" t="n"/>
      <c r="U252" s="1" t="n"/>
      <c r="V252" s="1" t="n"/>
      <c r="W252" s="1" t="n"/>
      <c r="X252" s="1" t="n"/>
      <c r="Y252" s="1" t="n"/>
      <c r="Z252" s="1"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 t="n"/>
      <c r="R253" s="1" t="n"/>
      <c r="S253" s="1" t="n"/>
      <c r="T253" s="1" t="n"/>
      <c r="U253" s="1" t="n"/>
      <c r="V253" s="1" t="n"/>
      <c r="W253" s="1" t="n"/>
      <c r="X253" s="1" t="n"/>
      <c r="Y253" s="1" t="n"/>
      <c r="Z253" s="1"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 t="n"/>
      <c r="R254" s="1" t="n"/>
      <c r="S254" s="1" t="n"/>
      <c r="T254" s="1" t="n"/>
      <c r="U254" s="1" t="n"/>
      <c r="V254" s="1" t="n"/>
      <c r="W254" s="1" t="n"/>
      <c r="X254" s="1" t="n"/>
      <c r="Y254" s="1" t="n"/>
      <c r="Z254" s="1" t="n"/>
    </row>
    <row r="255" ht="15.75" customHeight="1" s="311">
      <c r="A255" s="1" t="n"/>
      <c r="B255" s="1" t="n"/>
      <c r="C255" s="1" t="n"/>
      <c r="D255" s="1" t="n"/>
      <c r="E255" s="1" t="n"/>
      <c r="F255" s="1" t="n"/>
      <c r="G255" s="1" t="n"/>
      <c r="H255" s="1" t="n"/>
      <c r="I255" s="1" t="n"/>
      <c r="J255" s="1" t="n"/>
      <c r="K255" s="1" t="n"/>
      <c r="L255" s="1" t="n"/>
      <c r="M255" s="1" t="n"/>
      <c r="N255" s="1" t="n"/>
      <c r="O255" s="1" t="n"/>
      <c r="P255" s="1" t="n"/>
    </row>
    <row r="256" ht="15.75" customHeight="1" s="311">
      <c r="A256" s="1" t="n"/>
      <c r="B256" s="1" t="n"/>
      <c r="C256" s="1" t="n"/>
      <c r="D256" s="1" t="n"/>
      <c r="E256" s="1" t="n"/>
      <c r="F256" s="1" t="n"/>
      <c r="G256" s="1" t="n"/>
      <c r="H256" s="1" t="n"/>
      <c r="I256" s="1" t="n"/>
      <c r="J256" s="1" t="n"/>
      <c r="K256" s="1" t="n"/>
      <c r="L256" s="1" t="n"/>
      <c r="M256" s="1" t="n"/>
      <c r="N256" s="1" t="n"/>
      <c r="O256" s="1" t="n"/>
      <c r="P256" s="1" t="n"/>
    </row>
    <row r="257" ht="15.75" customHeight="1" s="311">
      <c r="A257" s="1" t="n"/>
      <c r="B257" s="1" t="n"/>
      <c r="C257" s="1" t="n"/>
      <c r="D257" s="1" t="n"/>
      <c r="E257" s="1" t="n"/>
      <c r="F257" s="1" t="n"/>
      <c r="G257" s="1" t="n"/>
      <c r="H257" s="1" t="n"/>
      <c r="I257" s="1" t="n"/>
      <c r="J257" s="1" t="n"/>
      <c r="K257" s="1" t="n"/>
      <c r="L257" s="1" t="n"/>
      <c r="M257" s="1" t="n"/>
      <c r="N257" s="1" t="n"/>
      <c r="O257" s="1" t="n"/>
      <c r="P257" s="1" t="n"/>
    </row>
    <row r="258" ht="15.75" customHeight="1" s="311">
      <c r="A258" s="1" t="n"/>
      <c r="B258" s="1" t="n"/>
      <c r="C258" s="1" t="n"/>
      <c r="D258" s="1" t="n"/>
      <c r="E258" s="1" t="n"/>
      <c r="F258" s="1" t="n"/>
      <c r="G258" s="1" t="n"/>
      <c r="H258" s="1" t="n"/>
      <c r="I258" s="1" t="n"/>
      <c r="J258" s="1" t="n"/>
      <c r="K258" s="1" t="n"/>
      <c r="L258" s="1" t="n"/>
      <c r="M258" s="1" t="n"/>
      <c r="N258" s="1" t="n"/>
      <c r="O258" s="1" t="n"/>
      <c r="P258" s="1" t="n"/>
    </row>
    <row r="259" ht="15.75" customHeight="1" s="311">
      <c r="A259" s="1" t="n"/>
      <c r="B259" s="1" t="n"/>
      <c r="C259" s="1" t="n"/>
      <c r="D259" s="1" t="n"/>
      <c r="E259" s="1" t="n"/>
      <c r="F259" s="1" t="n"/>
      <c r="G259" s="1" t="n"/>
      <c r="H259" s="1" t="n"/>
      <c r="I259" s="1" t="n"/>
      <c r="J259" s="1" t="n"/>
      <c r="K259" s="1" t="n"/>
      <c r="L259" s="1" t="n"/>
      <c r="M259" s="1" t="n"/>
      <c r="N259" s="1" t="n"/>
      <c r="O259" s="1" t="n"/>
      <c r="P259" s="1" t="n"/>
    </row>
    <row r="260" ht="15.75" customHeight="1" s="311">
      <c r="A260" s="1" t="n"/>
      <c r="B260" s="1" t="n"/>
      <c r="C260" s="1" t="n"/>
      <c r="D260" s="1" t="n"/>
      <c r="E260" s="1" t="n"/>
      <c r="F260" s="1" t="n"/>
      <c r="G260" s="1" t="n"/>
      <c r="H260" s="1" t="n"/>
      <c r="I260" s="1" t="n"/>
      <c r="J260" s="1" t="n"/>
      <c r="K260" s="1" t="n"/>
      <c r="L260" s="1" t="n"/>
      <c r="M260" s="1" t="n"/>
      <c r="N260" s="1" t="n"/>
      <c r="O260" s="1" t="n"/>
      <c r="P260" s="1" t="n"/>
    </row>
    <row r="261" ht="15.75" customHeight="1" s="311">
      <c r="A261" s="1" t="n"/>
      <c r="B261" s="1" t="n"/>
      <c r="C261" s="1" t="n"/>
      <c r="D261" s="1" t="n"/>
      <c r="E261" s="1" t="n"/>
      <c r="F261" s="1" t="n"/>
      <c r="G261" s="1" t="n"/>
      <c r="H261" s="1" t="n"/>
      <c r="I261" s="1" t="n"/>
      <c r="J261" s="1" t="n"/>
      <c r="K261" s="1" t="n"/>
      <c r="L261" s="1" t="n"/>
      <c r="M261" s="1" t="n"/>
      <c r="N261" s="1" t="n"/>
      <c r="O261" s="1" t="n"/>
      <c r="P261" s="1" t="n"/>
    </row>
    <row r="262" ht="15.75" customHeight="1" s="311">
      <c r="A262" s="1" t="n"/>
      <c r="B262" s="1" t="n"/>
      <c r="C262" s="1" t="n"/>
      <c r="D262" s="1" t="n"/>
      <c r="E262" s="1" t="n"/>
      <c r="F262" s="1" t="n"/>
      <c r="G262" s="1" t="n"/>
      <c r="H262" s="1" t="n"/>
      <c r="I262" s="1" t="n"/>
      <c r="J262" s="1" t="n"/>
      <c r="K262" s="1" t="n"/>
      <c r="L262" s="1" t="n"/>
      <c r="M262" s="1" t="n"/>
      <c r="N262" s="1" t="n"/>
      <c r="O262" s="1" t="n"/>
      <c r="P262" s="1" t="n"/>
    </row>
    <row r="263" ht="15.75" customHeight="1" s="311">
      <c r="A263" s="1" t="n"/>
      <c r="B263" s="1" t="n"/>
      <c r="C263" s="1" t="n"/>
      <c r="D263" s="1" t="n"/>
      <c r="E263" s="1" t="n"/>
      <c r="F263" s="1" t="n"/>
      <c r="G263" s="1" t="n"/>
      <c r="H263" s="1" t="n"/>
      <c r="I263" s="1" t="n"/>
      <c r="J263" s="1" t="n"/>
      <c r="K263" s="1" t="n"/>
      <c r="L263" s="1" t="n"/>
      <c r="M263" s="1" t="n"/>
      <c r="N263" s="1" t="n"/>
      <c r="O263" s="1" t="n"/>
      <c r="P263" s="1" t="n"/>
    </row>
    <row r="264" ht="15.75" customHeight="1" s="311">
      <c r="A264" s="1" t="n"/>
      <c r="B264" s="1" t="n"/>
      <c r="C264" s="1" t="n"/>
      <c r="D264" s="1" t="n"/>
      <c r="E264" s="1" t="n"/>
      <c r="F264" s="1" t="n"/>
      <c r="G264" s="1" t="n"/>
      <c r="H264" s="1" t="n"/>
      <c r="I264" s="1" t="n"/>
      <c r="J264" s="1" t="n"/>
      <c r="K264" s="1" t="n"/>
      <c r="L264" s="1" t="n"/>
      <c r="M264" s="1" t="n"/>
      <c r="N264" s="1" t="n"/>
      <c r="O264" s="1" t="n"/>
      <c r="P264" s="1" t="n"/>
    </row>
    <row r="265" ht="15.75" customHeight="1" s="311">
      <c r="A265" s="1" t="n"/>
      <c r="B265" s="1" t="n"/>
      <c r="C265" s="1" t="n"/>
      <c r="D265" s="1" t="n"/>
      <c r="E265" s="1" t="n"/>
      <c r="F265" s="1" t="n"/>
      <c r="G265" s="1" t="n"/>
      <c r="H265" s="1" t="n"/>
      <c r="I265" s="1" t="n"/>
      <c r="J265" s="1" t="n"/>
      <c r="K265" s="1" t="n"/>
      <c r="L265" s="1" t="n"/>
      <c r="M265" s="1" t="n"/>
      <c r="N265" s="1" t="n"/>
      <c r="O265" s="1" t="n"/>
      <c r="P265" s="1" t="n"/>
    </row>
    <row r="266" ht="15.75" customHeight="1" s="311">
      <c r="A266" s="1" t="n"/>
      <c r="B266" s="1" t="n"/>
      <c r="C266" s="1" t="n"/>
      <c r="D266" s="1" t="n"/>
      <c r="E266" s="1" t="n"/>
      <c r="F266" s="1" t="n"/>
      <c r="G266" s="1" t="n"/>
      <c r="H266" s="1" t="n"/>
      <c r="I266" s="1" t="n"/>
      <c r="J266" s="1" t="n"/>
      <c r="K266" s="1" t="n"/>
      <c r="L266" s="1" t="n"/>
      <c r="M266" s="1" t="n"/>
      <c r="N266" s="1" t="n"/>
      <c r="O266" s="1" t="n"/>
      <c r="P266" s="1" t="n"/>
    </row>
    <row r="267" ht="15.75" customHeight="1" s="311">
      <c r="A267" s="1" t="n"/>
      <c r="B267" s="1" t="n"/>
      <c r="C267" s="1" t="n"/>
      <c r="D267" s="1" t="n"/>
      <c r="E267" s="1" t="n"/>
      <c r="F267" s="1" t="n"/>
      <c r="G267" s="1" t="n"/>
      <c r="H267" s="1" t="n"/>
      <c r="I267" s="1" t="n"/>
      <c r="J267" s="1" t="n"/>
      <c r="K267" s="1" t="n"/>
      <c r="L267" s="1" t="n"/>
      <c r="M267" s="1" t="n"/>
      <c r="N267" s="1" t="n"/>
      <c r="O267" s="1" t="n"/>
      <c r="P267" s="1" t="n"/>
    </row>
    <row r="268" ht="15.75" customHeight="1" s="311">
      <c r="A268" s="1" t="n"/>
      <c r="B268" s="1" t="n"/>
      <c r="C268" s="1" t="n"/>
      <c r="D268" s="1" t="n"/>
      <c r="E268" s="1" t="n"/>
      <c r="F268" s="1" t="n"/>
      <c r="G268" s="1" t="n"/>
      <c r="H268" s="1" t="n"/>
      <c r="I268" s="1" t="n"/>
      <c r="J268" s="1" t="n"/>
      <c r="K268" s="1" t="n"/>
      <c r="L268" s="1" t="n"/>
      <c r="M268" s="1" t="n"/>
      <c r="N268" s="1" t="n"/>
      <c r="O268" s="1" t="n"/>
      <c r="P268" s="1" t="n"/>
    </row>
    <row r="269" ht="15.75" customHeight="1" s="311">
      <c r="A269" s="1" t="n"/>
      <c r="B269" s="1" t="n"/>
      <c r="C269" s="1" t="n"/>
      <c r="D269" s="1" t="n"/>
      <c r="E269" s="1" t="n"/>
      <c r="F269" s="1" t="n"/>
      <c r="G269" s="1" t="n"/>
      <c r="H269" s="1" t="n"/>
      <c r="I269" s="1" t="n"/>
      <c r="J269" s="1" t="n"/>
      <c r="K269" s="1" t="n"/>
      <c r="L269" s="1" t="n"/>
      <c r="M269" s="1" t="n"/>
      <c r="N269" s="1" t="n"/>
      <c r="O269" s="1" t="n"/>
      <c r="P269" s="1" t="n"/>
    </row>
    <row r="270" ht="15.75" customHeight="1" s="311">
      <c r="A270" s="1" t="n"/>
      <c r="B270" s="1" t="n"/>
      <c r="C270" s="1" t="n"/>
      <c r="D270" s="1" t="n"/>
      <c r="E270" s="1" t="n"/>
      <c r="F270" s="1" t="n"/>
      <c r="G270" s="1" t="n"/>
      <c r="H270" s="1" t="n"/>
      <c r="I270" s="1" t="n"/>
      <c r="J270" s="1" t="n"/>
      <c r="K270" s="1" t="n"/>
      <c r="L270" s="1" t="n"/>
      <c r="M270" s="1" t="n"/>
      <c r="N270" s="1" t="n"/>
      <c r="O270" s="1" t="n"/>
      <c r="P270" s="1" t="n"/>
    </row>
    <row r="271" ht="15.75" customHeight="1" s="311">
      <c r="A271" s="1" t="n"/>
      <c r="B271" s="1" t="n"/>
      <c r="C271" s="1" t="n"/>
      <c r="D271" s="1" t="n"/>
      <c r="E271" s="1" t="n"/>
      <c r="F271" s="1" t="n"/>
      <c r="G271" s="1" t="n"/>
      <c r="H271" s="1" t="n"/>
      <c r="I271" s="1" t="n"/>
      <c r="J271" s="1" t="n"/>
      <c r="K271" s="1" t="n"/>
      <c r="L271" s="1" t="n"/>
      <c r="M271" s="1" t="n"/>
      <c r="N271" s="1" t="n"/>
      <c r="O271" s="1" t="n"/>
      <c r="P271" s="1" t="n"/>
    </row>
    <row r="272" ht="15.75" customHeight="1" s="311">
      <c r="A272" s="1" t="n"/>
      <c r="B272" s="1" t="n"/>
      <c r="C272" s="1" t="n"/>
      <c r="D272" s="1" t="n"/>
      <c r="E272" s="1" t="n"/>
      <c r="F272" s="1" t="n"/>
      <c r="G272" s="1" t="n"/>
      <c r="H272" s="1" t="n"/>
      <c r="I272" s="1" t="n"/>
      <c r="J272" s="1" t="n"/>
      <c r="K272" s="1" t="n"/>
      <c r="L272" s="1" t="n"/>
      <c r="M272" s="1" t="n"/>
      <c r="N272" s="1" t="n"/>
      <c r="O272" s="1" t="n"/>
      <c r="P272" s="1" t="n"/>
    </row>
    <row r="273" ht="15.75" customHeight="1" s="311">
      <c r="A273" s="1" t="n"/>
      <c r="B273" s="1" t="n"/>
      <c r="C273" s="1" t="n"/>
      <c r="D273" s="1" t="n"/>
      <c r="E273" s="1" t="n"/>
      <c r="F273" s="1" t="n"/>
      <c r="G273" s="1" t="n"/>
      <c r="H273" s="1" t="n"/>
      <c r="I273" s="1" t="n"/>
      <c r="J273" s="1" t="n"/>
      <c r="K273" s="1" t="n"/>
      <c r="L273" s="1" t="n"/>
      <c r="M273" s="1" t="n"/>
      <c r="N273" s="1" t="n"/>
      <c r="O273" s="1" t="n"/>
      <c r="P273" s="1" t="n"/>
    </row>
    <row r="274" ht="15.75" customHeight="1" s="311">
      <c r="A274" s="1" t="n"/>
      <c r="B274" s="1" t="n"/>
      <c r="C274" s="1" t="n"/>
      <c r="D274" s="1" t="n"/>
      <c r="E274" s="1" t="n"/>
      <c r="F274" s="1" t="n"/>
      <c r="G274" s="1" t="n"/>
      <c r="H274" s="1" t="n"/>
      <c r="I274" s="1" t="n"/>
      <c r="J274" s="1" t="n"/>
      <c r="K274" s="1" t="n"/>
      <c r="L274" s="1" t="n"/>
      <c r="M274" s="1" t="n"/>
      <c r="N274" s="1" t="n"/>
      <c r="O274" s="1" t="n"/>
      <c r="P274" s="1" t="n"/>
    </row>
    <row r="275" ht="15.75" customHeight="1" s="311">
      <c r="A275" s="1" t="n"/>
      <c r="B275" s="1" t="n"/>
      <c r="C275" s="1" t="n"/>
      <c r="D275" s="1" t="n"/>
      <c r="E275" s="1" t="n"/>
      <c r="F275" s="1" t="n"/>
      <c r="G275" s="1" t="n"/>
      <c r="H275" s="1" t="n"/>
      <c r="I275" s="1" t="n"/>
      <c r="J275" s="1" t="n"/>
      <c r="K275" s="1" t="n"/>
      <c r="L275" s="1" t="n"/>
      <c r="M275" s="1" t="n"/>
      <c r="N275" s="1" t="n"/>
      <c r="O275" s="1" t="n"/>
      <c r="P275" s="1" t="n"/>
    </row>
    <row r="276" ht="15.75" customHeight="1" s="311">
      <c r="A276" s="1" t="n"/>
      <c r="B276" s="1" t="n"/>
      <c r="C276" s="1" t="n"/>
      <c r="D276" s="1" t="n"/>
      <c r="E276" s="1" t="n"/>
      <c r="F276" s="1" t="n"/>
      <c r="G276" s="1" t="n"/>
      <c r="H276" s="1" t="n"/>
      <c r="I276" s="1" t="n"/>
      <c r="J276" s="1" t="n"/>
      <c r="K276" s="1" t="n"/>
      <c r="L276" s="1" t="n"/>
      <c r="M276" s="1" t="n"/>
      <c r="N276" s="1" t="n"/>
      <c r="O276" s="1" t="n"/>
      <c r="P276" s="1" t="n"/>
    </row>
    <row r="277" ht="15.75" customHeight="1" s="311">
      <c r="A277" s="1" t="n"/>
      <c r="B277" s="1" t="n"/>
      <c r="C277" s="1" t="n"/>
      <c r="D277" s="1" t="n"/>
      <c r="E277" s="1" t="n"/>
      <c r="F277" s="1" t="n"/>
      <c r="G277" s="1" t="n"/>
      <c r="H277" s="1" t="n"/>
      <c r="I277" s="1" t="n"/>
      <c r="J277" s="1" t="n"/>
      <c r="K277" s="1" t="n"/>
      <c r="L277" s="1" t="n"/>
      <c r="M277" s="1" t="n"/>
      <c r="N277" s="1" t="n"/>
      <c r="O277" s="1" t="n"/>
      <c r="P277" s="1" t="n"/>
    </row>
    <row r="278" ht="15.75" customHeight="1" s="311">
      <c r="A278" s="1" t="n"/>
      <c r="B278" s="1" t="n"/>
      <c r="C278" s="1" t="n"/>
      <c r="D278" s="1" t="n"/>
      <c r="E278" s="1" t="n"/>
      <c r="F278" s="1" t="n"/>
      <c r="G278" s="1" t="n"/>
      <c r="H278" s="1" t="n"/>
      <c r="I278" s="1" t="n"/>
      <c r="J278" s="1" t="n"/>
      <c r="K278" s="1" t="n"/>
      <c r="L278" s="1" t="n"/>
      <c r="M278" s="1" t="n"/>
      <c r="N278" s="1" t="n"/>
      <c r="O278" s="1" t="n"/>
      <c r="P278" s="1" t="n"/>
    </row>
    <row r="279" ht="15.75" customHeight="1" s="311">
      <c r="A279" s="1" t="n"/>
      <c r="B279" s="1" t="n"/>
      <c r="C279" s="1" t="n"/>
      <c r="D279" s="1" t="n"/>
      <c r="E279" s="1" t="n"/>
      <c r="F279" s="1" t="n"/>
      <c r="G279" s="1" t="n"/>
      <c r="H279" s="1" t="n"/>
      <c r="I279" s="1" t="n"/>
      <c r="J279" s="1" t="n"/>
      <c r="K279" s="1" t="n"/>
      <c r="L279" s="1" t="n"/>
      <c r="M279" s="1" t="n"/>
      <c r="N279" s="1" t="n"/>
      <c r="O279" s="1" t="n"/>
      <c r="P279" s="1" t="n"/>
    </row>
    <row r="280" ht="15.75" customHeight="1" s="311">
      <c r="A280" s="1" t="n"/>
      <c r="B280" s="1" t="n"/>
      <c r="C280" s="1" t="n"/>
      <c r="D280" s="1" t="n"/>
      <c r="E280" s="1" t="n"/>
      <c r="F280" s="1" t="n"/>
      <c r="G280" s="1" t="n"/>
      <c r="H280" s="1" t="n"/>
      <c r="I280" s="1" t="n"/>
      <c r="J280" s="1" t="n"/>
      <c r="K280" s="1" t="n"/>
      <c r="L280" s="1" t="n"/>
      <c r="M280" s="1" t="n"/>
      <c r="N280" s="1" t="n"/>
      <c r="O280" s="1" t="n"/>
      <c r="P280" s="1" t="n"/>
    </row>
    <row r="281" ht="15.75" customHeight="1" s="311">
      <c r="A281" s="1" t="n"/>
      <c r="B281" s="1" t="n"/>
      <c r="C281" s="1" t="n"/>
      <c r="D281" s="1" t="n"/>
      <c r="E281" s="1" t="n"/>
      <c r="F281" s="1" t="n"/>
      <c r="G281" s="1" t="n"/>
      <c r="H281" s="1" t="n"/>
      <c r="I281" s="1" t="n"/>
      <c r="J281" s="1" t="n"/>
      <c r="K281" s="1" t="n"/>
      <c r="L281" s="1" t="n"/>
      <c r="M281" s="1" t="n"/>
      <c r="N281" s="1" t="n"/>
      <c r="O281" s="1" t="n"/>
      <c r="P281" s="1" t="n"/>
    </row>
    <row r="282" ht="15.75" customHeight="1" s="311">
      <c r="A282" s="1" t="n"/>
      <c r="B282" s="1" t="n"/>
      <c r="C282" s="1" t="n"/>
      <c r="D282" s="1" t="n"/>
      <c r="E282" s="1" t="n"/>
      <c r="F282" s="1" t="n"/>
      <c r="G282" s="1" t="n"/>
      <c r="H282" s="1" t="n"/>
      <c r="I282" s="1" t="n"/>
      <c r="J282" s="1" t="n"/>
      <c r="K282" s="1" t="n"/>
      <c r="L282" s="1" t="n"/>
      <c r="M282" s="1" t="n"/>
      <c r="N282" s="1" t="n"/>
      <c r="O282" s="1" t="n"/>
      <c r="P282" s="1" t="n"/>
    </row>
    <row r="283" ht="15.75" customHeight="1" s="311">
      <c r="A283" s="1" t="n"/>
      <c r="B283" s="1" t="n"/>
      <c r="C283" s="1" t="n"/>
      <c r="D283" s="1" t="n"/>
      <c r="E283" s="1" t="n"/>
      <c r="F283" s="1" t="n"/>
      <c r="G283" s="1" t="n"/>
      <c r="H283" s="1" t="n"/>
      <c r="I283" s="1" t="n"/>
      <c r="J283" s="1" t="n"/>
      <c r="K283" s="1" t="n"/>
      <c r="L283" s="1" t="n"/>
      <c r="M283" s="1" t="n"/>
      <c r="N283" s="1" t="n"/>
      <c r="O283" s="1" t="n"/>
      <c r="P283" s="1" t="n"/>
    </row>
    <row r="284" ht="15.75" customHeight="1" s="311">
      <c r="A284" s="1" t="n"/>
      <c r="B284" s="1" t="n"/>
      <c r="C284" s="1" t="n"/>
      <c r="D284" s="1" t="n"/>
      <c r="E284" s="1" t="n"/>
      <c r="F284" s="1" t="n"/>
      <c r="G284" s="1" t="n"/>
      <c r="H284" s="1" t="n"/>
      <c r="I284" s="1" t="n"/>
      <c r="J284" s="1" t="n"/>
      <c r="K284" s="1" t="n"/>
      <c r="L284" s="1" t="n"/>
      <c r="M284" s="1" t="n"/>
      <c r="N284" s="1" t="n"/>
      <c r="O284" s="1" t="n"/>
      <c r="P284" s="1" t="n"/>
    </row>
    <row r="285" ht="15.75" customHeight="1" s="311">
      <c r="A285" s="1" t="n"/>
      <c r="B285" s="1" t="n"/>
      <c r="C285" s="1" t="n"/>
      <c r="D285" s="1" t="n"/>
      <c r="E285" s="1" t="n"/>
      <c r="F285" s="1" t="n"/>
      <c r="G285" s="1" t="n"/>
      <c r="H285" s="1" t="n"/>
      <c r="I285" s="1" t="n"/>
      <c r="J285" s="1" t="n"/>
      <c r="K285" s="1" t="n"/>
      <c r="L285" s="1" t="n"/>
      <c r="M285" s="1" t="n"/>
      <c r="N285" s="1" t="n"/>
      <c r="O285" s="1" t="n"/>
      <c r="P285" s="1" t="n"/>
    </row>
    <row r="286" ht="15.75" customHeight="1" s="311">
      <c r="A286" s="1" t="n"/>
      <c r="B286" s="1" t="n"/>
      <c r="C286" s="1" t="n"/>
      <c r="D286" s="1" t="n"/>
      <c r="E286" s="1" t="n"/>
      <c r="F286" s="1" t="n"/>
      <c r="G286" s="1" t="n"/>
      <c r="H286" s="1" t="n"/>
      <c r="I286" s="1" t="n"/>
      <c r="J286" s="1" t="n"/>
      <c r="K286" s="1" t="n"/>
      <c r="L286" s="1" t="n"/>
      <c r="M286" s="1" t="n"/>
      <c r="N286" s="1" t="n"/>
      <c r="O286" s="1" t="n"/>
      <c r="P286" s="1" t="n"/>
    </row>
    <row r="287" ht="15.75" customHeight="1" s="311">
      <c r="A287" s="1" t="n"/>
      <c r="B287" s="1" t="n"/>
      <c r="C287" s="1" t="n"/>
      <c r="D287" s="1" t="n"/>
      <c r="E287" s="1" t="n"/>
      <c r="F287" s="1" t="n"/>
      <c r="G287" s="1" t="n"/>
      <c r="H287" s="1" t="n"/>
      <c r="I287" s="1" t="n"/>
      <c r="J287" s="1" t="n"/>
      <c r="K287" s="1" t="n"/>
      <c r="L287" s="1" t="n"/>
      <c r="M287" s="1" t="n"/>
      <c r="N287" s="1" t="n"/>
      <c r="O287" s="1" t="n"/>
      <c r="P287" s="1" t="n"/>
    </row>
    <row r="288" ht="15.75" customHeight="1" s="311">
      <c r="A288" s="1" t="n"/>
      <c r="B288" s="1" t="n"/>
      <c r="C288" s="1" t="n"/>
      <c r="D288" s="1" t="n"/>
      <c r="E288" s="1" t="n"/>
      <c r="F288" s="1" t="n"/>
      <c r="G288" s="1" t="n"/>
      <c r="H288" s="1" t="n"/>
      <c r="I288" s="1" t="n"/>
      <c r="J288" s="1" t="n"/>
      <c r="K288" s="1" t="n"/>
      <c r="L288" s="1" t="n"/>
      <c r="M288" s="1" t="n"/>
      <c r="N288" s="1" t="n"/>
      <c r="O288" s="1" t="n"/>
      <c r="P288" s="1" t="n"/>
    </row>
    <row r="289" ht="15.75" customHeight="1" s="311">
      <c r="A289" s="1" t="n"/>
      <c r="B289" s="1" t="n"/>
      <c r="C289" s="1" t="n"/>
      <c r="D289" s="1" t="n"/>
      <c r="E289" s="1" t="n"/>
      <c r="F289" s="1" t="n"/>
      <c r="G289" s="1" t="n"/>
      <c r="H289" s="1" t="n"/>
      <c r="I289" s="1" t="n"/>
      <c r="J289" s="1" t="n"/>
      <c r="K289" s="1" t="n"/>
      <c r="L289" s="1" t="n"/>
      <c r="M289" s="1" t="n"/>
      <c r="N289" s="1" t="n"/>
      <c r="O289" s="1" t="n"/>
      <c r="P289" s="1" t="n"/>
    </row>
    <row r="290" ht="15.75" customHeight="1" s="311">
      <c r="A290" s="1" t="n"/>
      <c r="B290" s="1" t="n"/>
      <c r="C290" s="1" t="n"/>
      <c r="D290" s="1" t="n"/>
      <c r="E290" s="1" t="n"/>
      <c r="F290" s="1" t="n"/>
      <c r="G290" s="1" t="n"/>
      <c r="H290" s="1" t="n"/>
      <c r="I290" s="1" t="n"/>
      <c r="J290" s="1" t="n"/>
      <c r="K290" s="1" t="n"/>
      <c r="L290" s="1" t="n"/>
      <c r="M290" s="1" t="n"/>
      <c r="N290" s="1" t="n"/>
      <c r="O290" s="1" t="n"/>
      <c r="P290" s="1" t="n"/>
    </row>
    <row r="291" ht="15.75" customHeight="1" s="311">
      <c r="A291" s="1" t="n"/>
      <c r="B291" s="1" t="n"/>
      <c r="C291" s="1" t="n"/>
      <c r="D291" s="1" t="n"/>
      <c r="E291" s="1" t="n"/>
      <c r="F291" s="1" t="n"/>
      <c r="G291" s="1" t="n"/>
      <c r="H291" s="1" t="n"/>
      <c r="I291" s="1" t="n"/>
      <c r="J291" s="1" t="n"/>
      <c r="K291" s="1" t="n"/>
      <c r="L291" s="1" t="n"/>
      <c r="M291" s="1" t="n"/>
      <c r="N291" s="1" t="n"/>
      <c r="O291" s="1" t="n"/>
      <c r="P291" s="1" t="n"/>
    </row>
    <row r="292" ht="15.75" customHeight="1" s="311">
      <c r="A292" s="1" t="n"/>
      <c r="B292" s="1" t="n"/>
      <c r="C292" s="1" t="n"/>
      <c r="D292" s="1" t="n"/>
      <c r="E292" s="1" t="n"/>
      <c r="F292" s="1" t="n"/>
      <c r="G292" s="1" t="n"/>
      <c r="H292" s="1" t="n"/>
      <c r="I292" s="1" t="n"/>
      <c r="J292" s="1" t="n"/>
      <c r="K292" s="1" t="n"/>
      <c r="L292" s="1" t="n"/>
      <c r="M292" s="1" t="n"/>
      <c r="N292" s="1" t="n"/>
      <c r="O292" s="1" t="n"/>
      <c r="P292" s="1" t="n"/>
    </row>
    <row r="293" ht="15.75" customHeight="1" s="311">
      <c r="A293" s="1" t="n"/>
      <c r="B293" s="1" t="n"/>
      <c r="C293" s="1" t="n"/>
      <c r="D293" s="1" t="n"/>
      <c r="E293" s="1" t="n"/>
      <c r="F293" s="1" t="n"/>
      <c r="G293" s="1" t="n"/>
      <c r="H293" s="1" t="n"/>
      <c r="I293" s="1" t="n"/>
      <c r="J293" s="1" t="n"/>
      <c r="K293" s="1" t="n"/>
      <c r="L293" s="1" t="n"/>
      <c r="M293" s="1" t="n"/>
      <c r="N293" s="1" t="n"/>
      <c r="O293" s="1" t="n"/>
      <c r="P293" s="1" t="n"/>
    </row>
    <row r="294" ht="15.75" customHeight="1" s="311">
      <c r="A294" s="1" t="n"/>
      <c r="B294" s="1" t="n"/>
      <c r="C294" s="1" t="n"/>
      <c r="D294" s="1" t="n"/>
      <c r="E294" s="1" t="n"/>
      <c r="F294" s="1" t="n"/>
      <c r="G294" s="1" t="n"/>
      <c r="H294" s="1" t="n"/>
      <c r="I294" s="1" t="n"/>
      <c r="J294" s="1" t="n"/>
      <c r="K294" s="1" t="n"/>
      <c r="L294" s="1" t="n"/>
      <c r="M294" s="1" t="n"/>
      <c r="N294" s="1" t="n"/>
      <c r="O294" s="1" t="n"/>
      <c r="P294" s="1" t="n"/>
    </row>
    <row r="295" ht="15.75" customHeight="1" s="311">
      <c r="A295" s="1" t="n"/>
      <c r="B295" s="1" t="n"/>
      <c r="C295" s="1" t="n"/>
      <c r="D295" s="1" t="n"/>
      <c r="E295" s="1" t="n"/>
      <c r="F295" s="1" t="n"/>
      <c r="G295" s="1" t="n"/>
      <c r="H295" s="1" t="n"/>
      <c r="I295" s="1" t="n"/>
      <c r="J295" s="1" t="n"/>
      <c r="K295" s="1" t="n"/>
      <c r="L295" s="1" t="n"/>
      <c r="M295" s="1" t="n"/>
      <c r="N295" s="1" t="n"/>
      <c r="O295" s="1" t="n"/>
      <c r="P295" s="1" t="n"/>
    </row>
    <row r="296" ht="15.75" customHeight="1" s="311">
      <c r="A296" s="1" t="n"/>
      <c r="B296" s="1" t="n"/>
      <c r="C296" s="1" t="n"/>
      <c r="D296" s="1" t="n"/>
      <c r="E296" s="1" t="n"/>
      <c r="F296" s="1" t="n"/>
      <c r="G296" s="1" t="n"/>
      <c r="H296" s="1" t="n"/>
      <c r="I296" s="1" t="n"/>
      <c r="J296" s="1" t="n"/>
      <c r="K296" s="1" t="n"/>
      <c r="L296" s="1" t="n"/>
      <c r="M296" s="1" t="n"/>
      <c r="N296" s="1" t="n"/>
      <c r="O296" s="1" t="n"/>
      <c r="P296" s="1" t="n"/>
    </row>
    <row r="297" ht="15.75" customHeight="1" s="311">
      <c r="A297" s="1" t="n"/>
      <c r="B297" s="1" t="n"/>
      <c r="C297" s="1" t="n"/>
      <c r="D297" s="1" t="n"/>
      <c r="E297" s="1" t="n"/>
      <c r="F297" s="1" t="n"/>
      <c r="G297" s="1" t="n"/>
      <c r="H297" s="1" t="n"/>
      <c r="I297" s="1" t="n"/>
      <c r="J297" s="1" t="n"/>
      <c r="K297" s="1" t="n"/>
      <c r="L297" s="1" t="n"/>
      <c r="M297" s="1" t="n"/>
      <c r="N297" s="1" t="n"/>
      <c r="O297" s="1" t="n"/>
      <c r="P297" s="1" t="n"/>
    </row>
    <row r="298" ht="15.75" customHeight="1" s="311">
      <c r="A298" s="1" t="n"/>
      <c r="B298" s="1" t="n"/>
      <c r="C298" s="1" t="n"/>
      <c r="D298" s="1" t="n"/>
      <c r="E298" s="1" t="n"/>
      <c r="F298" s="1" t="n"/>
      <c r="G298" s="1" t="n"/>
      <c r="H298" s="1" t="n"/>
      <c r="I298" s="1" t="n"/>
      <c r="J298" s="1" t="n"/>
      <c r="K298" s="1" t="n"/>
      <c r="L298" s="1" t="n"/>
      <c r="M298" s="1" t="n"/>
      <c r="N298" s="1" t="n"/>
      <c r="O298" s="1" t="n"/>
      <c r="P298" s="1" t="n"/>
    </row>
    <row r="299" ht="15.75" customHeight="1" s="311">
      <c r="A299" s="1" t="n"/>
      <c r="B299" s="1" t="n"/>
      <c r="C299" s="1" t="n"/>
      <c r="D299" s="1" t="n"/>
      <c r="E299" s="1" t="n"/>
      <c r="F299" s="1" t="n"/>
      <c r="G299" s="1" t="n"/>
      <c r="H299" s="1" t="n"/>
      <c r="I299" s="1" t="n"/>
      <c r="J299" s="1" t="n"/>
      <c r="K299" s="1" t="n"/>
      <c r="L299" s="1" t="n"/>
      <c r="M299" s="1" t="n"/>
      <c r="N299" s="1" t="n"/>
      <c r="O299" s="1" t="n"/>
      <c r="P299" s="1" t="n"/>
    </row>
    <row r="300" ht="15.75" customHeight="1" s="311">
      <c r="A300" s="1" t="n"/>
      <c r="B300" s="1" t="n"/>
      <c r="C300" s="1" t="n"/>
      <c r="D300" s="1" t="n"/>
      <c r="E300" s="1" t="n"/>
      <c r="F300" s="1" t="n"/>
      <c r="G300" s="1" t="n"/>
      <c r="H300" s="1" t="n"/>
      <c r="I300" s="1" t="n"/>
      <c r="J300" s="1" t="n"/>
      <c r="K300" s="1" t="n"/>
      <c r="L300" s="1" t="n"/>
      <c r="M300" s="1" t="n"/>
      <c r="N300" s="1" t="n"/>
      <c r="O300" s="1" t="n"/>
      <c r="P300" s="1" t="n"/>
    </row>
    <row r="301" ht="15.75" customHeight="1" s="311">
      <c r="A301" s="1" t="n"/>
      <c r="B301" s="1" t="n"/>
      <c r="C301" s="1" t="n"/>
      <c r="D301" s="1" t="n"/>
      <c r="E301" s="1" t="n"/>
      <c r="F301" s="1" t="n"/>
      <c r="G301" s="1" t="n"/>
      <c r="H301" s="1" t="n"/>
      <c r="I301" s="1" t="n"/>
      <c r="J301" s="1" t="n"/>
      <c r="K301" s="1" t="n"/>
      <c r="L301" s="1" t="n"/>
      <c r="M301" s="1" t="n"/>
      <c r="N301" s="1" t="n"/>
      <c r="O301" s="1" t="n"/>
      <c r="P301" s="1" t="n"/>
    </row>
    <row r="302" ht="15.75" customHeight="1" s="311">
      <c r="A302" s="1" t="n"/>
      <c r="B302" s="1" t="n"/>
      <c r="C302" s="1" t="n"/>
      <c r="D302" s="1" t="n"/>
      <c r="E302" s="1" t="n"/>
      <c r="F302" s="1" t="n"/>
      <c r="G302" s="1" t="n"/>
      <c r="H302" s="1" t="n"/>
      <c r="I302" s="1" t="n"/>
      <c r="J302" s="1" t="n"/>
      <c r="K302" s="1" t="n"/>
      <c r="L302" s="1" t="n"/>
      <c r="M302" s="1" t="n"/>
      <c r="N302" s="1" t="n"/>
      <c r="O302" s="1" t="n"/>
      <c r="P302" s="1" t="n"/>
    </row>
    <row r="303" ht="15.75" customHeight="1" s="311">
      <c r="A303" s="1" t="n"/>
      <c r="B303" s="1" t="n"/>
      <c r="C303" s="1" t="n"/>
      <c r="D303" s="1" t="n"/>
      <c r="E303" s="1" t="n"/>
      <c r="F303" s="1" t="n"/>
      <c r="G303" s="1" t="n"/>
      <c r="H303" s="1" t="n"/>
      <c r="I303" s="1" t="n"/>
      <c r="J303" s="1" t="n"/>
      <c r="K303" s="1" t="n"/>
      <c r="L303" s="1" t="n"/>
      <c r="M303" s="1" t="n"/>
      <c r="N303" s="1" t="n"/>
      <c r="O303" s="1" t="n"/>
      <c r="P303" s="1" t="n"/>
    </row>
    <row r="304" ht="15.75" customHeight="1" s="311">
      <c r="A304" s="1" t="n"/>
      <c r="B304" s="1" t="n"/>
      <c r="C304" s="1" t="n"/>
      <c r="D304" s="1" t="n"/>
      <c r="E304" s="1" t="n"/>
      <c r="F304" s="1" t="n"/>
      <c r="G304" s="1" t="n"/>
      <c r="H304" s="1" t="n"/>
      <c r="I304" s="1" t="n"/>
      <c r="J304" s="1" t="n"/>
      <c r="K304" s="1" t="n"/>
      <c r="L304" s="1" t="n"/>
      <c r="M304" s="1" t="n"/>
      <c r="N304" s="1" t="n"/>
      <c r="O304" s="1" t="n"/>
      <c r="P304" s="1" t="n"/>
    </row>
    <row r="305" ht="15.75" customHeight="1" s="311">
      <c r="A305" s="1" t="n"/>
      <c r="B305" s="1" t="n"/>
      <c r="C305" s="1" t="n"/>
      <c r="D305" s="1" t="n"/>
      <c r="E305" s="1" t="n"/>
      <c r="F305" s="1" t="n"/>
      <c r="G305" s="1" t="n"/>
      <c r="H305" s="1" t="n"/>
      <c r="I305" s="1" t="n"/>
      <c r="J305" s="1" t="n"/>
      <c r="K305" s="1" t="n"/>
      <c r="L305" s="1" t="n"/>
      <c r="M305" s="1" t="n"/>
      <c r="N305" s="1" t="n"/>
      <c r="O305" s="1" t="n"/>
      <c r="P305" s="1" t="n"/>
    </row>
    <row r="306" ht="15.75" customHeight="1" s="311">
      <c r="A306" s="1" t="n"/>
      <c r="B306" s="1" t="n"/>
      <c r="C306" s="1" t="n"/>
      <c r="D306" s="1" t="n"/>
      <c r="E306" s="1" t="n"/>
      <c r="F306" s="1" t="n"/>
      <c r="G306" s="1" t="n"/>
      <c r="H306" s="1" t="n"/>
      <c r="I306" s="1" t="n"/>
      <c r="J306" s="1" t="n"/>
      <c r="K306" s="1" t="n"/>
      <c r="L306" s="1" t="n"/>
      <c r="M306" s="1" t="n"/>
      <c r="N306" s="1" t="n"/>
      <c r="O306" s="1" t="n"/>
      <c r="P306" s="1" t="n"/>
    </row>
    <row r="307" ht="15.75" customHeight="1" s="311">
      <c r="A307" s="1" t="n"/>
      <c r="B307" s="1" t="n"/>
      <c r="C307" s="1" t="n"/>
      <c r="D307" s="1" t="n"/>
      <c r="E307" s="1" t="n"/>
      <c r="F307" s="1" t="n"/>
      <c r="G307" s="1" t="n"/>
      <c r="H307" s="1" t="n"/>
      <c r="I307" s="1" t="n"/>
      <c r="J307" s="1" t="n"/>
      <c r="K307" s="1" t="n"/>
      <c r="L307" s="1" t="n"/>
      <c r="M307" s="1" t="n"/>
      <c r="N307" s="1" t="n"/>
      <c r="O307" s="1" t="n"/>
      <c r="P307" s="1" t="n"/>
    </row>
    <row r="308" ht="15.75" customHeight="1" s="311">
      <c r="A308" s="1" t="n"/>
      <c r="B308" s="1" t="n"/>
      <c r="C308" s="1" t="n"/>
      <c r="D308" s="1" t="n"/>
      <c r="E308" s="1" t="n"/>
      <c r="F308" s="1" t="n"/>
      <c r="G308" s="1" t="n"/>
      <c r="H308" s="1" t="n"/>
      <c r="I308" s="1" t="n"/>
      <c r="J308" s="1" t="n"/>
      <c r="K308" s="1" t="n"/>
      <c r="L308" s="1" t="n"/>
      <c r="M308" s="1" t="n"/>
      <c r="N308" s="1" t="n"/>
      <c r="O308" s="1" t="n"/>
      <c r="P308" s="1" t="n"/>
    </row>
    <row r="309" ht="15.75" customHeight="1" s="311">
      <c r="A309" s="1" t="n"/>
      <c r="B309" s="1" t="n"/>
      <c r="C309" s="1" t="n"/>
      <c r="D309" s="1" t="n"/>
      <c r="E309" s="1" t="n"/>
      <c r="F309" s="1" t="n"/>
      <c r="G309" s="1" t="n"/>
      <c r="H309" s="1" t="n"/>
      <c r="I309" s="1" t="n"/>
      <c r="J309" s="1" t="n"/>
      <c r="K309" s="1" t="n"/>
      <c r="L309" s="1" t="n"/>
      <c r="M309" s="1" t="n"/>
      <c r="N309" s="1" t="n"/>
      <c r="O309" s="1" t="n"/>
      <c r="P309" s="1" t="n"/>
    </row>
    <row r="310" ht="15.75" customHeight="1" s="311">
      <c r="A310" s="1" t="n"/>
      <c r="B310" s="1" t="n"/>
      <c r="C310" s="1" t="n"/>
      <c r="D310" s="1" t="n"/>
      <c r="E310" s="1" t="n"/>
      <c r="F310" s="1" t="n"/>
      <c r="G310" s="1" t="n"/>
      <c r="H310" s="1" t="n"/>
      <c r="I310" s="1" t="n"/>
      <c r="J310" s="1" t="n"/>
      <c r="K310" s="1" t="n"/>
      <c r="L310" s="1" t="n"/>
      <c r="M310" s="1" t="n"/>
      <c r="N310" s="1" t="n"/>
      <c r="O310" s="1" t="n"/>
      <c r="P310" s="1" t="n"/>
    </row>
    <row r="311" ht="15.75" customHeight="1" s="311">
      <c r="A311" s="1" t="n"/>
      <c r="B311" s="1" t="n"/>
      <c r="C311" s="1" t="n"/>
      <c r="D311" s="1" t="n"/>
      <c r="E311" s="1" t="n"/>
      <c r="F311" s="1" t="n"/>
      <c r="G311" s="1" t="n"/>
      <c r="H311" s="1" t="n"/>
      <c r="I311" s="1" t="n"/>
      <c r="J311" s="1" t="n"/>
      <c r="K311" s="1" t="n"/>
      <c r="L311" s="1" t="n"/>
      <c r="M311" s="1" t="n"/>
      <c r="N311" s="1" t="n"/>
      <c r="O311" s="1" t="n"/>
      <c r="P311" s="1" t="n"/>
    </row>
    <row r="312" ht="15.75" customHeight="1" s="311">
      <c r="A312" s="1" t="n"/>
      <c r="B312" s="1" t="n"/>
      <c r="C312" s="1" t="n"/>
      <c r="D312" s="1" t="n"/>
      <c r="E312" s="1" t="n"/>
      <c r="F312" s="1" t="n"/>
      <c r="G312" s="1" t="n"/>
      <c r="H312" s="1" t="n"/>
      <c r="I312" s="1" t="n"/>
      <c r="J312" s="1" t="n"/>
      <c r="K312" s="1" t="n"/>
      <c r="L312" s="1" t="n"/>
      <c r="M312" s="1" t="n"/>
      <c r="N312" s="1" t="n"/>
      <c r="O312" s="1" t="n"/>
      <c r="P312" s="1" t="n"/>
    </row>
    <row r="313" ht="15.75" customHeight="1" s="311">
      <c r="A313" s="1" t="n"/>
      <c r="B313" s="1" t="n"/>
      <c r="C313" s="1" t="n"/>
      <c r="D313" s="1" t="n"/>
      <c r="E313" s="1" t="n"/>
      <c r="F313" s="1" t="n"/>
      <c r="G313" s="1" t="n"/>
      <c r="H313" s="1" t="n"/>
      <c r="I313" s="1" t="n"/>
      <c r="J313" s="1" t="n"/>
      <c r="K313" s="1" t="n"/>
      <c r="L313" s="1" t="n"/>
      <c r="M313" s="1" t="n"/>
      <c r="N313" s="1" t="n"/>
      <c r="O313" s="1" t="n"/>
      <c r="P313" s="1" t="n"/>
    </row>
    <row r="314" ht="15.75" customHeight="1" s="311">
      <c r="A314" s="1" t="n"/>
      <c r="B314" s="1" t="n"/>
      <c r="C314" s="1" t="n"/>
      <c r="D314" s="1" t="n"/>
      <c r="E314" s="1" t="n"/>
      <c r="F314" s="1" t="n"/>
      <c r="G314" s="1" t="n"/>
      <c r="H314" s="1" t="n"/>
      <c r="I314" s="1" t="n"/>
      <c r="J314" s="1" t="n"/>
      <c r="K314" s="1" t="n"/>
      <c r="L314" s="1" t="n"/>
      <c r="M314" s="1" t="n"/>
      <c r="N314" s="1" t="n"/>
      <c r="O314" s="1" t="n"/>
      <c r="P314" s="1" t="n"/>
    </row>
    <row r="315" ht="15.75" customHeight="1" s="311">
      <c r="A315" s="1" t="n"/>
      <c r="B315" s="1" t="n"/>
      <c r="C315" s="1" t="n"/>
      <c r="D315" s="1" t="n"/>
      <c r="E315" s="1" t="n"/>
      <c r="F315" s="1" t="n"/>
      <c r="G315" s="1" t="n"/>
      <c r="H315" s="1" t="n"/>
      <c r="I315" s="1" t="n"/>
      <c r="J315" s="1" t="n"/>
      <c r="K315" s="1" t="n"/>
      <c r="L315" s="1" t="n"/>
      <c r="M315" s="1" t="n"/>
      <c r="N315" s="1" t="n"/>
      <c r="O315" s="1" t="n"/>
      <c r="P315" s="1" t="n"/>
    </row>
    <row r="316" ht="15.75" customHeight="1" s="311">
      <c r="A316" s="1" t="n"/>
      <c r="B316" s="1" t="n"/>
      <c r="C316" s="1" t="n"/>
      <c r="D316" s="1" t="n"/>
      <c r="E316" s="1" t="n"/>
      <c r="F316" s="1" t="n"/>
      <c r="G316" s="1" t="n"/>
      <c r="H316" s="1" t="n"/>
      <c r="I316" s="1" t="n"/>
      <c r="J316" s="1" t="n"/>
      <c r="K316" s="1" t="n"/>
      <c r="L316" s="1" t="n"/>
      <c r="M316" s="1" t="n"/>
      <c r="N316" s="1" t="n"/>
      <c r="O316" s="1" t="n"/>
      <c r="P316" s="1" t="n"/>
    </row>
    <row r="317" ht="15.75" customHeight="1" s="311">
      <c r="A317" s="1" t="n"/>
      <c r="B317" s="1" t="n"/>
      <c r="C317" s="1" t="n"/>
      <c r="D317" s="1" t="n"/>
      <c r="E317" s="1" t="n"/>
      <c r="F317" s="1" t="n"/>
      <c r="G317" s="1" t="n"/>
      <c r="H317" s="1" t="n"/>
      <c r="I317" s="1" t="n"/>
      <c r="J317" s="1" t="n"/>
      <c r="K317" s="1" t="n"/>
      <c r="L317" s="1" t="n"/>
      <c r="M317" s="1" t="n"/>
      <c r="N317" s="1" t="n"/>
      <c r="O317" s="1" t="n"/>
      <c r="P317" s="1" t="n"/>
    </row>
    <row r="318" ht="15.75" customHeight="1" s="311">
      <c r="A318" s="1" t="n"/>
      <c r="B318" s="1" t="n"/>
      <c r="C318" s="1" t="n"/>
      <c r="D318" s="1" t="n"/>
      <c r="E318" s="1" t="n"/>
      <c r="F318" s="1" t="n"/>
      <c r="G318" s="1" t="n"/>
      <c r="H318" s="1" t="n"/>
      <c r="I318" s="1" t="n"/>
      <c r="J318" s="1" t="n"/>
      <c r="K318" s="1" t="n"/>
      <c r="L318" s="1" t="n"/>
      <c r="M318" s="1" t="n"/>
      <c r="N318" s="1" t="n"/>
      <c r="O318" s="1" t="n"/>
      <c r="P318" s="1" t="n"/>
    </row>
    <row r="319" ht="15.75" customHeight="1" s="311">
      <c r="A319" s="1" t="n"/>
      <c r="B319" s="1" t="n"/>
      <c r="C319" s="1" t="n"/>
      <c r="D319" s="1" t="n"/>
      <c r="E319" s="1" t="n"/>
      <c r="F319" s="1" t="n"/>
      <c r="G319" s="1" t="n"/>
      <c r="H319" s="1" t="n"/>
      <c r="I319" s="1" t="n"/>
      <c r="J319" s="1" t="n"/>
      <c r="K319" s="1" t="n"/>
      <c r="L319" s="1" t="n"/>
      <c r="M319" s="1" t="n"/>
      <c r="N319" s="1" t="n"/>
      <c r="O319" s="1" t="n"/>
      <c r="P319" s="1" t="n"/>
    </row>
    <row r="320" ht="15.75" customHeight="1" s="311">
      <c r="A320" s="1" t="n"/>
      <c r="B320" s="1" t="n"/>
      <c r="C320" s="1" t="n"/>
      <c r="D320" s="1" t="n"/>
      <c r="E320" s="1" t="n"/>
      <c r="F320" s="1" t="n"/>
      <c r="G320" s="1" t="n"/>
      <c r="H320" s="1" t="n"/>
      <c r="I320" s="1" t="n"/>
      <c r="J320" s="1" t="n"/>
      <c r="K320" s="1" t="n"/>
      <c r="L320" s="1" t="n"/>
      <c r="M320" s="1" t="n"/>
      <c r="N320" s="1" t="n"/>
      <c r="O320" s="1" t="n"/>
      <c r="P320" s="1" t="n"/>
    </row>
    <row r="321" ht="15.75" customHeight="1" s="311">
      <c r="A321" s="1" t="n"/>
      <c r="B321" s="1" t="n"/>
      <c r="C321" s="1" t="n"/>
      <c r="D321" s="1" t="n"/>
      <c r="E321" s="1" t="n"/>
      <c r="F321" s="1" t="n"/>
      <c r="G321" s="1" t="n"/>
      <c r="H321" s="1" t="n"/>
      <c r="I321" s="1" t="n"/>
      <c r="J321" s="1" t="n"/>
      <c r="K321" s="1" t="n"/>
      <c r="L321" s="1" t="n"/>
      <c r="M321" s="1" t="n"/>
      <c r="N321" s="1" t="n"/>
      <c r="O321" s="1" t="n"/>
      <c r="P321" s="1" t="n"/>
    </row>
    <row r="322" ht="15.75" customHeight="1" s="311">
      <c r="A322" s="1" t="n"/>
      <c r="B322" s="1" t="n"/>
      <c r="C322" s="1" t="n"/>
      <c r="D322" s="1" t="n"/>
      <c r="E322" s="1" t="n"/>
      <c r="F322" s="1" t="n"/>
      <c r="G322" s="1" t="n"/>
      <c r="H322" s="1" t="n"/>
      <c r="I322" s="1" t="n"/>
      <c r="J322" s="1" t="n"/>
      <c r="K322" s="1" t="n"/>
      <c r="L322" s="1" t="n"/>
      <c r="M322" s="1" t="n"/>
      <c r="N322" s="1" t="n"/>
      <c r="O322" s="1" t="n"/>
      <c r="P322" s="1" t="n"/>
    </row>
    <row r="323" ht="15.75" customHeight="1" s="311">
      <c r="A323" s="1" t="n"/>
      <c r="B323" s="1" t="n"/>
      <c r="C323" s="1" t="n"/>
      <c r="D323" s="1" t="n"/>
      <c r="E323" s="1" t="n"/>
      <c r="F323" s="1" t="n"/>
      <c r="G323" s="1" t="n"/>
      <c r="H323" s="1" t="n"/>
      <c r="I323" s="1" t="n"/>
      <c r="J323" s="1" t="n"/>
      <c r="K323" s="1" t="n"/>
      <c r="L323" s="1" t="n"/>
      <c r="M323" s="1" t="n"/>
      <c r="N323" s="1" t="n"/>
      <c r="O323" s="1" t="n"/>
      <c r="P323" s="1" t="n"/>
    </row>
    <row r="324" ht="15.75" customHeight="1" s="311">
      <c r="A324" s="1" t="n"/>
      <c r="B324" s="1" t="n"/>
      <c r="C324" s="1" t="n"/>
      <c r="D324" s="1" t="n"/>
      <c r="E324" s="1" t="n"/>
      <c r="F324" s="1" t="n"/>
      <c r="G324" s="1" t="n"/>
      <c r="H324" s="1" t="n"/>
      <c r="I324" s="1" t="n"/>
      <c r="J324" s="1" t="n"/>
      <c r="K324" s="1" t="n"/>
      <c r="L324" s="1" t="n"/>
      <c r="M324" s="1" t="n"/>
      <c r="N324" s="1" t="n"/>
      <c r="O324" s="1" t="n"/>
      <c r="P324" s="1" t="n"/>
    </row>
    <row r="325" ht="15.75" customHeight="1" s="311">
      <c r="A325" s="1" t="n"/>
      <c r="B325" s="1" t="n"/>
      <c r="C325" s="1" t="n"/>
      <c r="D325" s="1" t="n"/>
      <c r="E325" s="1" t="n"/>
      <c r="F325" s="1" t="n"/>
      <c r="G325" s="1" t="n"/>
      <c r="H325" s="1" t="n"/>
      <c r="I325" s="1" t="n"/>
      <c r="J325" s="1" t="n"/>
      <c r="K325" s="1" t="n"/>
      <c r="L325" s="1" t="n"/>
      <c r="M325" s="1" t="n"/>
      <c r="N325" s="1" t="n"/>
      <c r="O325" s="1" t="n"/>
      <c r="P325" s="1" t="n"/>
    </row>
    <row r="326" ht="15.75" customHeight="1" s="311">
      <c r="A326" s="1" t="n"/>
      <c r="B326" s="1" t="n"/>
      <c r="C326" s="1" t="n"/>
      <c r="D326" s="1" t="n"/>
      <c r="E326" s="1" t="n"/>
      <c r="F326" s="1" t="n"/>
      <c r="G326" s="1" t="n"/>
      <c r="H326" s="1" t="n"/>
      <c r="I326" s="1" t="n"/>
      <c r="J326" s="1" t="n"/>
      <c r="K326" s="1" t="n"/>
      <c r="L326" s="1" t="n"/>
      <c r="M326" s="1" t="n"/>
      <c r="N326" s="1" t="n"/>
      <c r="O326" s="1" t="n"/>
      <c r="P326" s="1" t="n"/>
    </row>
    <row r="327" ht="15.75" customHeight="1" s="311">
      <c r="A327" s="1" t="n"/>
      <c r="B327" s="1" t="n"/>
      <c r="C327" s="1" t="n"/>
      <c r="D327" s="1" t="n"/>
      <c r="E327" s="1" t="n"/>
      <c r="F327" s="1" t="n"/>
      <c r="G327" s="1" t="n"/>
      <c r="H327" s="1" t="n"/>
      <c r="I327" s="1" t="n"/>
      <c r="J327" s="1" t="n"/>
      <c r="K327" s="1" t="n"/>
      <c r="L327" s="1" t="n"/>
      <c r="M327" s="1" t="n"/>
      <c r="N327" s="1" t="n"/>
      <c r="O327" s="1" t="n"/>
      <c r="P327" s="1" t="n"/>
    </row>
    <row r="328" ht="15.75" customHeight="1" s="311">
      <c r="A328" s="1" t="n"/>
      <c r="B328" s="1" t="n"/>
      <c r="C328" s="1" t="n"/>
      <c r="D328" s="1" t="n"/>
      <c r="E328" s="1" t="n"/>
      <c r="F328" s="1" t="n"/>
      <c r="G328" s="1" t="n"/>
      <c r="H328" s="1" t="n"/>
      <c r="I328" s="1" t="n"/>
      <c r="J328" s="1" t="n"/>
      <c r="K328" s="1" t="n"/>
      <c r="L328" s="1" t="n"/>
      <c r="M328" s="1" t="n"/>
      <c r="N328" s="1" t="n"/>
      <c r="O328" s="1" t="n"/>
      <c r="P328" s="1" t="n"/>
    </row>
    <row r="329" ht="15.75" customHeight="1" s="311">
      <c r="A329" s="1" t="n"/>
      <c r="B329" s="1" t="n"/>
      <c r="C329" s="1" t="n"/>
      <c r="D329" s="1" t="n"/>
      <c r="E329" s="1" t="n"/>
      <c r="F329" s="1" t="n"/>
      <c r="G329" s="1" t="n"/>
      <c r="H329" s="1" t="n"/>
      <c r="I329" s="1" t="n"/>
      <c r="J329" s="1" t="n"/>
      <c r="K329" s="1" t="n"/>
      <c r="L329" s="1" t="n"/>
      <c r="M329" s="1" t="n"/>
      <c r="N329" s="1" t="n"/>
      <c r="O329" s="1" t="n"/>
      <c r="P329" s="1" t="n"/>
    </row>
    <row r="330" ht="15.75" customHeight="1" s="311">
      <c r="A330" s="1" t="n"/>
      <c r="B330" s="1" t="n"/>
      <c r="C330" s="1" t="n"/>
      <c r="D330" s="1" t="n"/>
      <c r="E330" s="1" t="n"/>
      <c r="F330" s="1" t="n"/>
      <c r="G330" s="1" t="n"/>
      <c r="H330" s="1" t="n"/>
      <c r="I330" s="1" t="n"/>
      <c r="J330" s="1" t="n"/>
      <c r="K330" s="1" t="n"/>
      <c r="L330" s="1" t="n"/>
      <c r="M330" s="1" t="n"/>
      <c r="N330" s="1" t="n"/>
      <c r="O330" s="1" t="n"/>
      <c r="P330" s="1" t="n"/>
    </row>
    <row r="331" ht="15.75" customHeight="1" s="311">
      <c r="A331" s="1" t="n"/>
      <c r="B331" s="1" t="n"/>
      <c r="C331" s="1" t="n"/>
      <c r="D331" s="1" t="n"/>
      <c r="E331" s="1" t="n"/>
      <c r="F331" s="1" t="n"/>
      <c r="G331" s="1" t="n"/>
      <c r="H331" s="1" t="n"/>
      <c r="I331" s="1" t="n"/>
      <c r="J331" s="1" t="n"/>
      <c r="K331" s="1" t="n"/>
      <c r="L331" s="1" t="n"/>
      <c r="M331" s="1" t="n"/>
      <c r="N331" s="1" t="n"/>
      <c r="O331" s="1" t="n"/>
      <c r="P331" s="1" t="n"/>
    </row>
    <row r="332" ht="15.75" customHeight="1" s="311">
      <c r="A332" s="1" t="n"/>
      <c r="B332" s="1" t="n"/>
      <c r="C332" s="1" t="n"/>
      <c r="D332" s="1" t="n"/>
      <c r="E332" s="1" t="n"/>
      <c r="F332" s="1" t="n"/>
      <c r="G332" s="1" t="n"/>
      <c r="H332" s="1" t="n"/>
      <c r="I332" s="1" t="n"/>
      <c r="J332" s="1" t="n"/>
      <c r="K332" s="1" t="n"/>
      <c r="L332" s="1" t="n"/>
      <c r="M332" s="1" t="n"/>
      <c r="N332" s="1" t="n"/>
      <c r="O332" s="1" t="n"/>
      <c r="P332" s="1" t="n"/>
    </row>
    <row r="333" ht="15.75" customHeight="1" s="311">
      <c r="A333" s="1" t="n"/>
      <c r="B333" s="1" t="n"/>
      <c r="C333" s="1" t="n"/>
      <c r="D333" s="1" t="n"/>
      <c r="E333" s="1" t="n"/>
      <c r="F333" s="1" t="n"/>
      <c r="G333" s="1" t="n"/>
      <c r="H333" s="1" t="n"/>
      <c r="I333" s="1" t="n"/>
      <c r="J333" s="1" t="n"/>
      <c r="K333" s="1" t="n"/>
      <c r="L333" s="1" t="n"/>
      <c r="M333" s="1" t="n"/>
      <c r="N333" s="1" t="n"/>
      <c r="O333" s="1" t="n"/>
      <c r="P333" s="1" t="n"/>
    </row>
    <row r="334" ht="15.75" customHeight="1" s="311">
      <c r="A334" s="1" t="n"/>
      <c r="B334" s="1" t="n"/>
      <c r="C334" s="1" t="n"/>
      <c r="D334" s="1" t="n"/>
      <c r="E334" s="1" t="n"/>
      <c r="F334" s="1" t="n"/>
      <c r="G334" s="1" t="n"/>
      <c r="H334" s="1" t="n"/>
      <c r="I334" s="1" t="n"/>
      <c r="J334" s="1" t="n"/>
      <c r="K334" s="1" t="n"/>
      <c r="L334" s="1" t="n"/>
      <c r="M334" s="1" t="n"/>
      <c r="N334" s="1" t="n"/>
      <c r="O334" s="1" t="n"/>
      <c r="P334" s="1" t="n"/>
    </row>
    <row r="335" ht="15.75" customHeight="1" s="311">
      <c r="A335" s="1" t="n"/>
      <c r="B335" s="1" t="n"/>
      <c r="C335" s="1" t="n"/>
      <c r="D335" s="1" t="n"/>
      <c r="E335" s="1" t="n"/>
      <c r="F335" s="1" t="n"/>
      <c r="G335" s="1" t="n"/>
      <c r="H335" s="1" t="n"/>
      <c r="I335" s="1" t="n"/>
      <c r="J335" s="1" t="n"/>
      <c r="K335" s="1" t="n"/>
      <c r="L335" s="1" t="n"/>
      <c r="M335" s="1" t="n"/>
      <c r="N335" s="1" t="n"/>
      <c r="O335" s="1" t="n"/>
      <c r="P335" s="1" t="n"/>
    </row>
    <row r="336" ht="15.75" customHeight="1" s="311">
      <c r="A336" s="1" t="n"/>
      <c r="B336" s="1" t="n"/>
      <c r="C336" s="1" t="n"/>
      <c r="D336" s="1" t="n"/>
      <c r="E336" s="1" t="n"/>
      <c r="F336" s="1" t="n"/>
      <c r="G336" s="1" t="n"/>
      <c r="H336" s="1" t="n"/>
      <c r="I336" s="1" t="n"/>
      <c r="J336" s="1" t="n"/>
      <c r="K336" s="1" t="n"/>
      <c r="L336" s="1" t="n"/>
      <c r="M336" s="1" t="n"/>
      <c r="N336" s="1" t="n"/>
      <c r="O336" s="1" t="n"/>
      <c r="P336" s="1" t="n"/>
    </row>
    <row r="337" ht="15.75" customHeight="1" s="311">
      <c r="A337" s="1" t="n"/>
      <c r="B337" s="1" t="n"/>
      <c r="C337" s="1" t="n"/>
      <c r="D337" s="1" t="n"/>
      <c r="E337" s="1" t="n"/>
      <c r="F337" s="1" t="n"/>
      <c r="G337" s="1" t="n"/>
      <c r="H337" s="1" t="n"/>
      <c r="I337" s="1" t="n"/>
      <c r="J337" s="1" t="n"/>
      <c r="K337" s="1" t="n"/>
      <c r="L337" s="1" t="n"/>
      <c r="M337" s="1" t="n"/>
      <c r="N337" s="1" t="n"/>
      <c r="O337" s="1" t="n"/>
      <c r="P337" s="1" t="n"/>
    </row>
    <row r="338" ht="15.75" customHeight="1" s="311">
      <c r="A338" s="1" t="n"/>
      <c r="B338" s="1" t="n"/>
      <c r="C338" s="1" t="n"/>
      <c r="D338" s="1" t="n"/>
      <c r="E338" s="1" t="n"/>
      <c r="F338" s="1" t="n"/>
      <c r="G338" s="1" t="n"/>
      <c r="H338" s="1" t="n"/>
      <c r="I338" s="1" t="n"/>
      <c r="J338" s="1" t="n"/>
      <c r="K338" s="1" t="n"/>
      <c r="L338" s="1" t="n"/>
      <c r="M338" s="1" t="n"/>
      <c r="N338" s="1" t="n"/>
      <c r="O338" s="1" t="n"/>
      <c r="P338" s="1" t="n"/>
    </row>
    <row r="339" ht="15.75" customHeight="1" s="311">
      <c r="A339" s="1" t="n"/>
      <c r="B339" s="1" t="n"/>
      <c r="C339" s="1" t="n"/>
      <c r="D339" s="1" t="n"/>
      <c r="E339" s="1" t="n"/>
      <c r="F339" s="1" t="n"/>
      <c r="G339" s="1" t="n"/>
      <c r="H339" s="1" t="n"/>
      <c r="I339" s="1" t="n"/>
      <c r="J339" s="1" t="n"/>
      <c r="K339" s="1" t="n"/>
      <c r="L339" s="1" t="n"/>
      <c r="M339" s="1" t="n"/>
      <c r="N339" s="1" t="n"/>
      <c r="O339" s="1" t="n"/>
      <c r="P339" s="1" t="n"/>
    </row>
    <row r="340" ht="15.75" customHeight="1" s="311">
      <c r="A340" s="1" t="n"/>
      <c r="B340" s="1" t="n"/>
      <c r="C340" s="1" t="n"/>
      <c r="D340" s="1" t="n"/>
      <c r="E340" s="1" t="n"/>
      <c r="F340" s="1" t="n"/>
      <c r="G340" s="1" t="n"/>
      <c r="H340" s="1" t="n"/>
      <c r="I340" s="1" t="n"/>
      <c r="J340" s="1" t="n"/>
      <c r="K340" s="1" t="n"/>
      <c r="L340" s="1" t="n"/>
      <c r="M340" s="1" t="n"/>
      <c r="N340" s="1" t="n"/>
      <c r="O340" s="1" t="n"/>
      <c r="P340" s="1" t="n"/>
    </row>
    <row r="341" ht="15.75" customHeight="1" s="311">
      <c r="A341" s="1" t="n"/>
      <c r="B341" s="1" t="n"/>
      <c r="C341" s="1" t="n"/>
      <c r="D341" s="1" t="n"/>
      <c r="E341" s="1" t="n"/>
      <c r="F341" s="1" t="n"/>
      <c r="G341" s="1" t="n"/>
      <c r="H341" s="1" t="n"/>
      <c r="I341" s="1" t="n"/>
      <c r="J341" s="1" t="n"/>
      <c r="K341" s="1" t="n"/>
      <c r="L341" s="1" t="n"/>
      <c r="M341" s="1" t="n"/>
      <c r="N341" s="1" t="n"/>
      <c r="O341" s="1" t="n"/>
      <c r="P341" s="1" t="n"/>
    </row>
    <row r="342" ht="15.75" customHeight="1" s="311">
      <c r="A342" s="1" t="n"/>
      <c r="B342" s="1" t="n"/>
      <c r="C342" s="1" t="n"/>
      <c r="D342" s="1" t="n"/>
      <c r="E342" s="1" t="n"/>
      <c r="F342" s="1" t="n"/>
      <c r="G342" s="1" t="n"/>
      <c r="H342" s="1" t="n"/>
      <c r="I342" s="1" t="n"/>
      <c r="J342" s="1" t="n"/>
      <c r="K342" s="1" t="n"/>
      <c r="L342" s="1" t="n"/>
      <c r="M342" s="1" t="n"/>
      <c r="N342" s="1" t="n"/>
      <c r="O342" s="1" t="n"/>
      <c r="P342" s="1" t="n"/>
    </row>
    <row r="343" ht="15.75" customHeight="1" s="311">
      <c r="A343" s="1" t="n"/>
      <c r="B343" s="1" t="n"/>
      <c r="C343" s="1" t="n"/>
      <c r="D343" s="1" t="n"/>
      <c r="E343" s="1" t="n"/>
      <c r="F343" s="1" t="n"/>
      <c r="G343" s="1" t="n"/>
      <c r="H343" s="1" t="n"/>
      <c r="I343" s="1" t="n"/>
      <c r="J343" s="1" t="n"/>
      <c r="K343" s="1" t="n"/>
      <c r="L343" s="1" t="n"/>
      <c r="M343" s="1" t="n"/>
      <c r="N343" s="1" t="n"/>
      <c r="O343" s="1" t="n"/>
      <c r="P343" s="1" t="n"/>
    </row>
    <row r="344" ht="15.75" customHeight="1" s="311">
      <c r="A344" s="1" t="n"/>
      <c r="B344" s="1" t="n"/>
      <c r="C344" s="1" t="n"/>
      <c r="D344" s="1" t="n"/>
      <c r="E344" s="1" t="n"/>
      <c r="F344" s="1" t="n"/>
      <c r="G344" s="1" t="n"/>
      <c r="H344" s="1" t="n"/>
      <c r="I344" s="1" t="n"/>
      <c r="J344" s="1" t="n"/>
      <c r="K344" s="1" t="n"/>
      <c r="L344" s="1" t="n"/>
      <c r="M344" s="1" t="n"/>
      <c r="N344" s="1" t="n"/>
      <c r="O344" s="1" t="n"/>
      <c r="P344" s="1" t="n"/>
    </row>
    <row r="345" ht="15.75" customHeight="1" s="311">
      <c r="A345" s="1" t="n"/>
      <c r="B345" s="1" t="n"/>
      <c r="C345" s="1" t="n"/>
      <c r="D345" s="1" t="n"/>
      <c r="E345" s="1" t="n"/>
      <c r="F345" s="1" t="n"/>
      <c r="G345" s="1" t="n"/>
      <c r="H345" s="1" t="n"/>
      <c r="I345" s="1" t="n"/>
      <c r="J345" s="1" t="n"/>
      <c r="K345" s="1" t="n"/>
      <c r="L345" s="1" t="n"/>
      <c r="M345" s="1" t="n"/>
      <c r="N345" s="1" t="n"/>
      <c r="O345" s="1" t="n"/>
      <c r="P345" s="1" t="n"/>
    </row>
    <row r="346" ht="15.75" customHeight="1" s="311">
      <c r="A346" s="1" t="n"/>
      <c r="B346" s="1" t="n"/>
      <c r="C346" s="1" t="n"/>
      <c r="D346" s="1" t="n"/>
      <c r="E346" s="1" t="n"/>
      <c r="F346" s="1" t="n"/>
      <c r="G346" s="1" t="n"/>
      <c r="H346" s="1" t="n"/>
      <c r="I346" s="1" t="n"/>
      <c r="J346" s="1" t="n"/>
      <c r="K346" s="1" t="n"/>
      <c r="L346" s="1" t="n"/>
      <c r="M346" s="1" t="n"/>
      <c r="N346" s="1" t="n"/>
      <c r="O346" s="1" t="n"/>
      <c r="P346" s="1" t="n"/>
    </row>
    <row r="347" ht="15.75" customHeight="1" s="311">
      <c r="A347" s="1" t="n"/>
      <c r="B347" s="1" t="n"/>
      <c r="C347" s="1" t="n"/>
      <c r="D347" s="1" t="n"/>
      <c r="E347" s="1" t="n"/>
      <c r="F347" s="1" t="n"/>
      <c r="G347" s="1" t="n"/>
      <c r="H347" s="1" t="n"/>
      <c r="I347" s="1" t="n"/>
      <c r="J347" s="1" t="n"/>
      <c r="K347" s="1" t="n"/>
      <c r="L347" s="1" t="n"/>
      <c r="M347" s="1" t="n"/>
      <c r="N347" s="1" t="n"/>
      <c r="O347" s="1" t="n"/>
      <c r="P347" s="1" t="n"/>
    </row>
    <row r="348" ht="15.75" customHeight="1" s="311">
      <c r="A348" s="1" t="n"/>
      <c r="B348" s="1" t="n"/>
      <c r="C348" s="1" t="n"/>
      <c r="D348" s="1" t="n"/>
      <c r="E348" s="1" t="n"/>
      <c r="F348" s="1" t="n"/>
      <c r="G348" s="1" t="n"/>
      <c r="H348" s="1" t="n"/>
      <c r="I348" s="1" t="n"/>
      <c r="J348" s="1" t="n"/>
      <c r="K348" s="1" t="n"/>
      <c r="L348" s="1" t="n"/>
      <c r="M348" s="1" t="n"/>
      <c r="N348" s="1" t="n"/>
      <c r="O348" s="1" t="n"/>
      <c r="P348" s="1" t="n"/>
    </row>
    <row r="349" ht="15.75" customHeight="1" s="311">
      <c r="A349" s="1" t="n"/>
      <c r="B349" s="1" t="n"/>
      <c r="C349" s="1" t="n"/>
      <c r="D349" s="1" t="n"/>
      <c r="E349" s="1" t="n"/>
      <c r="F349" s="1" t="n"/>
      <c r="G349" s="1" t="n"/>
      <c r="H349" s="1" t="n"/>
      <c r="I349" s="1" t="n"/>
      <c r="J349" s="1" t="n"/>
      <c r="K349" s="1" t="n"/>
      <c r="L349" s="1" t="n"/>
      <c r="M349" s="1" t="n"/>
      <c r="N349" s="1" t="n"/>
      <c r="O349" s="1" t="n"/>
      <c r="P349" s="1" t="n"/>
    </row>
    <row r="350" ht="15.75" customHeight="1" s="311">
      <c r="A350" s="1" t="n"/>
      <c r="B350" s="1" t="n"/>
      <c r="C350" s="1" t="n"/>
      <c r="D350" s="1" t="n"/>
      <c r="E350" s="1" t="n"/>
      <c r="F350" s="1" t="n"/>
      <c r="G350" s="1" t="n"/>
      <c r="H350" s="1" t="n"/>
      <c r="I350" s="1" t="n"/>
      <c r="J350" s="1" t="n"/>
      <c r="K350" s="1" t="n"/>
      <c r="L350" s="1" t="n"/>
      <c r="M350" s="1" t="n"/>
      <c r="N350" s="1" t="n"/>
      <c r="O350" s="1" t="n"/>
      <c r="P350" s="1" t="n"/>
    </row>
    <row r="351" ht="15.75" customHeight="1" s="311">
      <c r="A351" s="1" t="n"/>
      <c r="B351" s="1" t="n"/>
      <c r="C351" s="1" t="n"/>
      <c r="D351" s="1" t="n"/>
      <c r="E351" s="1" t="n"/>
      <c r="F351" s="1" t="n"/>
      <c r="G351" s="1" t="n"/>
      <c r="H351" s="1" t="n"/>
      <c r="I351" s="1" t="n"/>
      <c r="J351" s="1" t="n"/>
      <c r="K351" s="1" t="n"/>
      <c r="L351" s="1" t="n"/>
      <c r="M351" s="1" t="n"/>
      <c r="N351" s="1" t="n"/>
      <c r="O351" s="1" t="n"/>
      <c r="P351" s="1" t="n"/>
    </row>
    <row r="352" ht="15.75" customHeight="1" s="311">
      <c r="A352" s="1" t="n"/>
      <c r="B352" s="1" t="n"/>
      <c r="C352" s="1" t="n"/>
      <c r="D352" s="1" t="n"/>
      <c r="E352" s="1" t="n"/>
      <c r="F352" s="1" t="n"/>
      <c r="G352" s="1" t="n"/>
      <c r="H352" s="1" t="n"/>
      <c r="I352" s="1" t="n"/>
      <c r="J352" s="1" t="n"/>
      <c r="K352" s="1" t="n"/>
      <c r="L352" s="1" t="n"/>
      <c r="M352" s="1" t="n"/>
      <c r="N352" s="1" t="n"/>
      <c r="O352" s="1" t="n"/>
      <c r="P352" s="1" t="n"/>
    </row>
    <row r="353" ht="15.75" customHeight="1" s="311">
      <c r="A353" s="1" t="n"/>
      <c r="B353" s="1" t="n"/>
      <c r="C353" s="1" t="n"/>
      <c r="D353" s="1" t="n"/>
      <c r="E353" s="1" t="n"/>
      <c r="F353" s="1" t="n"/>
      <c r="G353" s="1" t="n"/>
      <c r="H353" s="1" t="n"/>
      <c r="I353" s="1" t="n"/>
      <c r="J353" s="1" t="n"/>
      <c r="K353" s="1" t="n"/>
      <c r="L353" s="1" t="n"/>
      <c r="M353" s="1" t="n"/>
      <c r="N353" s="1" t="n"/>
      <c r="O353" s="1" t="n"/>
      <c r="P353" s="1" t="n"/>
    </row>
    <row r="354" ht="15.75" customHeight="1" s="311">
      <c r="A354" s="1" t="n"/>
      <c r="B354" s="1" t="n"/>
      <c r="C354" s="1" t="n"/>
      <c r="D354" s="1" t="n"/>
      <c r="E354" s="1" t="n"/>
      <c r="F354" s="1" t="n"/>
      <c r="G354" s="1" t="n"/>
      <c r="H354" s="1" t="n"/>
      <c r="I354" s="1" t="n"/>
      <c r="J354" s="1" t="n"/>
      <c r="K354" s="1" t="n"/>
      <c r="L354" s="1" t="n"/>
      <c r="M354" s="1" t="n"/>
      <c r="N354" s="1" t="n"/>
      <c r="O354" s="1" t="n"/>
      <c r="P354" s="1" t="n"/>
    </row>
    <row r="355" ht="15.75" customHeight="1" s="311">
      <c r="A355" s="1" t="n"/>
      <c r="B355" s="1" t="n"/>
      <c r="C355" s="1" t="n"/>
      <c r="D355" s="1" t="n"/>
      <c r="E355" s="1" t="n"/>
      <c r="F355" s="1" t="n"/>
      <c r="G355" s="1" t="n"/>
      <c r="H355" s="1" t="n"/>
      <c r="I355" s="1" t="n"/>
      <c r="J355" s="1" t="n"/>
      <c r="K355" s="1" t="n"/>
      <c r="L355" s="1" t="n"/>
      <c r="M355" s="1" t="n"/>
      <c r="N355" s="1" t="n"/>
      <c r="O355" s="1" t="n"/>
      <c r="P355" s="1" t="n"/>
    </row>
    <row r="356" ht="15.75" customHeight="1" s="311">
      <c r="A356" s="1" t="n"/>
      <c r="B356" s="1" t="n"/>
      <c r="C356" s="1" t="n"/>
      <c r="D356" s="1" t="n"/>
      <c r="E356" s="1" t="n"/>
      <c r="F356" s="1" t="n"/>
      <c r="G356" s="1" t="n"/>
      <c r="H356" s="1" t="n"/>
      <c r="I356" s="1" t="n"/>
      <c r="J356" s="1" t="n"/>
      <c r="K356" s="1" t="n"/>
      <c r="L356" s="1" t="n"/>
      <c r="M356" s="1" t="n"/>
      <c r="N356" s="1" t="n"/>
      <c r="O356" s="1" t="n"/>
      <c r="P356" s="1" t="n"/>
    </row>
    <row r="357" ht="15.75" customHeight="1" s="311">
      <c r="A357" s="1" t="n"/>
      <c r="B357" s="1" t="n"/>
      <c r="C357" s="1" t="n"/>
      <c r="D357" s="1" t="n"/>
      <c r="E357" s="1" t="n"/>
      <c r="F357" s="1" t="n"/>
      <c r="G357" s="1" t="n"/>
      <c r="H357" s="1" t="n"/>
      <c r="I357" s="1" t="n"/>
      <c r="J357" s="1" t="n"/>
      <c r="K357" s="1" t="n"/>
      <c r="L357" s="1" t="n"/>
      <c r="M357" s="1" t="n"/>
      <c r="N357" s="1" t="n"/>
      <c r="O357" s="1" t="n"/>
      <c r="P357" s="1" t="n"/>
    </row>
    <row r="358" ht="15.75" customHeight="1" s="311">
      <c r="A358" s="1" t="n"/>
      <c r="B358" s="1" t="n"/>
      <c r="C358" s="1" t="n"/>
      <c r="D358" s="1" t="n"/>
      <c r="E358" s="1" t="n"/>
      <c r="F358" s="1" t="n"/>
      <c r="G358" s="1" t="n"/>
      <c r="H358" s="1" t="n"/>
      <c r="I358" s="1" t="n"/>
      <c r="J358" s="1" t="n"/>
      <c r="K358" s="1" t="n"/>
      <c r="L358" s="1" t="n"/>
      <c r="M358" s="1" t="n"/>
      <c r="N358" s="1" t="n"/>
      <c r="O358" s="1" t="n"/>
      <c r="P358" s="1" t="n"/>
    </row>
    <row r="359" ht="15.75" customHeight="1" s="311">
      <c r="A359" s="1" t="n"/>
      <c r="B359" s="1" t="n"/>
      <c r="C359" s="1" t="n"/>
      <c r="D359" s="1" t="n"/>
      <c r="E359" s="1" t="n"/>
      <c r="F359" s="1" t="n"/>
      <c r="G359" s="1" t="n"/>
      <c r="H359" s="1" t="n"/>
      <c r="I359" s="1" t="n"/>
      <c r="J359" s="1" t="n"/>
      <c r="K359" s="1" t="n"/>
      <c r="L359" s="1" t="n"/>
      <c r="M359" s="1" t="n"/>
      <c r="N359" s="1" t="n"/>
      <c r="O359" s="1" t="n"/>
      <c r="P359" s="1" t="n"/>
    </row>
    <row r="360" ht="15.75" customHeight="1" s="311">
      <c r="A360" s="1" t="n"/>
      <c r="B360" s="1" t="n"/>
      <c r="C360" s="1" t="n"/>
      <c r="D360" s="1" t="n"/>
      <c r="E360" s="1" t="n"/>
      <c r="F360" s="1" t="n"/>
      <c r="G360" s="1" t="n"/>
      <c r="H360" s="1" t="n"/>
      <c r="I360" s="1" t="n"/>
      <c r="J360" s="1" t="n"/>
      <c r="K360" s="1" t="n"/>
      <c r="L360" s="1" t="n"/>
      <c r="M360" s="1" t="n"/>
      <c r="N360" s="1" t="n"/>
      <c r="O360" s="1" t="n"/>
      <c r="P360" s="1" t="n"/>
    </row>
    <row r="361" ht="15.75" customHeight="1" s="311">
      <c r="A361" s="1" t="n"/>
      <c r="B361" s="1" t="n"/>
      <c r="C361" s="1" t="n"/>
      <c r="D361" s="1" t="n"/>
      <c r="E361" s="1" t="n"/>
      <c r="F361" s="1" t="n"/>
      <c r="G361" s="1" t="n"/>
      <c r="H361" s="1" t="n"/>
      <c r="I361" s="1" t="n"/>
      <c r="J361" s="1" t="n"/>
      <c r="K361" s="1" t="n"/>
      <c r="L361" s="1" t="n"/>
      <c r="M361" s="1" t="n"/>
      <c r="N361" s="1" t="n"/>
      <c r="O361" s="1" t="n"/>
      <c r="P361" s="1" t="n"/>
    </row>
    <row r="362" ht="15.75" customHeight="1" s="311">
      <c r="A362" s="1" t="n"/>
      <c r="B362" s="1" t="n"/>
      <c r="C362" s="1" t="n"/>
      <c r="D362" s="1" t="n"/>
      <c r="E362" s="1" t="n"/>
      <c r="F362" s="1" t="n"/>
      <c r="G362" s="1" t="n"/>
      <c r="H362" s="1" t="n"/>
      <c r="I362" s="1" t="n"/>
      <c r="J362" s="1" t="n"/>
      <c r="K362" s="1" t="n"/>
      <c r="L362" s="1" t="n"/>
      <c r="M362" s="1" t="n"/>
      <c r="N362" s="1" t="n"/>
      <c r="O362" s="1" t="n"/>
      <c r="P362" s="1" t="n"/>
    </row>
    <row r="363" ht="15.75" customHeight="1" s="311">
      <c r="A363" s="1" t="n"/>
      <c r="B363" s="1" t="n"/>
      <c r="C363" s="1" t="n"/>
      <c r="D363" s="1" t="n"/>
      <c r="E363" s="1" t="n"/>
      <c r="F363" s="1" t="n"/>
      <c r="G363" s="1" t="n"/>
      <c r="H363" s="1" t="n"/>
      <c r="I363" s="1" t="n"/>
      <c r="J363" s="1" t="n"/>
      <c r="K363" s="1" t="n"/>
      <c r="L363" s="1" t="n"/>
      <c r="M363" s="1" t="n"/>
      <c r="N363" s="1" t="n"/>
      <c r="O363" s="1" t="n"/>
      <c r="P363" s="1" t="n"/>
    </row>
    <row r="364" ht="15.75" customHeight="1" s="311">
      <c r="A364" s="1" t="n"/>
      <c r="B364" s="1" t="n"/>
      <c r="C364" s="1" t="n"/>
      <c r="D364" s="1" t="n"/>
      <c r="E364" s="1" t="n"/>
      <c r="F364" s="1" t="n"/>
      <c r="G364" s="1" t="n"/>
      <c r="H364" s="1" t="n"/>
      <c r="I364" s="1" t="n"/>
      <c r="J364" s="1" t="n"/>
      <c r="K364" s="1" t="n"/>
      <c r="L364" s="1" t="n"/>
      <c r="M364" s="1" t="n"/>
      <c r="N364" s="1" t="n"/>
      <c r="O364" s="1" t="n"/>
      <c r="P364" s="1" t="n"/>
    </row>
    <row r="365" ht="15.75" customHeight="1" s="311">
      <c r="A365" s="1" t="n"/>
      <c r="B365" s="1" t="n"/>
      <c r="C365" s="1" t="n"/>
      <c r="D365" s="1" t="n"/>
      <c r="E365" s="1" t="n"/>
      <c r="F365" s="1" t="n"/>
      <c r="G365" s="1" t="n"/>
      <c r="H365" s="1" t="n"/>
      <c r="I365" s="1" t="n"/>
      <c r="J365" s="1" t="n"/>
      <c r="K365" s="1" t="n"/>
      <c r="L365" s="1" t="n"/>
      <c r="M365" s="1" t="n"/>
      <c r="N365" s="1" t="n"/>
      <c r="O365" s="1" t="n"/>
      <c r="P365" s="1" t="n"/>
    </row>
    <row r="366" ht="15.75" customHeight="1" s="311">
      <c r="A366" s="1" t="n"/>
      <c r="B366" s="1" t="n"/>
      <c r="C366" s="1" t="n"/>
      <c r="D366" s="1" t="n"/>
      <c r="E366" s="1" t="n"/>
      <c r="F366" s="1" t="n"/>
      <c r="G366" s="1" t="n"/>
      <c r="H366" s="1" t="n"/>
      <c r="I366" s="1" t="n"/>
      <c r="J366" s="1" t="n"/>
      <c r="K366" s="1" t="n"/>
      <c r="L366" s="1" t="n"/>
      <c r="M366" s="1" t="n"/>
      <c r="N366" s="1" t="n"/>
      <c r="O366" s="1" t="n"/>
      <c r="P366" s="1" t="n"/>
    </row>
    <row r="367" ht="15.75" customHeight="1" s="311">
      <c r="A367" s="1" t="n"/>
      <c r="B367" s="1" t="n"/>
      <c r="C367" s="1" t="n"/>
      <c r="D367" s="1" t="n"/>
      <c r="E367" s="1" t="n"/>
      <c r="F367" s="1" t="n"/>
      <c r="G367" s="1" t="n"/>
      <c r="H367" s="1" t="n"/>
      <c r="I367" s="1" t="n"/>
      <c r="J367" s="1" t="n"/>
      <c r="K367" s="1" t="n"/>
      <c r="L367" s="1" t="n"/>
      <c r="M367" s="1" t="n"/>
      <c r="N367" s="1" t="n"/>
      <c r="O367" s="1" t="n"/>
      <c r="P367" s="1" t="n"/>
    </row>
    <row r="368" ht="15.75" customHeight="1" s="311">
      <c r="A368" s="1" t="n"/>
      <c r="B368" s="1" t="n"/>
      <c r="C368" s="1" t="n"/>
      <c r="D368" s="1" t="n"/>
      <c r="E368" s="1" t="n"/>
      <c r="F368" s="1" t="n"/>
      <c r="G368" s="1" t="n"/>
      <c r="H368" s="1" t="n"/>
      <c r="I368" s="1" t="n"/>
      <c r="J368" s="1" t="n"/>
      <c r="K368" s="1" t="n"/>
      <c r="L368" s="1" t="n"/>
      <c r="M368" s="1" t="n"/>
      <c r="N368" s="1" t="n"/>
      <c r="O368" s="1" t="n"/>
      <c r="P368" s="1" t="n"/>
    </row>
    <row r="369" ht="15.75" customHeight="1" s="311">
      <c r="A369" s="1" t="n"/>
      <c r="B369" s="1" t="n"/>
      <c r="C369" s="1" t="n"/>
      <c r="D369" s="1" t="n"/>
      <c r="E369" s="1" t="n"/>
      <c r="F369" s="1" t="n"/>
      <c r="G369" s="1" t="n"/>
      <c r="H369" s="1" t="n"/>
      <c r="I369" s="1" t="n"/>
      <c r="J369" s="1" t="n"/>
      <c r="K369" s="1" t="n"/>
      <c r="L369" s="1" t="n"/>
      <c r="M369" s="1" t="n"/>
      <c r="N369" s="1" t="n"/>
      <c r="O369" s="1" t="n"/>
      <c r="P369" s="1" t="n"/>
    </row>
    <row r="370" ht="15.75" customHeight="1" s="311">
      <c r="A370" s="1" t="n"/>
      <c r="B370" s="1" t="n"/>
      <c r="C370" s="1" t="n"/>
      <c r="D370" s="1" t="n"/>
      <c r="E370" s="1" t="n"/>
      <c r="F370" s="1" t="n"/>
      <c r="G370" s="1" t="n"/>
      <c r="H370" s="1" t="n"/>
      <c r="I370" s="1" t="n"/>
      <c r="J370" s="1" t="n"/>
      <c r="K370" s="1" t="n"/>
      <c r="L370" s="1" t="n"/>
      <c r="M370" s="1" t="n"/>
      <c r="N370" s="1" t="n"/>
      <c r="O370" s="1" t="n"/>
      <c r="P370" s="1" t="n"/>
    </row>
    <row r="371" ht="15.75" customHeight="1" s="311">
      <c r="A371" s="1" t="n"/>
      <c r="B371" s="1" t="n"/>
      <c r="C371" s="1" t="n"/>
      <c r="D371" s="1" t="n"/>
      <c r="E371" s="1" t="n"/>
      <c r="F371" s="1" t="n"/>
      <c r="G371" s="1" t="n"/>
      <c r="H371" s="1" t="n"/>
      <c r="I371" s="1" t="n"/>
      <c r="J371" s="1" t="n"/>
      <c r="K371" s="1" t="n"/>
      <c r="L371" s="1" t="n"/>
      <c r="M371" s="1" t="n"/>
      <c r="N371" s="1" t="n"/>
      <c r="O371" s="1" t="n"/>
      <c r="P371" s="1" t="n"/>
    </row>
    <row r="372" ht="15.75" customHeight="1" s="311">
      <c r="A372" s="1" t="n"/>
      <c r="B372" s="1" t="n"/>
      <c r="C372" s="1" t="n"/>
      <c r="D372" s="1" t="n"/>
      <c r="E372" s="1" t="n"/>
      <c r="F372" s="1" t="n"/>
      <c r="G372" s="1" t="n"/>
      <c r="H372" s="1" t="n"/>
      <c r="I372" s="1" t="n"/>
      <c r="J372" s="1" t="n"/>
      <c r="K372" s="1" t="n"/>
      <c r="L372" s="1" t="n"/>
      <c r="M372" s="1" t="n"/>
      <c r="N372" s="1" t="n"/>
      <c r="O372" s="1" t="n"/>
      <c r="P372" s="1" t="n"/>
    </row>
    <row r="373" ht="15.75" customHeight="1" s="311">
      <c r="A373" s="1" t="n"/>
      <c r="B373" s="1" t="n"/>
      <c r="C373" s="1" t="n"/>
      <c r="D373" s="1" t="n"/>
      <c r="E373" s="1" t="n"/>
      <c r="F373" s="1" t="n"/>
      <c r="G373" s="1" t="n"/>
      <c r="H373" s="1" t="n"/>
      <c r="I373" s="1" t="n"/>
      <c r="J373" s="1" t="n"/>
      <c r="K373" s="1" t="n"/>
      <c r="L373" s="1" t="n"/>
      <c r="M373" s="1" t="n"/>
      <c r="N373" s="1" t="n"/>
      <c r="O373" s="1" t="n"/>
      <c r="P373" s="1" t="n"/>
    </row>
    <row r="374" ht="15.75" customHeight="1" s="311">
      <c r="A374" s="1" t="n"/>
      <c r="B374" s="1" t="n"/>
      <c r="C374" s="1" t="n"/>
      <c r="D374" s="1" t="n"/>
      <c r="E374" s="1" t="n"/>
      <c r="F374" s="1" t="n"/>
      <c r="G374" s="1" t="n"/>
      <c r="H374" s="1" t="n"/>
      <c r="I374" s="1" t="n"/>
      <c r="J374" s="1" t="n"/>
      <c r="K374" s="1" t="n"/>
      <c r="L374" s="1" t="n"/>
      <c r="M374" s="1" t="n"/>
      <c r="N374" s="1" t="n"/>
      <c r="O374" s="1" t="n"/>
      <c r="P374" s="1" t="n"/>
    </row>
    <row r="375" ht="15.75" customHeight="1" s="311">
      <c r="A375" s="1" t="n"/>
      <c r="B375" s="1" t="n"/>
      <c r="C375" s="1" t="n"/>
      <c r="D375" s="1" t="n"/>
      <c r="E375" s="1" t="n"/>
      <c r="F375" s="1" t="n"/>
      <c r="G375" s="1" t="n"/>
      <c r="H375" s="1" t="n"/>
      <c r="I375" s="1" t="n"/>
      <c r="J375" s="1" t="n"/>
      <c r="K375" s="1" t="n"/>
      <c r="L375" s="1" t="n"/>
      <c r="M375" s="1" t="n"/>
      <c r="N375" s="1" t="n"/>
      <c r="O375" s="1" t="n"/>
      <c r="P375" s="1" t="n"/>
    </row>
    <row r="376" ht="15.75" customHeight="1" s="311">
      <c r="A376" s="1" t="n"/>
      <c r="B376" s="1" t="n"/>
      <c r="C376" s="1" t="n"/>
      <c r="D376" s="1" t="n"/>
      <c r="E376" s="1" t="n"/>
      <c r="F376" s="1" t="n"/>
      <c r="G376" s="1" t="n"/>
      <c r="H376" s="1" t="n"/>
      <c r="I376" s="1" t="n"/>
      <c r="J376" s="1" t="n"/>
      <c r="K376" s="1" t="n"/>
      <c r="L376" s="1" t="n"/>
      <c r="M376" s="1" t="n"/>
      <c r="N376" s="1" t="n"/>
      <c r="O376" s="1" t="n"/>
      <c r="P376" s="1" t="n"/>
    </row>
    <row r="377" ht="15.75" customHeight="1" s="311">
      <c r="A377" s="1" t="n"/>
      <c r="B377" s="1" t="n"/>
      <c r="C377" s="1" t="n"/>
      <c r="D377" s="1" t="n"/>
      <c r="E377" s="1" t="n"/>
      <c r="F377" s="1" t="n"/>
      <c r="G377" s="1" t="n"/>
      <c r="H377" s="1" t="n"/>
      <c r="I377" s="1" t="n"/>
      <c r="J377" s="1" t="n"/>
      <c r="K377" s="1" t="n"/>
      <c r="L377" s="1" t="n"/>
      <c r="M377" s="1" t="n"/>
      <c r="N377" s="1" t="n"/>
      <c r="O377" s="1" t="n"/>
      <c r="P377" s="1" t="n"/>
    </row>
    <row r="378" ht="15.75" customHeight="1" s="311">
      <c r="A378" s="1" t="n"/>
      <c r="B378" s="1" t="n"/>
      <c r="C378" s="1" t="n"/>
      <c r="D378" s="1" t="n"/>
      <c r="E378" s="1" t="n"/>
      <c r="F378" s="1" t="n"/>
      <c r="G378" s="1" t="n"/>
      <c r="H378" s="1" t="n"/>
      <c r="I378" s="1" t="n"/>
      <c r="J378" s="1" t="n"/>
      <c r="K378" s="1" t="n"/>
      <c r="L378" s="1" t="n"/>
      <c r="M378" s="1" t="n"/>
      <c r="N378" s="1" t="n"/>
      <c r="O378" s="1" t="n"/>
      <c r="P378" s="1" t="n"/>
    </row>
    <row r="379" ht="15.75" customHeight="1" s="311">
      <c r="A379" s="1" t="n"/>
      <c r="B379" s="1" t="n"/>
      <c r="C379" s="1" t="n"/>
      <c r="D379" s="1" t="n"/>
      <c r="E379" s="1" t="n"/>
      <c r="F379" s="1" t="n"/>
      <c r="G379" s="1" t="n"/>
      <c r="H379" s="1" t="n"/>
      <c r="I379" s="1" t="n"/>
      <c r="J379" s="1" t="n"/>
      <c r="K379" s="1" t="n"/>
      <c r="L379" s="1" t="n"/>
      <c r="M379" s="1" t="n"/>
      <c r="N379" s="1" t="n"/>
      <c r="O379" s="1" t="n"/>
      <c r="P379" s="1" t="n"/>
    </row>
    <row r="380" ht="15.75" customHeight="1" s="311">
      <c r="A380" s="1" t="n"/>
      <c r="B380" s="1" t="n"/>
      <c r="C380" s="1" t="n"/>
      <c r="D380" s="1" t="n"/>
      <c r="E380" s="1" t="n"/>
      <c r="F380" s="1" t="n"/>
      <c r="G380" s="1" t="n"/>
      <c r="H380" s="1" t="n"/>
      <c r="I380" s="1" t="n"/>
      <c r="J380" s="1" t="n"/>
      <c r="K380" s="1" t="n"/>
      <c r="L380" s="1" t="n"/>
      <c r="M380" s="1" t="n"/>
      <c r="N380" s="1" t="n"/>
      <c r="O380" s="1" t="n"/>
      <c r="P380" s="1" t="n"/>
    </row>
    <row r="381" ht="15.75" customHeight="1" s="311">
      <c r="A381" s="1" t="n"/>
      <c r="B381" s="1" t="n"/>
      <c r="C381" s="1" t="n"/>
      <c r="D381" s="1" t="n"/>
      <c r="E381" s="1" t="n"/>
      <c r="F381" s="1" t="n"/>
      <c r="G381" s="1" t="n"/>
      <c r="H381" s="1" t="n"/>
      <c r="I381" s="1" t="n"/>
      <c r="J381" s="1" t="n"/>
      <c r="K381" s="1" t="n"/>
      <c r="L381" s="1" t="n"/>
      <c r="M381" s="1" t="n"/>
      <c r="N381" s="1" t="n"/>
      <c r="O381" s="1" t="n"/>
      <c r="P381" s="1" t="n"/>
    </row>
    <row r="382" ht="15.75" customHeight="1" s="311">
      <c r="A382" s="1" t="n"/>
      <c r="B382" s="1" t="n"/>
      <c r="C382" s="1" t="n"/>
      <c r="D382" s="1" t="n"/>
      <c r="E382" s="1" t="n"/>
      <c r="F382" s="1" t="n"/>
      <c r="G382" s="1" t="n"/>
      <c r="H382" s="1" t="n"/>
      <c r="I382" s="1" t="n"/>
      <c r="J382" s="1" t="n"/>
      <c r="K382" s="1" t="n"/>
      <c r="L382" s="1" t="n"/>
      <c r="M382" s="1" t="n"/>
      <c r="N382" s="1" t="n"/>
      <c r="O382" s="1" t="n"/>
      <c r="P382" s="1" t="n"/>
    </row>
    <row r="383" ht="15.75" customHeight="1" s="311">
      <c r="A383" s="1" t="n"/>
      <c r="B383" s="1" t="n"/>
      <c r="C383" s="1" t="n"/>
      <c r="D383" s="1" t="n"/>
      <c r="E383" s="1" t="n"/>
      <c r="F383" s="1" t="n"/>
      <c r="G383" s="1" t="n"/>
      <c r="H383" s="1" t="n"/>
      <c r="I383" s="1" t="n"/>
      <c r="J383" s="1" t="n"/>
      <c r="K383" s="1" t="n"/>
      <c r="L383" s="1" t="n"/>
      <c r="M383" s="1" t="n"/>
      <c r="N383" s="1" t="n"/>
      <c r="O383" s="1" t="n"/>
      <c r="P383" s="1" t="n"/>
    </row>
    <row r="384" ht="15.75" customHeight="1" s="311">
      <c r="A384" s="1" t="n"/>
      <c r="B384" s="1" t="n"/>
      <c r="C384" s="1" t="n"/>
      <c r="D384" s="1" t="n"/>
      <c r="E384" s="1" t="n"/>
      <c r="F384" s="1" t="n"/>
      <c r="G384" s="1" t="n"/>
      <c r="H384" s="1" t="n"/>
      <c r="I384" s="1" t="n"/>
      <c r="J384" s="1" t="n"/>
      <c r="K384" s="1" t="n"/>
      <c r="L384" s="1" t="n"/>
      <c r="M384" s="1" t="n"/>
      <c r="N384" s="1" t="n"/>
      <c r="O384" s="1" t="n"/>
      <c r="P384" s="1" t="n"/>
    </row>
    <row r="385" ht="15.75" customHeight="1" s="311">
      <c r="A385" s="1" t="n"/>
      <c r="B385" s="1" t="n"/>
      <c r="C385" s="1" t="n"/>
      <c r="D385" s="1" t="n"/>
      <c r="E385" s="1" t="n"/>
      <c r="F385" s="1" t="n"/>
      <c r="G385" s="1" t="n"/>
      <c r="H385" s="1" t="n"/>
      <c r="I385" s="1" t="n"/>
      <c r="J385" s="1" t="n"/>
      <c r="K385" s="1" t="n"/>
      <c r="L385" s="1" t="n"/>
      <c r="M385" s="1" t="n"/>
      <c r="N385" s="1" t="n"/>
      <c r="O385" s="1" t="n"/>
      <c r="P385" s="1" t="n"/>
    </row>
    <row r="386" ht="15.75" customHeight="1" s="311">
      <c r="A386" s="1" t="n"/>
      <c r="B386" s="1" t="n"/>
      <c r="C386" s="1" t="n"/>
      <c r="D386" s="1" t="n"/>
      <c r="E386" s="1" t="n"/>
      <c r="F386" s="1" t="n"/>
      <c r="G386" s="1" t="n"/>
      <c r="H386" s="1" t="n"/>
      <c r="I386" s="1" t="n"/>
      <c r="J386" s="1" t="n"/>
      <c r="K386" s="1" t="n"/>
      <c r="L386" s="1" t="n"/>
      <c r="M386" s="1" t="n"/>
      <c r="N386" s="1" t="n"/>
      <c r="O386" s="1" t="n"/>
      <c r="P386" s="1" t="n"/>
    </row>
    <row r="387" ht="15.75" customHeight="1" s="311">
      <c r="A387" s="1" t="n"/>
      <c r="B387" s="1" t="n"/>
      <c r="C387" s="1" t="n"/>
      <c r="D387" s="1" t="n"/>
      <c r="E387" s="1" t="n"/>
      <c r="F387" s="1" t="n"/>
      <c r="G387" s="1" t="n"/>
      <c r="H387" s="1" t="n"/>
      <c r="I387" s="1" t="n"/>
      <c r="J387" s="1" t="n"/>
      <c r="K387" s="1" t="n"/>
      <c r="L387" s="1" t="n"/>
      <c r="M387" s="1" t="n"/>
      <c r="N387" s="1" t="n"/>
      <c r="O387" s="1" t="n"/>
      <c r="P387" s="1" t="n"/>
    </row>
    <row r="388" ht="15.75" customHeight="1" s="311">
      <c r="A388" s="1" t="n"/>
      <c r="B388" s="1" t="n"/>
      <c r="C388" s="1" t="n"/>
      <c r="D388" s="1" t="n"/>
      <c r="E388" s="1" t="n"/>
      <c r="F388" s="1" t="n"/>
      <c r="G388" s="1" t="n"/>
      <c r="H388" s="1" t="n"/>
      <c r="I388" s="1" t="n"/>
      <c r="J388" s="1" t="n"/>
      <c r="K388" s="1" t="n"/>
      <c r="L388" s="1" t="n"/>
      <c r="M388" s="1" t="n"/>
      <c r="N388" s="1" t="n"/>
      <c r="O388" s="1" t="n"/>
      <c r="P388" s="1" t="n"/>
    </row>
    <row r="389" ht="15.75" customHeight="1" s="311">
      <c r="A389" s="1" t="n"/>
      <c r="B389" s="1" t="n"/>
      <c r="C389" s="1" t="n"/>
      <c r="D389" s="1" t="n"/>
      <c r="E389" s="1" t="n"/>
      <c r="F389" s="1" t="n"/>
      <c r="G389" s="1" t="n"/>
      <c r="H389" s="1" t="n"/>
      <c r="I389" s="1" t="n"/>
      <c r="J389" s="1" t="n"/>
      <c r="K389" s="1" t="n"/>
      <c r="L389" s="1" t="n"/>
      <c r="M389" s="1" t="n"/>
      <c r="N389" s="1" t="n"/>
      <c r="O389" s="1" t="n"/>
      <c r="P389" s="1" t="n"/>
    </row>
    <row r="390" ht="15.75" customHeight="1" s="311">
      <c r="A390" s="1" t="n"/>
      <c r="B390" s="1" t="n"/>
      <c r="C390" s="1" t="n"/>
      <c r="D390" s="1" t="n"/>
      <c r="E390" s="1" t="n"/>
      <c r="F390" s="1" t="n"/>
      <c r="G390" s="1" t="n"/>
      <c r="H390" s="1" t="n"/>
      <c r="I390" s="1" t="n"/>
      <c r="J390" s="1" t="n"/>
      <c r="K390" s="1" t="n"/>
      <c r="L390" s="1" t="n"/>
      <c r="M390" s="1" t="n"/>
      <c r="N390" s="1" t="n"/>
      <c r="O390" s="1" t="n"/>
      <c r="P390" s="1" t="n"/>
    </row>
    <row r="391" ht="15.75" customHeight="1" s="311">
      <c r="A391" s="1" t="n"/>
      <c r="B391" s="1" t="n"/>
      <c r="C391" s="1" t="n"/>
      <c r="D391" s="1" t="n"/>
      <c r="E391" s="1" t="n"/>
      <c r="F391" s="1" t="n"/>
      <c r="G391" s="1" t="n"/>
      <c r="H391" s="1" t="n"/>
      <c r="I391" s="1" t="n"/>
      <c r="J391" s="1" t="n"/>
      <c r="K391" s="1" t="n"/>
      <c r="L391" s="1" t="n"/>
      <c r="M391" s="1" t="n"/>
      <c r="N391" s="1" t="n"/>
      <c r="O391" s="1" t="n"/>
      <c r="P391" s="1" t="n"/>
    </row>
    <row r="392" ht="15.75" customHeight="1" s="311">
      <c r="A392" s="1" t="n"/>
      <c r="B392" s="1" t="n"/>
      <c r="C392" s="1" t="n"/>
      <c r="D392" s="1" t="n"/>
      <c r="E392" s="1" t="n"/>
      <c r="F392" s="1" t="n"/>
      <c r="G392" s="1" t="n"/>
      <c r="H392" s="1" t="n"/>
      <c r="I392" s="1" t="n"/>
      <c r="J392" s="1" t="n"/>
      <c r="K392" s="1" t="n"/>
      <c r="L392" s="1" t="n"/>
      <c r="M392" s="1" t="n"/>
      <c r="N392" s="1" t="n"/>
      <c r="O392" s="1" t="n"/>
      <c r="P392" s="1" t="n"/>
    </row>
    <row r="393" ht="15.75" customHeight="1" s="311">
      <c r="A393" s="1" t="n"/>
      <c r="B393" s="1" t="n"/>
      <c r="C393" s="1" t="n"/>
      <c r="D393" s="1" t="n"/>
      <c r="E393" s="1" t="n"/>
      <c r="F393" s="1" t="n"/>
      <c r="G393" s="1" t="n"/>
      <c r="H393" s="1" t="n"/>
      <c r="I393" s="1" t="n"/>
      <c r="J393" s="1" t="n"/>
      <c r="K393" s="1" t="n"/>
      <c r="L393" s="1" t="n"/>
      <c r="M393" s="1" t="n"/>
      <c r="N393" s="1" t="n"/>
      <c r="O393" s="1" t="n"/>
      <c r="P393" s="1" t="n"/>
    </row>
    <row r="394" ht="15.75" customHeight="1" s="311">
      <c r="A394" s="1" t="n"/>
      <c r="B394" s="1" t="n"/>
      <c r="C394" s="1" t="n"/>
      <c r="D394" s="1" t="n"/>
      <c r="E394" s="1" t="n"/>
      <c r="F394" s="1" t="n"/>
      <c r="G394" s="1" t="n"/>
      <c r="H394" s="1" t="n"/>
      <c r="I394" s="1" t="n"/>
      <c r="J394" s="1" t="n"/>
      <c r="K394" s="1" t="n"/>
      <c r="L394" s="1" t="n"/>
      <c r="M394" s="1" t="n"/>
      <c r="N394" s="1" t="n"/>
      <c r="O394" s="1" t="n"/>
      <c r="P394" s="1" t="n"/>
    </row>
    <row r="395" ht="15.75" customHeight="1" s="311">
      <c r="A395" s="1" t="n"/>
      <c r="B395" s="1" t="n"/>
      <c r="C395" s="1" t="n"/>
      <c r="D395" s="1" t="n"/>
      <c r="E395" s="1" t="n"/>
      <c r="F395" s="1" t="n"/>
      <c r="G395" s="1" t="n"/>
      <c r="H395" s="1" t="n"/>
      <c r="I395" s="1" t="n"/>
      <c r="J395" s="1" t="n"/>
      <c r="K395" s="1" t="n"/>
      <c r="L395" s="1" t="n"/>
      <c r="M395" s="1" t="n"/>
      <c r="N395" s="1" t="n"/>
      <c r="O395" s="1" t="n"/>
      <c r="P395" s="1" t="n"/>
    </row>
    <row r="396" ht="15.75" customHeight="1" s="311">
      <c r="A396" s="1" t="n"/>
      <c r="B396" s="1" t="n"/>
      <c r="C396" s="1" t="n"/>
      <c r="D396" s="1" t="n"/>
      <c r="E396" s="1" t="n"/>
      <c r="F396" s="1" t="n"/>
      <c r="G396" s="1" t="n"/>
      <c r="H396" s="1" t="n"/>
      <c r="I396" s="1" t="n"/>
      <c r="J396" s="1" t="n"/>
      <c r="K396" s="1" t="n"/>
      <c r="L396" s="1" t="n"/>
      <c r="M396" s="1" t="n"/>
      <c r="N396" s="1" t="n"/>
      <c r="O396" s="1" t="n"/>
      <c r="P396" s="1" t="n"/>
    </row>
    <row r="397" ht="15.75" customHeight="1" s="311">
      <c r="A397" s="1" t="n"/>
      <c r="B397" s="1" t="n"/>
      <c r="C397" s="1" t="n"/>
      <c r="D397" s="1" t="n"/>
      <c r="E397" s="1" t="n"/>
      <c r="F397" s="1" t="n"/>
      <c r="G397" s="1" t="n"/>
      <c r="H397" s="1" t="n"/>
      <c r="I397" s="1" t="n"/>
      <c r="J397" s="1" t="n"/>
      <c r="K397" s="1" t="n"/>
      <c r="L397" s="1" t="n"/>
      <c r="M397" s="1" t="n"/>
      <c r="N397" s="1" t="n"/>
      <c r="O397" s="1" t="n"/>
      <c r="P397" s="1" t="n"/>
    </row>
    <row r="398" ht="15.75" customHeight="1" s="311">
      <c r="A398" s="1" t="n"/>
      <c r="B398" s="1" t="n"/>
      <c r="C398" s="1" t="n"/>
      <c r="D398" s="1" t="n"/>
      <c r="E398" s="1" t="n"/>
      <c r="F398" s="1" t="n"/>
      <c r="G398" s="1" t="n"/>
      <c r="H398" s="1" t="n"/>
      <c r="I398" s="1" t="n"/>
      <c r="J398" s="1" t="n"/>
      <c r="K398" s="1" t="n"/>
      <c r="L398" s="1" t="n"/>
      <c r="M398" s="1" t="n"/>
      <c r="N398" s="1" t="n"/>
      <c r="O398" s="1" t="n"/>
      <c r="P398" s="1" t="n"/>
    </row>
    <row r="399" ht="15.75" customHeight="1" s="311">
      <c r="A399" s="1" t="n"/>
      <c r="B399" s="1" t="n"/>
      <c r="C399" s="1" t="n"/>
      <c r="D399" s="1" t="n"/>
      <c r="E399" s="1" t="n"/>
      <c r="F399" s="1" t="n"/>
      <c r="G399" s="1" t="n"/>
      <c r="H399" s="1" t="n"/>
      <c r="I399" s="1" t="n"/>
      <c r="J399" s="1" t="n"/>
      <c r="K399" s="1" t="n"/>
      <c r="L399" s="1" t="n"/>
      <c r="M399" s="1" t="n"/>
      <c r="N399" s="1" t="n"/>
      <c r="O399" s="1" t="n"/>
      <c r="P399" s="1" t="n"/>
    </row>
    <row r="400" ht="15.75" customHeight="1" s="311">
      <c r="A400" s="1" t="n"/>
      <c r="B400" s="1" t="n"/>
      <c r="C400" s="1" t="n"/>
      <c r="D400" s="1" t="n"/>
      <c r="E400" s="1" t="n"/>
      <c r="F400" s="1" t="n"/>
      <c r="G400" s="1" t="n"/>
      <c r="H400" s="1" t="n"/>
      <c r="I400" s="1" t="n"/>
      <c r="J400" s="1" t="n"/>
      <c r="K400" s="1" t="n"/>
      <c r="L400" s="1" t="n"/>
      <c r="M400" s="1" t="n"/>
      <c r="N400" s="1" t="n"/>
      <c r="O400" s="1" t="n"/>
      <c r="P400" s="1" t="n"/>
    </row>
    <row r="401" ht="15.75" customHeight="1" s="311">
      <c r="A401" s="1" t="n"/>
      <c r="B401" s="1" t="n"/>
      <c r="C401" s="1" t="n"/>
      <c r="D401" s="1" t="n"/>
      <c r="E401" s="1" t="n"/>
      <c r="F401" s="1" t="n"/>
      <c r="G401" s="1" t="n"/>
      <c r="H401" s="1" t="n"/>
      <c r="I401" s="1" t="n"/>
      <c r="J401" s="1" t="n"/>
      <c r="K401" s="1" t="n"/>
      <c r="L401" s="1" t="n"/>
      <c r="M401" s="1" t="n"/>
      <c r="N401" s="1" t="n"/>
      <c r="O401" s="1" t="n"/>
      <c r="P401" s="1" t="n"/>
    </row>
    <row r="402" ht="15.75" customHeight="1" s="311">
      <c r="A402" s="1" t="n"/>
      <c r="B402" s="1" t="n"/>
      <c r="C402" s="1" t="n"/>
      <c r="D402" s="1" t="n"/>
      <c r="E402" s="1" t="n"/>
      <c r="F402" s="1" t="n"/>
      <c r="G402" s="1" t="n"/>
      <c r="H402" s="1" t="n"/>
      <c r="I402" s="1" t="n"/>
      <c r="J402" s="1" t="n"/>
      <c r="K402" s="1" t="n"/>
      <c r="L402" s="1" t="n"/>
      <c r="M402" s="1" t="n"/>
      <c r="N402" s="1" t="n"/>
      <c r="O402" s="1" t="n"/>
      <c r="P402" s="1" t="n"/>
    </row>
    <row r="403" ht="15.75" customHeight="1" s="311">
      <c r="A403" s="1" t="n"/>
      <c r="B403" s="1" t="n"/>
      <c r="C403" s="1" t="n"/>
      <c r="D403" s="1" t="n"/>
      <c r="E403" s="1" t="n"/>
      <c r="F403" s="1" t="n"/>
      <c r="G403" s="1" t="n"/>
      <c r="H403" s="1" t="n"/>
      <c r="I403" s="1" t="n"/>
      <c r="J403" s="1" t="n"/>
      <c r="K403" s="1" t="n"/>
      <c r="L403" s="1" t="n"/>
      <c r="M403" s="1" t="n"/>
      <c r="N403" s="1" t="n"/>
      <c r="O403" s="1" t="n"/>
      <c r="P403" s="1" t="n"/>
    </row>
    <row r="404" ht="15.75" customHeight="1" s="311">
      <c r="A404" s="1" t="n"/>
      <c r="B404" s="1" t="n"/>
      <c r="C404" s="1" t="n"/>
      <c r="D404" s="1" t="n"/>
      <c r="E404" s="1" t="n"/>
      <c r="F404" s="1" t="n"/>
      <c r="G404" s="1" t="n"/>
      <c r="H404" s="1" t="n"/>
      <c r="I404" s="1" t="n"/>
      <c r="J404" s="1" t="n"/>
      <c r="K404" s="1" t="n"/>
      <c r="L404" s="1" t="n"/>
      <c r="M404" s="1" t="n"/>
      <c r="N404" s="1" t="n"/>
      <c r="O404" s="1" t="n"/>
      <c r="P404" s="1" t="n"/>
    </row>
    <row r="405" ht="15.75" customHeight="1" s="311">
      <c r="A405" s="1" t="n"/>
      <c r="B405" s="1" t="n"/>
      <c r="C405" s="1" t="n"/>
      <c r="D405" s="1" t="n"/>
      <c r="E405" s="1" t="n"/>
      <c r="F405" s="1" t="n"/>
      <c r="G405" s="1" t="n"/>
      <c r="H405" s="1" t="n"/>
      <c r="I405" s="1" t="n"/>
      <c r="J405" s="1" t="n"/>
      <c r="K405" s="1" t="n"/>
      <c r="L405" s="1" t="n"/>
      <c r="M405" s="1" t="n"/>
      <c r="N405" s="1" t="n"/>
      <c r="O405" s="1" t="n"/>
      <c r="P405" s="1" t="n"/>
    </row>
    <row r="406" ht="15.75" customHeight="1" s="311">
      <c r="A406" s="1" t="n"/>
      <c r="B406" s="1" t="n"/>
      <c r="C406" s="1" t="n"/>
      <c r="D406" s="1" t="n"/>
      <c r="E406" s="1" t="n"/>
      <c r="F406" s="1" t="n"/>
      <c r="G406" s="1" t="n"/>
      <c r="H406" s="1" t="n"/>
      <c r="I406" s="1" t="n"/>
      <c r="J406" s="1" t="n"/>
      <c r="K406" s="1" t="n"/>
      <c r="L406" s="1" t="n"/>
      <c r="M406" s="1" t="n"/>
      <c r="N406" s="1" t="n"/>
      <c r="O406" s="1" t="n"/>
      <c r="P406" s="1" t="n"/>
    </row>
    <row r="407" ht="15.75" customHeight="1" s="311">
      <c r="A407" s="1" t="n"/>
      <c r="B407" s="1" t="n"/>
      <c r="C407" s="1" t="n"/>
      <c r="D407" s="1" t="n"/>
      <c r="E407" s="1" t="n"/>
      <c r="F407" s="1" t="n"/>
      <c r="G407" s="1" t="n"/>
      <c r="H407" s="1" t="n"/>
      <c r="I407" s="1" t="n"/>
      <c r="J407" s="1" t="n"/>
      <c r="K407" s="1" t="n"/>
      <c r="L407" s="1" t="n"/>
      <c r="M407" s="1" t="n"/>
      <c r="N407" s="1" t="n"/>
      <c r="O407" s="1" t="n"/>
      <c r="P407" s="1" t="n"/>
    </row>
    <row r="408" ht="15.75" customHeight="1" s="311">
      <c r="A408" s="1" t="n"/>
      <c r="B408" s="1" t="n"/>
      <c r="C408" s="1" t="n"/>
      <c r="D408" s="1" t="n"/>
      <c r="E408" s="1" t="n"/>
      <c r="F408" s="1" t="n"/>
      <c r="G408" s="1" t="n"/>
      <c r="H408" s="1" t="n"/>
      <c r="I408" s="1" t="n"/>
      <c r="J408" s="1" t="n"/>
      <c r="K408" s="1" t="n"/>
      <c r="L408" s="1" t="n"/>
      <c r="M408" s="1" t="n"/>
      <c r="N408" s="1" t="n"/>
      <c r="O408" s="1" t="n"/>
      <c r="P408" s="1" t="n"/>
    </row>
    <row r="409" ht="15.75" customHeight="1" s="311">
      <c r="A409" s="1" t="n"/>
      <c r="B409" s="1" t="n"/>
      <c r="C409" s="1" t="n"/>
      <c r="D409" s="1" t="n"/>
      <c r="E409" s="1" t="n"/>
      <c r="F409" s="1" t="n"/>
      <c r="G409" s="1" t="n"/>
      <c r="H409" s="1" t="n"/>
      <c r="I409" s="1" t="n"/>
      <c r="J409" s="1" t="n"/>
      <c r="K409" s="1" t="n"/>
      <c r="L409" s="1" t="n"/>
      <c r="M409" s="1" t="n"/>
      <c r="N409" s="1" t="n"/>
      <c r="O409" s="1" t="n"/>
      <c r="P409" s="1" t="n"/>
    </row>
    <row r="410" ht="15.75" customHeight="1" s="311">
      <c r="A410" s="1" t="n"/>
      <c r="B410" s="1" t="n"/>
      <c r="C410" s="1" t="n"/>
      <c r="D410" s="1" t="n"/>
      <c r="E410" s="1" t="n"/>
      <c r="F410" s="1" t="n"/>
      <c r="G410" s="1" t="n"/>
      <c r="H410" s="1" t="n"/>
      <c r="I410" s="1" t="n"/>
      <c r="J410" s="1" t="n"/>
      <c r="K410" s="1" t="n"/>
      <c r="L410" s="1" t="n"/>
      <c r="M410" s="1" t="n"/>
      <c r="N410" s="1" t="n"/>
      <c r="O410" s="1" t="n"/>
      <c r="P410" s="1" t="n"/>
    </row>
    <row r="411" ht="15.75" customHeight="1" s="311">
      <c r="A411" s="1" t="n"/>
      <c r="B411" s="1" t="n"/>
      <c r="C411" s="1" t="n"/>
      <c r="D411" s="1" t="n"/>
      <c r="E411" s="1" t="n"/>
      <c r="F411" s="1" t="n"/>
      <c r="G411" s="1" t="n"/>
      <c r="H411" s="1" t="n"/>
      <c r="I411" s="1" t="n"/>
      <c r="J411" s="1" t="n"/>
      <c r="K411" s="1" t="n"/>
      <c r="L411" s="1" t="n"/>
      <c r="M411" s="1" t="n"/>
      <c r="N411" s="1" t="n"/>
      <c r="O411" s="1" t="n"/>
      <c r="P411" s="1" t="n"/>
    </row>
    <row r="412" ht="15.75" customHeight="1" s="311">
      <c r="A412" s="1" t="n"/>
      <c r="B412" s="1" t="n"/>
      <c r="C412" s="1" t="n"/>
      <c r="D412" s="1" t="n"/>
      <c r="E412" s="1" t="n"/>
      <c r="F412" s="1" t="n"/>
      <c r="G412" s="1" t="n"/>
      <c r="H412" s="1" t="n"/>
      <c r="I412" s="1" t="n"/>
      <c r="J412" s="1" t="n"/>
      <c r="K412" s="1" t="n"/>
      <c r="L412" s="1" t="n"/>
      <c r="M412" s="1" t="n"/>
      <c r="N412" s="1" t="n"/>
      <c r="O412" s="1" t="n"/>
      <c r="P412" s="1" t="n"/>
    </row>
    <row r="413" ht="15.75" customHeight="1" s="311">
      <c r="A413" s="1" t="n"/>
      <c r="B413" s="1" t="n"/>
      <c r="C413" s="1" t="n"/>
      <c r="D413" s="1" t="n"/>
      <c r="E413" s="1" t="n"/>
      <c r="F413" s="1" t="n"/>
      <c r="G413" s="1" t="n"/>
      <c r="H413" s="1" t="n"/>
      <c r="I413" s="1" t="n"/>
      <c r="J413" s="1" t="n"/>
      <c r="K413" s="1" t="n"/>
      <c r="L413" s="1" t="n"/>
      <c r="M413" s="1" t="n"/>
      <c r="N413" s="1" t="n"/>
      <c r="O413" s="1" t="n"/>
      <c r="P413" s="1" t="n"/>
    </row>
    <row r="414" ht="15.75" customHeight="1" s="311">
      <c r="A414" s="1" t="n"/>
      <c r="B414" s="1" t="n"/>
      <c r="C414" s="1" t="n"/>
      <c r="D414" s="1" t="n"/>
      <c r="E414" s="1" t="n"/>
      <c r="F414" s="1" t="n"/>
      <c r="G414" s="1" t="n"/>
      <c r="H414" s="1" t="n"/>
      <c r="I414" s="1" t="n"/>
      <c r="J414" s="1" t="n"/>
      <c r="K414" s="1" t="n"/>
      <c r="L414" s="1" t="n"/>
      <c r="M414" s="1" t="n"/>
      <c r="N414" s="1" t="n"/>
      <c r="O414" s="1" t="n"/>
      <c r="P414" s="1" t="n"/>
    </row>
    <row r="415" ht="15.75" customHeight="1" s="311">
      <c r="A415" s="1" t="n"/>
      <c r="B415" s="1" t="n"/>
      <c r="C415" s="1" t="n"/>
      <c r="D415" s="1" t="n"/>
      <c r="E415" s="1" t="n"/>
      <c r="F415" s="1" t="n"/>
      <c r="G415" s="1" t="n"/>
      <c r="H415" s="1" t="n"/>
      <c r="I415" s="1" t="n"/>
      <c r="J415" s="1" t="n"/>
      <c r="K415" s="1" t="n"/>
      <c r="L415" s="1" t="n"/>
      <c r="M415" s="1" t="n"/>
      <c r="N415" s="1" t="n"/>
      <c r="O415" s="1" t="n"/>
      <c r="P415" s="1" t="n"/>
    </row>
    <row r="416" ht="15.75" customHeight="1" s="311">
      <c r="A416" s="1" t="n"/>
      <c r="B416" s="1" t="n"/>
      <c r="C416" s="1" t="n"/>
      <c r="D416" s="1" t="n"/>
      <c r="E416" s="1" t="n"/>
      <c r="F416" s="1" t="n"/>
      <c r="G416" s="1" t="n"/>
      <c r="H416" s="1" t="n"/>
      <c r="I416" s="1" t="n"/>
      <c r="J416" s="1" t="n"/>
      <c r="K416" s="1" t="n"/>
      <c r="L416" s="1" t="n"/>
      <c r="M416" s="1" t="n"/>
      <c r="N416" s="1" t="n"/>
      <c r="O416" s="1" t="n"/>
      <c r="P416" s="1" t="n"/>
    </row>
    <row r="417" ht="15.75" customHeight="1" s="311">
      <c r="A417" s="1" t="n"/>
      <c r="B417" s="1" t="n"/>
      <c r="C417" s="1" t="n"/>
      <c r="D417" s="1" t="n"/>
      <c r="E417" s="1" t="n"/>
      <c r="F417" s="1" t="n"/>
      <c r="G417" s="1" t="n"/>
      <c r="H417" s="1" t="n"/>
      <c r="I417" s="1" t="n"/>
      <c r="J417" s="1" t="n"/>
      <c r="K417" s="1" t="n"/>
      <c r="L417" s="1" t="n"/>
      <c r="M417" s="1" t="n"/>
      <c r="N417" s="1" t="n"/>
      <c r="O417" s="1" t="n"/>
      <c r="P417" s="1" t="n"/>
    </row>
    <row r="418" ht="15.75" customHeight="1" s="311">
      <c r="A418" s="1" t="n"/>
      <c r="B418" s="1" t="n"/>
      <c r="C418" s="1" t="n"/>
      <c r="D418" s="1" t="n"/>
      <c r="E418" s="1" t="n"/>
      <c r="F418" s="1" t="n"/>
      <c r="G418" s="1" t="n"/>
      <c r="H418" s="1" t="n"/>
      <c r="I418" s="1" t="n"/>
      <c r="J418" s="1" t="n"/>
      <c r="K418" s="1" t="n"/>
      <c r="L418" s="1" t="n"/>
      <c r="M418" s="1" t="n"/>
      <c r="N418" s="1" t="n"/>
      <c r="O418" s="1" t="n"/>
      <c r="P418" s="1" t="n"/>
    </row>
    <row r="419" ht="15.75" customHeight="1" s="311">
      <c r="A419" s="1" t="n"/>
      <c r="B419" s="1" t="n"/>
      <c r="C419" s="1" t="n"/>
      <c r="D419" s="1" t="n"/>
      <c r="E419" s="1" t="n"/>
      <c r="F419" s="1" t="n"/>
      <c r="G419" s="1" t="n"/>
      <c r="H419" s="1" t="n"/>
      <c r="I419" s="1" t="n"/>
      <c r="J419" s="1" t="n"/>
      <c r="K419" s="1" t="n"/>
      <c r="L419" s="1" t="n"/>
      <c r="M419" s="1" t="n"/>
      <c r="N419" s="1" t="n"/>
      <c r="O419" s="1" t="n"/>
      <c r="P419" s="1" t="n"/>
    </row>
    <row r="420" ht="15.75" customHeight="1" s="311">
      <c r="A420" s="1" t="n"/>
      <c r="B420" s="1" t="n"/>
      <c r="C420" s="1" t="n"/>
      <c r="D420" s="1" t="n"/>
      <c r="E420" s="1" t="n"/>
      <c r="F420" s="1" t="n"/>
      <c r="G420" s="1" t="n"/>
      <c r="H420" s="1" t="n"/>
      <c r="I420" s="1" t="n"/>
      <c r="J420" s="1" t="n"/>
      <c r="K420" s="1" t="n"/>
      <c r="L420" s="1" t="n"/>
      <c r="M420" s="1" t="n"/>
      <c r="N420" s="1" t="n"/>
      <c r="O420" s="1" t="n"/>
      <c r="P420" s="1" t="n"/>
    </row>
    <row r="421" ht="15.75" customHeight="1" s="311">
      <c r="A421" s="1" t="n"/>
      <c r="B421" s="1" t="n"/>
      <c r="C421" s="1" t="n"/>
      <c r="D421" s="1" t="n"/>
      <c r="E421" s="1" t="n"/>
      <c r="F421" s="1" t="n"/>
      <c r="G421" s="1" t="n"/>
      <c r="H421" s="1" t="n"/>
      <c r="I421" s="1" t="n"/>
      <c r="J421" s="1" t="n"/>
      <c r="K421" s="1" t="n"/>
      <c r="L421" s="1" t="n"/>
      <c r="M421" s="1" t="n"/>
      <c r="N421" s="1" t="n"/>
      <c r="O421" s="1" t="n"/>
      <c r="P421" s="1" t="n"/>
    </row>
    <row r="422" ht="15.75" customHeight="1" s="311">
      <c r="A422" s="1" t="n"/>
      <c r="B422" s="1" t="n"/>
      <c r="C422" s="1" t="n"/>
      <c r="D422" s="1" t="n"/>
      <c r="E422" s="1" t="n"/>
      <c r="F422" s="1" t="n"/>
      <c r="G422" s="1" t="n"/>
      <c r="H422" s="1" t="n"/>
      <c r="I422" s="1" t="n"/>
      <c r="J422" s="1" t="n"/>
      <c r="K422" s="1" t="n"/>
      <c r="L422" s="1" t="n"/>
      <c r="M422" s="1" t="n"/>
      <c r="N422" s="1" t="n"/>
      <c r="O422" s="1" t="n"/>
      <c r="P422" s="1" t="n"/>
    </row>
    <row r="423" ht="15.75" customHeight="1" s="311">
      <c r="A423" s="1" t="n"/>
      <c r="B423" s="1" t="n"/>
      <c r="C423" s="1" t="n"/>
      <c r="D423" s="1" t="n"/>
      <c r="E423" s="1" t="n"/>
      <c r="F423" s="1" t="n"/>
      <c r="G423" s="1" t="n"/>
      <c r="H423" s="1" t="n"/>
      <c r="I423" s="1" t="n"/>
      <c r="J423" s="1" t="n"/>
      <c r="K423" s="1" t="n"/>
      <c r="L423" s="1" t="n"/>
      <c r="M423" s="1" t="n"/>
      <c r="N423" s="1" t="n"/>
      <c r="O423" s="1" t="n"/>
      <c r="P423" s="1" t="n"/>
    </row>
    <row r="424" ht="15.75" customHeight="1" s="311">
      <c r="A424" s="1" t="n"/>
      <c r="B424" s="1" t="n"/>
      <c r="C424" s="1" t="n"/>
      <c r="D424" s="1" t="n"/>
      <c r="E424" s="1" t="n"/>
      <c r="F424" s="1" t="n"/>
      <c r="G424" s="1" t="n"/>
      <c r="H424" s="1" t="n"/>
      <c r="I424" s="1" t="n"/>
      <c r="J424" s="1" t="n"/>
      <c r="K424" s="1" t="n"/>
      <c r="L424" s="1" t="n"/>
      <c r="M424" s="1" t="n"/>
      <c r="N424" s="1" t="n"/>
      <c r="O424" s="1" t="n"/>
      <c r="P424" s="1" t="n"/>
    </row>
    <row r="425" ht="15.75" customHeight="1" s="311">
      <c r="A425" s="1" t="n"/>
      <c r="B425" s="1" t="n"/>
      <c r="C425" s="1" t="n"/>
      <c r="D425" s="1" t="n"/>
      <c r="E425" s="1" t="n"/>
      <c r="F425" s="1" t="n"/>
      <c r="G425" s="1" t="n"/>
      <c r="H425" s="1" t="n"/>
      <c r="I425" s="1" t="n"/>
      <c r="J425" s="1" t="n"/>
      <c r="K425" s="1" t="n"/>
      <c r="L425" s="1" t="n"/>
      <c r="M425" s="1" t="n"/>
      <c r="N425" s="1" t="n"/>
      <c r="O425" s="1" t="n"/>
      <c r="P425" s="1" t="n"/>
    </row>
    <row r="426" ht="15.75" customHeight="1" s="311">
      <c r="A426" s="1" t="n"/>
      <c r="B426" s="1" t="n"/>
      <c r="C426" s="1" t="n"/>
      <c r="D426" s="1" t="n"/>
      <c r="E426" s="1" t="n"/>
      <c r="F426" s="1" t="n"/>
      <c r="G426" s="1" t="n"/>
      <c r="H426" s="1" t="n"/>
      <c r="I426" s="1" t="n"/>
      <c r="J426" s="1" t="n"/>
      <c r="K426" s="1" t="n"/>
      <c r="L426" s="1" t="n"/>
      <c r="M426" s="1" t="n"/>
      <c r="N426" s="1" t="n"/>
      <c r="O426" s="1" t="n"/>
      <c r="P426" s="1" t="n"/>
    </row>
    <row r="427" ht="15.75" customHeight="1" s="311">
      <c r="A427" s="1" t="n"/>
      <c r="B427" s="1" t="n"/>
      <c r="C427" s="1" t="n"/>
      <c r="D427" s="1" t="n"/>
      <c r="E427" s="1" t="n"/>
      <c r="F427" s="1" t="n"/>
      <c r="G427" s="1" t="n"/>
      <c r="H427" s="1" t="n"/>
      <c r="I427" s="1" t="n"/>
      <c r="J427" s="1" t="n"/>
      <c r="K427" s="1" t="n"/>
      <c r="L427" s="1" t="n"/>
      <c r="M427" s="1" t="n"/>
      <c r="N427" s="1" t="n"/>
      <c r="O427" s="1" t="n"/>
      <c r="P427" s="1" t="n"/>
    </row>
    <row r="428" ht="15.75" customHeight="1" s="311">
      <c r="A428" s="1" t="n"/>
      <c r="B428" s="1" t="n"/>
      <c r="C428" s="1" t="n"/>
      <c r="D428" s="1" t="n"/>
      <c r="E428" s="1" t="n"/>
      <c r="F428" s="1" t="n"/>
      <c r="G428" s="1" t="n"/>
      <c r="H428" s="1" t="n"/>
      <c r="I428" s="1" t="n"/>
      <c r="J428" s="1" t="n"/>
      <c r="K428" s="1" t="n"/>
      <c r="L428" s="1" t="n"/>
      <c r="M428" s="1" t="n"/>
      <c r="N428" s="1" t="n"/>
      <c r="O428" s="1" t="n"/>
      <c r="P428" s="1" t="n"/>
    </row>
    <row r="429" ht="15.75" customHeight="1" s="311">
      <c r="A429" s="1" t="n"/>
      <c r="B429" s="1" t="n"/>
      <c r="C429" s="1" t="n"/>
      <c r="D429" s="1" t="n"/>
      <c r="E429" s="1" t="n"/>
      <c r="F429" s="1" t="n"/>
      <c r="G429" s="1" t="n"/>
      <c r="H429" s="1" t="n"/>
      <c r="I429" s="1" t="n"/>
      <c r="J429" s="1" t="n"/>
      <c r="K429" s="1" t="n"/>
      <c r="L429" s="1" t="n"/>
      <c r="M429" s="1" t="n"/>
      <c r="N429" s="1" t="n"/>
      <c r="O429" s="1" t="n"/>
      <c r="P429" s="1" t="n"/>
    </row>
    <row r="430" ht="15.75" customHeight="1" s="311">
      <c r="A430" s="1" t="n"/>
      <c r="B430" s="1" t="n"/>
      <c r="C430" s="1" t="n"/>
      <c r="D430" s="1" t="n"/>
      <c r="E430" s="1" t="n"/>
      <c r="F430" s="1" t="n"/>
      <c r="G430" s="1" t="n"/>
      <c r="H430" s="1" t="n"/>
      <c r="I430" s="1" t="n"/>
      <c r="J430" s="1" t="n"/>
      <c r="K430" s="1" t="n"/>
      <c r="L430" s="1" t="n"/>
      <c r="M430" s="1" t="n"/>
      <c r="N430" s="1" t="n"/>
      <c r="O430" s="1" t="n"/>
      <c r="P430" s="1" t="n"/>
    </row>
    <row r="431" ht="15.75" customHeight="1" s="311">
      <c r="A431" s="1" t="n"/>
      <c r="B431" s="1" t="n"/>
      <c r="C431" s="1" t="n"/>
      <c r="D431" s="1" t="n"/>
      <c r="E431" s="1" t="n"/>
      <c r="F431" s="1" t="n"/>
      <c r="G431" s="1" t="n"/>
      <c r="H431" s="1" t="n"/>
      <c r="I431" s="1" t="n"/>
      <c r="J431" s="1" t="n"/>
      <c r="K431" s="1" t="n"/>
      <c r="L431" s="1" t="n"/>
      <c r="M431" s="1" t="n"/>
      <c r="N431" s="1" t="n"/>
      <c r="O431" s="1" t="n"/>
      <c r="P431" s="1" t="n"/>
    </row>
    <row r="432" ht="15.75" customHeight="1" s="311">
      <c r="A432" s="1" t="n"/>
      <c r="B432" s="1" t="n"/>
      <c r="C432" s="1" t="n"/>
      <c r="D432" s="1" t="n"/>
      <c r="E432" s="1" t="n"/>
      <c r="F432" s="1" t="n"/>
      <c r="G432" s="1" t="n"/>
      <c r="H432" s="1" t="n"/>
      <c r="I432" s="1" t="n"/>
      <c r="J432" s="1" t="n"/>
      <c r="K432" s="1" t="n"/>
      <c r="L432" s="1" t="n"/>
      <c r="M432" s="1" t="n"/>
      <c r="N432" s="1" t="n"/>
      <c r="O432" s="1" t="n"/>
      <c r="P432" s="1" t="n"/>
    </row>
    <row r="433" ht="15.75" customHeight="1" s="311">
      <c r="A433" s="1" t="n"/>
      <c r="B433" s="1" t="n"/>
      <c r="C433" s="1" t="n"/>
      <c r="D433" s="1" t="n"/>
      <c r="E433" s="1" t="n"/>
      <c r="F433" s="1" t="n"/>
      <c r="G433" s="1" t="n"/>
      <c r="H433" s="1" t="n"/>
      <c r="I433" s="1" t="n"/>
      <c r="J433" s="1" t="n"/>
      <c r="K433" s="1" t="n"/>
      <c r="L433" s="1" t="n"/>
      <c r="M433" s="1" t="n"/>
      <c r="N433" s="1" t="n"/>
      <c r="O433" s="1" t="n"/>
      <c r="P433" s="1" t="n"/>
    </row>
    <row r="434" ht="15.75" customHeight="1" s="311">
      <c r="A434" s="1" t="n"/>
      <c r="B434" s="1" t="n"/>
      <c r="C434" s="1" t="n"/>
      <c r="D434" s="1" t="n"/>
      <c r="E434" s="1" t="n"/>
      <c r="F434" s="1" t="n"/>
      <c r="G434" s="1" t="n"/>
      <c r="H434" s="1" t="n"/>
      <c r="I434" s="1" t="n"/>
      <c r="J434" s="1" t="n"/>
      <c r="K434" s="1" t="n"/>
      <c r="L434" s="1" t="n"/>
      <c r="M434" s="1" t="n"/>
      <c r="N434" s="1" t="n"/>
      <c r="O434" s="1" t="n"/>
      <c r="P434" s="1" t="n"/>
    </row>
    <row r="435" ht="15.75" customHeight="1" s="311">
      <c r="A435" s="1" t="n"/>
      <c r="B435" s="1" t="n"/>
      <c r="C435" s="1" t="n"/>
      <c r="D435" s="1" t="n"/>
      <c r="E435" s="1" t="n"/>
      <c r="F435" s="1" t="n"/>
      <c r="G435" s="1" t="n"/>
      <c r="H435" s="1" t="n"/>
      <c r="I435" s="1" t="n"/>
      <c r="J435" s="1" t="n"/>
      <c r="K435" s="1" t="n"/>
      <c r="L435" s="1" t="n"/>
      <c r="M435" s="1" t="n"/>
      <c r="N435" s="1" t="n"/>
      <c r="O435" s="1" t="n"/>
      <c r="P435" s="1" t="n"/>
    </row>
    <row r="436" ht="15.75" customHeight="1" s="311">
      <c r="A436" s="1" t="n"/>
      <c r="B436" s="1" t="n"/>
      <c r="C436" s="1" t="n"/>
      <c r="D436" s="1" t="n"/>
      <c r="E436" s="1" t="n"/>
      <c r="F436" s="1" t="n"/>
      <c r="G436" s="1" t="n"/>
      <c r="H436" s="1" t="n"/>
      <c r="I436" s="1" t="n"/>
      <c r="J436" s="1" t="n"/>
      <c r="K436" s="1" t="n"/>
      <c r="L436" s="1" t="n"/>
      <c r="M436" s="1" t="n"/>
      <c r="N436" s="1" t="n"/>
      <c r="O436" s="1" t="n"/>
      <c r="P436" s="1" t="n"/>
    </row>
    <row r="437" ht="15.75" customHeight="1" s="311">
      <c r="A437" s="1" t="n"/>
      <c r="B437" s="1" t="n"/>
      <c r="C437" s="1" t="n"/>
      <c r="D437" s="1" t="n"/>
      <c r="E437" s="1" t="n"/>
      <c r="F437" s="1" t="n"/>
      <c r="G437" s="1" t="n"/>
      <c r="H437" s="1" t="n"/>
      <c r="I437" s="1" t="n"/>
      <c r="J437" s="1" t="n"/>
      <c r="K437" s="1" t="n"/>
      <c r="L437" s="1" t="n"/>
      <c r="M437" s="1" t="n"/>
      <c r="N437" s="1" t="n"/>
      <c r="O437" s="1" t="n"/>
      <c r="P437" s="1" t="n"/>
    </row>
    <row r="438" ht="15.75" customHeight="1" s="311">
      <c r="A438" s="1" t="n"/>
      <c r="B438" s="1" t="n"/>
      <c r="C438" s="1" t="n"/>
      <c r="D438" s="1" t="n"/>
      <c r="E438" s="1" t="n"/>
      <c r="F438" s="1" t="n"/>
      <c r="G438" s="1" t="n"/>
      <c r="H438" s="1" t="n"/>
      <c r="I438" s="1" t="n"/>
      <c r="J438" s="1" t="n"/>
      <c r="K438" s="1" t="n"/>
      <c r="L438" s="1" t="n"/>
      <c r="M438" s="1" t="n"/>
      <c r="N438" s="1" t="n"/>
      <c r="O438" s="1" t="n"/>
      <c r="P438" s="1" t="n"/>
    </row>
    <row r="439" ht="15.75" customHeight="1" s="311">
      <c r="A439" s="1" t="n"/>
      <c r="B439" s="1" t="n"/>
      <c r="C439" s="1" t="n"/>
      <c r="D439" s="1" t="n"/>
      <c r="E439" s="1" t="n"/>
      <c r="F439" s="1" t="n"/>
      <c r="G439" s="1" t="n"/>
      <c r="H439" s="1" t="n"/>
      <c r="I439" s="1" t="n"/>
      <c r="J439" s="1" t="n"/>
      <c r="K439" s="1" t="n"/>
      <c r="L439" s="1" t="n"/>
      <c r="M439" s="1" t="n"/>
      <c r="N439" s="1" t="n"/>
      <c r="O439" s="1" t="n"/>
      <c r="P439" s="1" t="n"/>
    </row>
    <row r="440" ht="15.75" customHeight="1" s="311">
      <c r="A440" s="1" t="n"/>
      <c r="B440" s="1" t="n"/>
      <c r="C440" s="1" t="n"/>
      <c r="D440" s="1" t="n"/>
      <c r="E440" s="1" t="n"/>
      <c r="F440" s="1" t="n"/>
      <c r="G440" s="1" t="n"/>
      <c r="H440" s="1" t="n"/>
      <c r="I440" s="1" t="n"/>
      <c r="J440" s="1" t="n"/>
      <c r="K440" s="1" t="n"/>
      <c r="L440" s="1" t="n"/>
      <c r="M440" s="1" t="n"/>
      <c r="N440" s="1" t="n"/>
      <c r="O440" s="1" t="n"/>
      <c r="P440" s="1" t="n"/>
    </row>
    <row r="441" ht="15.75" customHeight="1" s="311">
      <c r="A441" s="1" t="n"/>
      <c r="B441" s="1" t="n"/>
      <c r="C441" s="1" t="n"/>
      <c r="D441" s="1" t="n"/>
      <c r="E441" s="1" t="n"/>
      <c r="F441" s="1" t="n"/>
      <c r="G441" s="1" t="n"/>
      <c r="H441" s="1" t="n"/>
      <c r="I441" s="1" t="n"/>
      <c r="J441" s="1" t="n"/>
      <c r="K441" s="1" t="n"/>
      <c r="L441" s="1" t="n"/>
      <c r="M441" s="1" t="n"/>
      <c r="N441" s="1" t="n"/>
      <c r="O441" s="1" t="n"/>
      <c r="P441" s="1" t="n"/>
    </row>
    <row r="442" ht="15.75" customHeight="1" s="311">
      <c r="A442" s="1" t="n"/>
      <c r="B442" s="1" t="n"/>
      <c r="C442" s="1" t="n"/>
      <c r="D442" s="1" t="n"/>
      <c r="E442" s="1" t="n"/>
      <c r="F442" s="1" t="n"/>
      <c r="G442" s="1" t="n"/>
      <c r="H442" s="1" t="n"/>
      <c r="I442" s="1" t="n"/>
      <c r="J442" s="1" t="n"/>
      <c r="K442" s="1" t="n"/>
      <c r="L442" s="1" t="n"/>
      <c r="M442" s="1" t="n"/>
      <c r="N442" s="1" t="n"/>
      <c r="O442" s="1" t="n"/>
      <c r="P442" s="1" t="n"/>
    </row>
    <row r="443" ht="15.75" customHeight="1" s="311">
      <c r="A443" s="1" t="n"/>
      <c r="B443" s="1" t="n"/>
      <c r="C443" s="1" t="n"/>
      <c r="D443" s="1" t="n"/>
      <c r="E443" s="1" t="n"/>
      <c r="F443" s="1" t="n"/>
      <c r="G443" s="1" t="n"/>
      <c r="H443" s="1" t="n"/>
      <c r="I443" s="1" t="n"/>
      <c r="J443" s="1" t="n"/>
      <c r="K443" s="1" t="n"/>
      <c r="L443" s="1" t="n"/>
      <c r="M443" s="1" t="n"/>
      <c r="N443" s="1" t="n"/>
      <c r="O443" s="1" t="n"/>
      <c r="P443" s="1" t="n"/>
    </row>
    <row r="444" ht="15.75" customHeight="1" s="311">
      <c r="A444" s="1" t="n"/>
      <c r="B444" s="1" t="n"/>
      <c r="C444" s="1" t="n"/>
      <c r="D444" s="1" t="n"/>
      <c r="E444" s="1" t="n"/>
      <c r="F444" s="1" t="n"/>
      <c r="G444" s="1" t="n"/>
      <c r="H444" s="1" t="n"/>
      <c r="I444" s="1" t="n"/>
      <c r="J444" s="1" t="n"/>
      <c r="K444" s="1" t="n"/>
      <c r="L444" s="1" t="n"/>
      <c r="M444" s="1" t="n"/>
      <c r="N444" s="1" t="n"/>
      <c r="O444" s="1" t="n"/>
      <c r="P444" s="1" t="n"/>
    </row>
    <row r="445" ht="15.75" customHeight="1" s="311">
      <c r="A445" s="1" t="n"/>
      <c r="B445" s="1" t="n"/>
      <c r="C445" s="1" t="n"/>
      <c r="D445" s="1" t="n"/>
      <c r="E445" s="1" t="n"/>
      <c r="F445" s="1" t="n"/>
      <c r="G445" s="1" t="n"/>
      <c r="H445" s="1" t="n"/>
      <c r="I445" s="1" t="n"/>
      <c r="J445" s="1" t="n"/>
      <c r="K445" s="1" t="n"/>
      <c r="L445" s="1" t="n"/>
      <c r="M445" s="1" t="n"/>
      <c r="N445" s="1" t="n"/>
      <c r="O445" s="1" t="n"/>
      <c r="P445" s="1" t="n"/>
    </row>
    <row r="446" ht="15.75" customHeight="1" s="311">
      <c r="A446" s="1" t="n"/>
      <c r="B446" s="1" t="n"/>
      <c r="C446" s="1" t="n"/>
      <c r="D446" s="1" t="n"/>
      <c r="E446" s="1" t="n"/>
      <c r="F446" s="1" t="n"/>
      <c r="G446" s="1" t="n"/>
      <c r="H446" s="1" t="n"/>
      <c r="I446" s="1" t="n"/>
      <c r="J446" s="1" t="n"/>
      <c r="K446" s="1" t="n"/>
      <c r="L446" s="1" t="n"/>
      <c r="M446" s="1" t="n"/>
      <c r="N446" s="1" t="n"/>
      <c r="O446" s="1" t="n"/>
      <c r="P446" s="1" t="n"/>
    </row>
    <row r="447" ht="15.75" customHeight="1" s="311">
      <c r="A447" s="1" t="n"/>
      <c r="B447" s="1" t="n"/>
      <c r="C447" s="1" t="n"/>
      <c r="D447" s="1" t="n"/>
      <c r="E447" s="1" t="n"/>
      <c r="F447" s="1" t="n"/>
      <c r="G447" s="1" t="n"/>
      <c r="H447" s="1" t="n"/>
      <c r="I447" s="1" t="n"/>
      <c r="J447" s="1" t="n"/>
      <c r="K447" s="1" t="n"/>
      <c r="L447" s="1" t="n"/>
      <c r="M447" s="1" t="n"/>
      <c r="N447" s="1" t="n"/>
      <c r="O447" s="1" t="n"/>
      <c r="P447" s="1" t="n"/>
    </row>
    <row r="448" ht="15.75" customHeight="1" s="311">
      <c r="A448" s="1" t="n"/>
      <c r="B448" s="1" t="n"/>
      <c r="C448" s="1" t="n"/>
      <c r="D448" s="1" t="n"/>
      <c r="E448" s="1" t="n"/>
      <c r="F448" s="1" t="n"/>
      <c r="G448" s="1" t="n"/>
      <c r="H448" s="1" t="n"/>
      <c r="I448" s="1" t="n"/>
      <c r="J448" s="1" t="n"/>
      <c r="K448" s="1" t="n"/>
      <c r="L448" s="1" t="n"/>
      <c r="M448" s="1" t="n"/>
      <c r="N448" s="1" t="n"/>
      <c r="O448" s="1" t="n"/>
      <c r="P448" s="1" t="n"/>
    </row>
    <row r="449" ht="15.75" customHeight="1" s="311">
      <c r="A449" s="1" t="n"/>
      <c r="B449" s="1" t="n"/>
      <c r="C449" s="1" t="n"/>
      <c r="D449" s="1" t="n"/>
      <c r="E449" s="1" t="n"/>
      <c r="F449" s="1" t="n"/>
      <c r="G449" s="1" t="n"/>
      <c r="H449" s="1" t="n"/>
      <c r="I449" s="1" t="n"/>
      <c r="J449" s="1" t="n"/>
      <c r="K449" s="1" t="n"/>
      <c r="L449" s="1" t="n"/>
      <c r="M449" s="1" t="n"/>
      <c r="N449" s="1" t="n"/>
      <c r="O449" s="1" t="n"/>
      <c r="P449" s="1" t="n"/>
    </row>
    <row r="450" ht="15.75" customHeight="1" s="311">
      <c r="A450" s="1" t="n"/>
      <c r="B450" s="1" t="n"/>
      <c r="C450" s="1" t="n"/>
      <c r="D450" s="1" t="n"/>
      <c r="E450" s="1" t="n"/>
      <c r="F450" s="1" t="n"/>
      <c r="G450" s="1" t="n"/>
      <c r="H450" s="1" t="n"/>
      <c r="I450" s="1" t="n"/>
      <c r="J450" s="1" t="n"/>
      <c r="K450" s="1" t="n"/>
      <c r="L450" s="1" t="n"/>
      <c r="M450" s="1" t="n"/>
      <c r="N450" s="1" t="n"/>
      <c r="O450" s="1" t="n"/>
      <c r="P450" s="1" t="n"/>
    </row>
    <row r="451" ht="15.75" customHeight="1" s="311">
      <c r="A451" s="1" t="n"/>
      <c r="B451" s="1" t="n"/>
      <c r="C451" s="1" t="n"/>
      <c r="D451" s="1" t="n"/>
      <c r="E451" s="1" t="n"/>
      <c r="F451" s="1" t="n"/>
      <c r="G451" s="1" t="n"/>
      <c r="H451" s="1" t="n"/>
      <c r="I451" s="1" t="n"/>
      <c r="J451" s="1" t="n"/>
      <c r="K451" s="1" t="n"/>
      <c r="L451" s="1" t="n"/>
      <c r="M451" s="1" t="n"/>
      <c r="N451" s="1" t="n"/>
      <c r="O451" s="1" t="n"/>
      <c r="P451" s="1" t="n"/>
    </row>
    <row r="452" ht="15.75" customHeight="1" s="311">
      <c r="A452" s="1" t="n"/>
      <c r="B452" s="1" t="n"/>
      <c r="C452" s="1" t="n"/>
      <c r="D452" s="1" t="n"/>
      <c r="E452" s="1" t="n"/>
      <c r="F452" s="1" t="n"/>
      <c r="G452" s="1" t="n"/>
      <c r="H452" s="1" t="n"/>
      <c r="I452" s="1" t="n"/>
      <c r="J452" s="1" t="n"/>
      <c r="K452" s="1" t="n"/>
      <c r="L452" s="1" t="n"/>
      <c r="M452" s="1" t="n"/>
      <c r="N452" s="1" t="n"/>
      <c r="O452" s="1" t="n"/>
      <c r="P452" s="1" t="n"/>
    </row>
    <row r="453" ht="15.75" customHeight="1" s="311">
      <c r="A453" s="1" t="n"/>
      <c r="B453" s="1" t="n"/>
      <c r="C453" s="1" t="n"/>
      <c r="D453" s="1" t="n"/>
      <c r="E453" s="1" t="n"/>
      <c r="F453" s="1" t="n"/>
      <c r="G453" s="1" t="n"/>
      <c r="H453" s="1" t="n"/>
      <c r="I453" s="1" t="n"/>
      <c r="J453" s="1" t="n"/>
      <c r="K453" s="1" t="n"/>
      <c r="L453" s="1" t="n"/>
      <c r="M453" s="1" t="n"/>
      <c r="N453" s="1" t="n"/>
      <c r="O453" s="1" t="n"/>
      <c r="P453" s="1" t="n"/>
    </row>
    <row r="454" ht="15.75" customHeight="1" s="311">
      <c r="A454" s="1" t="n"/>
      <c r="B454" s="1" t="n"/>
      <c r="C454" s="1" t="n"/>
      <c r="D454" s="1" t="n"/>
      <c r="E454" s="1" t="n"/>
      <c r="F454" s="1" t="n"/>
      <c r="G454" s="1" t="n"/>
      <c r="H454" s="1" t="n"/>
      <c r="I454" s="1" t="n"/>
      <c r="J454" s="1" t="n"/>
      <c r="K454" s="1" t="n"/>
      <c r="L454" s="1" t="n"/>
      <c r="M454" s="1" t="n"/>
      <c r="N454" s="1" t="n"/>
      <c r="O454" s="1" t="n"/>
      <c r="P454" s="1" t="n"/>
    </row>
    <row r="455" ht="15.75" customHeight="1" s="311">
      <c r="A455" s="1" t="n"/>
      <c r="B455" s="1" t="n"/>
      <c r="C455" s="1" t="n"/>
      <c r="D455" s="1" t="n"/>
      <c r="E455" s="1" t="n"/>
      <c r="F455" s="1" t="n"/>
      <c r="G455" s="1" t="n"/>
      <c r="H455" s="1" t="n"/>
      <c r="I455" s="1" t="n"/>
      <c r="J455" s="1" t="n"/>
      <c r="K455" s="1" t="n"/>
      <c r="L455" s="1" t="n"/>
      <c r="M455" s="1" t="n"/>
      <c r="N455" s="1" t="n"/>
      <c r="O455" s="1" t="n"/>
      <c r="P455" s="1" t="n"/>
    </row>
    <row r="456" ht="15.75" customHeight="1" s="311">
      <c r="A456" s="1" t="n"/>
      <c r="B456" s="1" t="n"/>
      <c r="C456" s="1" t="n"/>
      <c r="D456" s="1" t="n"/>
      <c r="E456" s="1" t="n"/>
      <c r="F456" s="1" t="n"/>
      <c r="G456" s="1" t="n"/>
      <c r="H456" s="1" t="n"/>
      <c r="I456" s="1" t="n"/>
      <c r="J456" s="1" t="n"/>
      <c r="K456" s="1" t="n"/>
      <c r="L456" s="1" t="n"/>
      <c r="M456" s="1" t="n"/>
      <c r="N456" s="1" t="n"/>
      <c r="O456" s="1" t="n"/>
      <c r="P456" s="1" t="n"/>
    </row>
    <row r="457" ht="15.75" customHeight="1" s="311">
      <c r="A457" s="1" t="n"/>
      <c r="B457" s="1" t="n"/>
      <c r="C457" s="1" t="n"/>
      <c r="D457" s="1" t="n"/>
      <c r="E457" s="1" t="n"/>
      <c r="F457" s="1" t="n"/>
      <c r="G457" s="1" t="n"/>
      <c r="H457" s="1" t="n"/>
      <c r="I457" s="1" t="n"/>
      <c r="J457" s="1" t="n"/>
      <c r="K457" s="1" t="n"/>
      <c r="L457" s="1" t="n"/>
      <c r="M457" s="1" t="n"/>
      <c r="N457" s="1" t="n"/>
      <c r="O457" s="1" t="n"/>
      <c r="P457" s="1" t="n"/>
    </row>
    <row r="458" ht="15.75" customHeight="1" s="311">
      <c r="A458" s="1" t="n"/>
      <c r="B458" s="1" t="n"/>
      <c r="C458" s="1" t="n"/>
      <c r="D458" s="1" t="n"/>
      <c r="E458" s="1" t="n"/>
      <c r="F458" s="1" t="n"/>
      <c r="G458" s="1" t="n"/>
      <c r="H458" s="1" t="n"/>
      <c r="I458" s="1" t="n"/>
      <c r="J458" s="1" t="n"/>
      <c r="K458" s="1" t="n"/>
      <c r="L458" s="1" t="n"/>
      <c r="M458" s="1" t="n"/>
      <c r="N458" s="1" t="n"/>
      <c r="O458" s="1" t="n"/>
      <c r="P458" s="1" t="n"/>
    </row>
    <row r="459" ht="15.75" customHeight="1" s="311">
      <c r="A459" s="1" t="n"/>
      <c r="B459" s="1" t="n"/>
      <c r="C459" s="1" t="n"/>
      <c r="D459" s="1" t="n"/>
      <c r="E459" s="1" t="n"/>
      <c r="F459" s="1" t="n"/>
      <c r="G459" s="1" t="n"/>
      <c r="H459" s="1" t="n"/>
      <c r="I459" s="1" t="n"/>
      <c r="J459" s="1" t="n"/>
      <c r="K459" s="1" t="n"/>
      <c r="L459" s="1" t="n"/>
      <c r="M459" s="1" t="n"/>
      <c r="N459" s="1" t="n"/>
      <c r="O459" s="1" t="n"/>
      <c r="P459" s="1" t="n"/>
    </row>
    <row r="460" ht="15.75" customHeight="1" s="311">
      <c r="A460" s="1" t="n"/>
      <c r="B460" s="1" t="n"/>
      <c r="C460" s="1" t="n"/>
      <c r="D460" s="1" t="n"/>
      <c r="E460" s="1" t="n"/>
      <c r="F460" s="1" t="n"/>
      <c r="G460" s="1" t="n"/>
      <c r="H460" s="1" t="n"/>
      <c r="I460" s="1" t="n"/>
      <c r="J460" s="1" t="n"/>
      <c r="K460" s="1" t="n"/>
      <c r="L460" s="1" t="n"/>
      <c r="M460" s="1" t="n"/>
      <c r="N460" s="1" t="n"/>
      <c r="O460" s="1" t="n"/>
      <c r="P460" s="1" t="n"/>
    </row>
    <row r="461" ht="15.75" customHeight="1" s="311">
      <c r="A461" s="1" t="n"/>
      <c r="B461" s="1" t="n"/>
      <c r="C461" s="1" t="n"/>
      <c r="D461" s="1" t="n"/>
      <c r="E461" s="1" t="n"/>
      <c r="F461" s="1" t="n"/>
      <c r="G461" s="1" t="n"/>
      <c r="H461" s="1" t="n"/>
      <c r="I461" s="1" t="n"/>
      <c r="J461" s="1" t="n"/>
      <c r="K461" s="1" t="n"/>
      <c r="L461" s="1" t="n"/>
      <c r="M461" s="1" t="n"/>
      <c r="N461" s="1" t="n"/>
      <c r="O461" s="1" t="n"/>
      <c r="P461" s="1" t="n"/>
    </row>
    <row r="462" ht="15.75" customHeight="1" s="311">
      <c r="A462" s="1" t="n"/>
      <c r="B462" s="1" t="n"/>
      <c r="C462" s="1" t="n"/>
      <c r="D462" s="1" t="n"/>
      <c r="E462" s="1" t="n"/>
      <c r="F462" s="1" t="n"/>
      <c r="G462" s="1" t="n"/>
      <c r="H462" s="1" t="n"/>
      <c r="I462" s="1" t="n"/>
      <c r="J462" s="1" t="n"/>
      <c r="K462" s="1" t="n"/>
      <c r="L462" s="1" t="n"/>
      <c r="M462" s="1" t="n"/>
      <c r="N462" s="1" t="n"/>
      <c r="O462" s="1" t="n"/>
      <c r="P462" s="1" t="n"/>
    </row>
    <row r="463" ht="15.75" customHeight="1" s="311">
      <c r="A463" s="1" t="n"/>
      <c r="B463" s="1" t="n"/>
      <c r="C463" s="1" t="n"/>
      <c r="D463" s="1" t="n"/>
      <c r="E463" s="1" t="n"/>
      <c r="F463" s="1" t="n"/>
      <c r="G463" s="1" t="n"/>
      <c r="H463" s="1" t="n"/>
      <c r="I463" s="1" t="n"/>
      <c r="J463" s="1" t="n"/>
      <c r="K463" s="1" t="n"/>
      <c r="L463" s="1" t="n"/>
      <c r="M463" s="1" t="n"/>
      <c r="N463" s="1" t="n"/>
      <c r="O463" s="1" t="n"/>
      <c r="P463" s="1" t="n"/>
    </row>
    <row r="464" ht="15.75" customHeight="1" s="311">
      <c r="A464" s="1" t="n"/>
      <c r="B464" s="1" t="n"/>
      <c r="C464" s="1" t="n"/>
      <c r="D464" s="1" t="n"/>
      <c r="E464" s="1" t="n"/>
      <c r="F464" s="1" t="n"/>
      <c r="G464" s="1" t="n"/>
      <c r="H464" s="1" t="n"/>
      <c r="I464" s="1" t="n"/>
      <c r="J464" s="1" t="n"/>
      <c r="K464" s="1" t="n"/>
      <c r="L464" s="1" t="n"/>
      <c r="M464" s="1" t="n"/>
      <c r="N464" s="1" t="n"/>
      <c r="O464" s="1" t="n"/>
      <c r="P464" s="1" t="n"/>
    </row>
    <row r="465" ht="15.75" customHeight="1" s="311">
      <c r="A465" s="1" t="n"/>
      <c r="B465" s="1" t="n"/>
      <c r="C465" s="1" t="n"/>
      <c r="D465" s="1" t="n"/>
      <c r="E465" s="1" t="n"/>
      <c r="F465" s="1" t="n"/>
      <c r="G465" s="1" t="n"/>
      <c r="H465" s="1" t="n"/>
      <c r="I465" s="1" t="n"/>
      <c r="J465" s="1" t="n"/>
      <c r="K465" s="1" t="n"/>
      <c r="L465" s="1" t="n"/>
      <c r="M465" s="1" t="n"/>
      <c r="N465" s="1" t="n"/>
      <c r="O465" s="1" t="n"/>
      <c r="P465" s="1" t="n"/>
    </row>
    <row r="466" ht="15.75" customHeight="1" s="311">
      <c r="A466" s="1" t="n"/>
      <c r="B466" s="1" t="n"/>
      <c r="C466" s="1" t="n"/>
      <c r="D466" s="1" t="n"/>
      <c r="E466" s="1" t="n"/>
      <c r="F466" s="1" t="n"/>
      <c r="G466" s="1" t="n"/>
      <c r="H466" s="1" t="n"/>
      <c r="I466" s="1" t="n"/>
      <c r="J466" s="1" t="n"/>
      <c r="K466" s="1" t="n"/>
      <c r="L466" s="1" t="n"/>
      <c r="M466" s="1" t="n"/>
      <c r="N466" s="1" t="n"/>
      <c r="O466" s="1" t="n"/>
      <c r="P466" s="1" t="n"/>
    </row>
    <row r="467" ht="15.75" customHeight="1" s="311">
      <c r="A467" s="1" t="n"/>
      <c r="B467" s="1" t="n"/>
      <c r="C467" s="1" t="n"/>
      <c r="D467" s="1" t="n"/>
      <c r="E467" s="1" t="n"/>
      <c r="F467" s="1" t="n"/>
      <c r="G467" s="1" t="n"/>
      <c r="H467" s="1" t="n"/>
      <c r="I467" s="1" t="n"/>
      <c r="J467" s="1" t="n"/>
      <c r="K467" s="1" t="n"/>
      <c r="L467" s="1" t="n"/>
      <c r="M467" s="1" t="n"/>
      <c r="N467" s="1" t="n"/>
      <c r="O467" s="1" t="n"/>
      <c r="P467" s="1" t="n"/>
    </row>
    <row r="468" ht="15.75" customHeight="1" s="311">
      <c r="A468" s="1" t="n"/>
      <c r="B468" s="1" t="n"/>
      <c r="C468" s="1" t="n"/>
      <c r="D468" s="1" t="n"/>
      <c r="E468" s="1" t="n"/>
      <c r="F468" s="1" t="n"/>
      <c r="G468" s="1" t="n"/>
      <c r="H468" s="1" t="n"/>
      <c r="I468" s="1" t="n"/>
      <c r="J468" s="1" t="n"/>
      <c r="K468" s="1" t="n"/>
      <c r="L468" s="1" t="n"/>
      <c r="M468" s="1" t="n"/>
      <c r="N468" s="1" t="n"/>
      <c r="O468" s="1" t="n"/>
      <c r="P468" s="1" t="n"/>
    </row>
    <row r="469" ht="15.75" customHeight="1" s="311">
      <c r="A469" s="1" t="n"/>
      <c r="B469" s="1" t="n"/>
      <c r="C469" s="1" t="n"/>
      <c r="D469" s="1" t="n"/>
      <c r="E469" s="1" t="n"/>
      <c r="F469" s="1" t="n"/>
      <c r="G469" s="1" t="n"/>
      <c r="H469" s="1" t="n"/>
      <c r="I469" s="1" t="n"/>
      <c r="J469" s="1" t="n"/>
      <c r="K469" s="1" t="n"/>
      <c r="L469" s="1" t="n"/>
      <c r="M469" s="1" t="n"/>
      <c r="N469" s="1" t="n"/>
      <c r="O469" s="1" t="n"/>
      <c r="P469" s="1" t="n"/>
    </row>
    <row r="470" ht="15.75" customHeight="1" s="311">
      <c r="A470" s="1" t="n"/>
      <c r="B470" s="1" t="n"/>
      <c r="C470" s="1" t="n"/>
      <c r="D470" s="1" t="n"/>
      <c r="E470" s="1" t="n"/>
      <c r="F470" s="1" t="n"/>
      <c r="G470" s="1" t="n"/>
      <c r="H470" s="1" t="n"/>
      <c r="I470" s="1" t="n"/>
      <c r="J470" s="1" t="n"/>
      <c r="K470" s="1" t="n"/>
      <c r="L470" s="1" t="n"/>
      <c r="M470" s="1" t="n"/>
      <c r="N470" s="1" t="n"/>
      <c r="O470" s="1" t="n"/>
      <c r="P470" s="1" t="n"/>
    </row>
    <row r="471" ht="15.75" customHeight="1" s="311">
      <c r="A471" s="1" t="n"/>
      <c r="B471" s="1" t="n"/>
      <c r="C471" s="1" t="n"/>
      <c r="D471" s="1" t="n"/>
      <c r="E471" s="1" t="n"/>
      <c r="F471" s="1" t="n"/>
      <c r="G471" s="1" t="n"/>
      <c r="H471" s="1" t="n"/>
      <c r="I471" s="1" t="n"/>
      <c r="J471" s="1" t="n"/>
      <c r="K471" s="1" t="n"/>
      <c r="L471" s="1" t="n"/>
      <c r="M471" s="1" t="n"/>
      <c r="N471" s="1" t="n"/>
      <c r="O471" s="1" t="n"/>
      <c r="P471" s="1" t="n"/>
    </row>
    <row r="472" ht="15.75" customHeight="1" s="311">
      <c r="A472" s="1" t="n"/>
      <c r="B472" s="1" t="n"/>
      <c r="C472" s="1" t="n"/>
      <c r="D472" s="1" t="n"/>
      <c r="E472" s="1" t="n"/>
      <c r="F472" s="1" t="n"/>
      <c r="G472" s="1" t="n"/>
      <c r="H472" s="1" t="n"/>
      <c r="I472" s="1" t="n"/>
      <c r="J472" s="1" t="n"/>
      <c r="K472" s="1" t="n"/>
      <c r="L472" s="1" t="n"/>
      <c r="M472" s="1" t="n"/>
      <c r="N472" s="1" t="n"/>
      <c r="O472" s="1" t="n"/>
      <c r="P472" s="1" t="n"/>
    </row>
    <row r="473" ht="15.75" customHeight="1" s="311">
      <c r="A473" s="1" t="n"/>
      <c r="B473" s="1" t="n"/>
      <c r="C473" s="1" t="n"/>
      <c r="D473" s="1" t="n"/>
      <c r="E473" s="1" t="n"/>
      <c r="F473" s="1" t="n"/>
      <c r="G473" s="1" t="n"/>
      <c r="H473" s="1" t="n"/>
      <c r="I473" s="1" t="n"/>
      <c r="J473" s="1" t="n"/>
      <c r="K473" s="1" t="n"/>
      <c r="L473" s="1" t="n"/>
      <c r="M473" s="1" t="n"/>
      <c r="N473" s="1" t="n"/>
      <c r="O473" s="1" t="n"/>
      <c r="P473" s="1" t="n"/>
    </row>
    <row r="474" ht="15.75" customHeight="1" s="311">
      <c r="A474" s="1" t="n"/>
      <c r="B474" s="1" t="n"/>
      <c r="C474" s="1" t="n"/>
      <c r="D474" s="1" t="n"/>
      <c r="E474" s="1" t="n"/>
      <c r="F474" s="1" t="n"/>
      <c r="G474" s="1" t="n"/>
      <c r="H474" s="1" t="n"/>
      <c r="I474" s="1" t="n"/>
      <c r="J474" s="1" t="n"/>
      <c r="K474" s="1" t="n"/>
      <c r="L474" s="1" t="n"/>
      <c r="M474" s="1" t="n"/>
      <c r="N474" s="1" t="n"/>
      <c r="O474" s="1" t="n"/>
      <c r="P474" s="1" t="n"/>
    </row>
    <row r="475" ht="15.75" customHeight="1" s="311">
      <c r="A475" s="1" t="n"/>
      <c r="B475" s="1" t="n"/>
      <c r="C475" s="1" t="n"/>
      <c r="D475" s="1" t="n"/>
      <c r="E475" s="1" t="n"/>
      <c r="F475" s="1" t="n"/>
      <c r="G475" s="1" t="n"/>
      <c r="H475" s="1" t="n"/>
      <c r="I475" s="1" t="n"/>
      <c r="J475" s="1" t="n"/>
      <c r="K475" s="1" t="n"/>
      <c r="L475" s="1" t="n"/>
      <c r="M475" s="1" t="n"/>
      <c r="N475" s="1" t="n"/>
      <c r="O475" s="1" t="n"/>
      <c r="P475" s="1" t="n"/>
    </row>
    <row r="476" ht="15.75" customHeight="1" s="311">
      <c r="A476" s="1" t="n"/>
      <c r="B476" s="1" t="n"/>
      <c r="C476" s="1" t="n"/>
      <c r="D476" s="1" t="n"/>
      <c r="E476" s="1" t="n"/>
      <c r="F476" s="1" t="n"/>
      <c r="G476" s="1" t="n"/>
      <c r="H476" s="1" t="n"/>
      <c r="I476" s="1" t="n"/>
      <c r="J476" s="1" t="n"/>
      <c r="K476" s="1" t="n"/>
      <c r="L476" s="1" t="n"/>
      <c r="M476" s="1" t="n"/>
      <c r="N476" s="1" t="n"/>
      <c r="O476" s="1" t="n"/>
      <c r="P476" s="1" t="n"/>
    </row>
    <row r="477" ht="15.75" customHeight="1" s="311">
      <c r="A477" s="1" t="n"/>
      <c r="B477" s="1" t="n"/>
      <c r="C477" s="1" t="n"/>
      <c r="D477" s="1" t="n"/>
      <c r="E477" s="1" t="n"/>
      <c r="F477" s="1" t="n"/>
      <c r="G477" s="1" t="n"/>
      <c r="H477" s="1" t="n"/>
      <c r="I477" s="1" t="n"/>
      <c r="J477" s="1" t="n"/>
      <c r="K477" s="1" t="n"/>
      <c r="L477" s="1" t="n"/>
      <c r="M477" s="1" t="n"/>
      <c r="N477" s="1" t="n"/>
      <c r="O477" s="1" t="n"/>
      <c r="P477" s="1" t="n"/>
    </row>
    <row r="478" ht="15.75" customHeight="1" s="311">
      <c r="A478" s="1" t="n"/>
      <c r="B478" s="1" t="n"/>
      <c r="C478" s="1" t="n"/>
      <c r="D478" s="1" t="n"/>
      <c r="E478" s="1" t="n"/>
      <c r="F478" s="1" t="n"/>
      <c r="G478" s="1" t="n"/>
      <c r="H478" s="1" t="n"/>
      <c r="I478" s="1" t="n"/>
      <c r="J478" s="1" t="n"/>
      <c r="K478" s="1" t="n"/>
      <c r="L478" s="1" t="n"/>
      <c r="M478" s="1" t="n"/>
      <c r="N478" s="1" t="n"/>
      <c r="O478" s="1" t="n"/>
      <c r="P478" s="1" t="n"/>
    </row>
    <row r="479" ht="15.75" customHeight="1" s="311">
      <c r="A479" s="1" t="n"/>
      <c r="B479" s="1" t="n"/>
      <c r="C479" s="1" t="n"/>
      <c r="D479" s="1" t="n"/>
      <c r="E479" s="1" t="n"/>
      <c r="F479" s="1" t="n"/>
      <c r="G479" s="1" t="n"/>
      <c r="H479" s="1" t="n"/>
      <c r="I479" s="1" t="n"/>
      <c r="J479" s="1" t="n"/>
      <c r="K479" s="1" t="n"/>
      <c r="L479" s="1" t="n"/>
      <c r="M479" s="1" t="n"/>
      <c r="N479" s="1" t="n"/>
      <c r="O479" s="1" t="n"/>
      <c r="P479" s="1" t="n"/>
    </row>
    <row r="480" ht="15.75" customHeight="1" s="311">
      <c r="A480" s="1" t="n"/>
      <c r="B480" s="1" t="n"/>
      <c r="C480" s="1" t="n"/>
      <c r="D480" s="1" t="n"/>
      <c r="E480" s="1" t="n"/>
      <c r="F480" s="1" t="n"/>
      <c r="G480" s="1" t="n"/>
      <c r="H480" s="1" t="n"/>
      <c r="I480" s="1" t="n"/>
      <c r="J480" s="1" t="n"/>
      <c r="K480" s="1" t="n"/>
      <c r="L480" s="1" t="n"/>
      <c r="M480" s="1" t="n"/>
      <c r="N480" s="1" t="n"/>
      <c r="O480" s="1" t="n"/>
      <c r="P480" s="1" t="n"/>
    </row>
    <row r="481" ht="15.75" customHeight="1" s="311">
      <c r="A481" s="1" t="n"/>
      <c r="B481" s="1" t="n"/>
      <c r="C481" s="1" t="n"/>
      <c r="D481" s="1" t="n"/>
      <c r="E481" s="1" t="n"/>
      <c r="F481" s="1" t="n"/>
      <c r="G481" s="1" t="n"/>
      <c r="H481" s="1" t="n"/>
      <c r="I481" s="1" t="n"/>
      <c r="J481" s="1" t="n"/>
      <c r="K481" s="1" t="n"/>
      <c r="L481" s="1" t="n"/>
      <c r="M481" s="1" t="n"/>
      <c r="N481" s="1" t="n"/>
      <c r="O481" s="1" t="n"/>
      <c r="P481" s="1" t="n"/>
    </row>
    <row r="482" ht="15.75" customHeight="1" s="311">
      <c r="A482" s="1" t="n"/>
      <c r="B482" s="1" t="n"/>
      <c r="C482" s="1" t="n"/>
      <c r="D482" s="1" t="n"/>
      <c r="E482" s="1" t="n"/>
      <c r="F482" s="1" t="n"/>
      <c r="G482" s="1" t="n"/>
      <c r="H482" s="1" t="n"/>
      <c r="I482" s="1" t="n"/>
      <c r="J482" s="1" t="n"/>
      <c r="K482" s="1" t="n"/>
      <c r="L482" s="1" t="n"/>
      <c r="M482" s="1" t="n"/>
      <c r="N482" s="1" t="n"/>
      <c r="O482" s="1" t="n"/>
      <c r="P482" s="1" t="n"/>
    </row>
    <row r="483" ht="15.75" customHeight="1" s="311">
      <c r="A483" s="1" t="n"/>
      <c r="B483" s="1" t="n"/>
      <c r="C483" s="1" t="n"/>
      <c r="D483" s="1" t="n"/>
      <c r="E483" s="1" t="n"/>
      <c r="F483" s="1" t="n"/>
      <c r="G483" s="1" t="n"/>
      <c r="H483" s="1" t="n"/>
      <c r="I483" s="1" t="n"/>
      <c r="J483" s="1" t="n"/>
      <c r="K483" s="1" t="n"/>
      <c r="L483" s="1" t="n"/>
      <c r="M483" s="1" t="n"/>
      <c r="N483" s="1" t="n"/>
      <c r="O483" s="1" t="n"/>
      <c r="P483" s="1" t="n"/>
    </row>
    <row r="484" ht="15.75" customHeight="1" s="311">
      <c r="A484" s="1" t="n"/>
      <c r="B484" s="1" t="n"/>
      <c r="C484" s="1" t="n"/>
      <c r="D484" s="1" t="n"/>
      <c r="E484" s="1" t="n"/>
      <c r="F484" s="1" t="n"/>
      <c r="G484" s="1" t="n"/>
      <c r="H484" s="1" t="n"/>
      <c r="I484" s="1" t="n"/>
      <c r="J484" s="1" t="n"/>
      <c r="K484" s="1" t="n"/>
      <c r="L484" s="1" t="n"/>
      <c r="M484" s="1" t="n"/>
      <c r="N484" s="1" t="n"/>
      <c r="O484" s="1" t="n"/>
      <c r="P484" s="1" t="n"/>
    </row>
    <row r="485" ht="15.75" customHeight="1" s="311">
      <c r="A485" s="1" t="n"/>
      <c r="B485" s="1" t="n"/>
      <c r="C485" s="1" t="n"/>
      <c r="D485" s="1" t="n"/>
      <c r="E485" s="1" t="n"/>
      <c r="F485" s="1" t="n"/>
      <c r="G485" s="1" t="n"/>
      <c r="H485" s="1" t="n"/>
      <c r="I485" s="1" t="n"/>
      <c r="J485" s="1" t="n"/>
      <c r="K485" s="1" t="n"/>
      <c r="L485" s="1" t="n"/>
      <c r="M485" s="1" t="n"/>
      <c r="N485" s="1" t="n"/>
      <c r="O485" s="1" t="n"/>
      <c r="P485" s="1" t="n"/>
    </row>
    <row r="486" ht="15.75" customHeight="1" s="311">
      <c r="A486" s="1" t="n"/>
      <c r="B486" s="1" t="n"/>
      <c r="C486" s="1" t="n"/>
      <c r="D486" s="1" t="n"/>
      <c r="E486" s="1" t="n"/>
      <c r="F486" s="1" t="n"/>
      <c r="G486" s="1" t="n"/>
      <c r="H486" s="1" t="n"/>
      <c r="I486" s="1" t="n"/>
      <c r="J486" s="1" t="n"/>
      <c r="K486" s="1" t="n"/>
      <c r="L486" s="1" t="n"/>
      <c r="M486" s="1" t="n"/>
      <c r="N486" s="1" t="n"/>
      <c r="O486" s="1" t="n"/>
      <c r="P486" s="1" t="n"/>
    </row>
    <row r="487" ht="15.75" customHeight="1" s="311">
      <c r="A487" s="1" t="n"/>
      <c r="B487" s="1" t="n"/>
      <c r="C487" s="1" t="n"/>
      <c r="D487" s="1" t="n"/>
      <c r="E487" s="1" t="n"/>
      <c r="F487" s="1" t="n"/>
      <c r="G487" s="1" t="n"/>
      <c r="H487" s="1" t="n"/>
      <c r="I487" s="1" t="n"/>
      <c r="J487" s="1" t="n"/>
      <c r="K487" s="1" t="n"/>
      <c r="L487" s="1" t="n"/>
      <c r="M487" s="1" t="n"/>
      <c r="N487" s="1" t="n"/>
      <c r="O487" s="1" t="n"/>
      <c r="P487" s="1" t="n"/>
    </row>
    <row r="488" ht="15.75" customHeight="1" s="311">
      <c r="A488" s="1" t="n"/>
      <c r="B488" s="1" t="n"/>
      <c r="C488" s="1" t="n"/>
      <c r="D488" s="1" t="n"/>
      <c r="E488" s="1" t="n"/>
      <c r="F488" s="1" t="n"/>
      <c r="G488" s="1" t="n"/>
      <c r="H488" s="1" t="n"/>
      <c r="I488" s="1" t="n"/>
      <c r="J488" s="1" t="n"/>
      <c r="K488" s="1" t="n"/>
      <c r="L488" s="1" t="n"/>
      <c r="M488" s="1" t="n"/>
      <c r="N488" s="1" t="n"/>
      <c r="O488" s="1" t="n"/>
      <c r="P488" s="1" t="n"/>
    </row>
    <row r="489" ht="15.75" customHeight="1" s="311">
      <c r="A489" s="1" t="n"/>
      <c r="B489" s="1" t="n"/>
      <c r="C489" s="1" t="n"/>
      <c r="D489" s="1" t="n"/>
      <c r="E489" s="1" t="n"/>
      <c r="F489" s="1" t="n"/>
      <c r="G489" s="1" t="n"/>
      <c r="H489" s="1" t="n"/>
      <c r="I489" s="1" t="n"/>
      <c r="J489" s="1" t="n"/>
      <c r="K489" s="1" t="n"/>
      <c r="L489" s="1" t="n"/>
      <c r="M489" s="1" t="n"/>
      <c r="N489" s="1" t="n"/>
      <c r="O489" s="1" t="n"/>
      <c r="P489" s="1" t="n"/>
    </row>
    <row r="490" ht="15.75" customHeight="1" s="311">
      <c r="A490" s="1" t="n"/>
      <c r="B490" s="1" t="n"/>
      <c r="C490" s="1" t="n"/>
      <c r="D490" s="1" t="n"/>
      <c r="E490" s="1" t="n"/>
      <c r="F490" s="1" t="n"/>
      <c r="G490" s="1" t="n"/>
      <c r="H490" s="1" t="n"/>
      <c r="I490" s="1" t="n"/>
      <c r="J490" s="1" t="n"/>
      <c r="K490" s="1" t="n"/>
      <c r="L490" s="1" t="n"/>
      <c r="M490" s="1" t="n"/>
      <c r="N490" s="1" t="n"/>
      <c r="O490" s="1" t="n"/>
      <c r="P490" s="1" t="n"/>
    </row>
    <row r="491" ht="15.75" customHeight="1" s="311">
      <c r="A491" s="1" t="n"/>
      <c r="B491" s="1" t="n"/>
      <c r="C491" s="1" t="n"/>
      <c r="D491" s="1" t="n"/>
      <c r="E491" s="1" t="n"/>
      <c r="F491" s="1" t="n"/>
      <c r="G491" s="1" t="n"/>
      <c r="H491" s="1" t="n"/>
      <c r="I491" s="1" t="n"/>
      <c r="J491" s="1" t="n"/>
      <c r="K491" s="1" t="n"/>
      <c r="L491" s="1" t="n"/>
      <c r="M491" s="1" t="n"/>
      <c r="N491" s="1" t="n"/>
      <c r="O491" s="1" t="n"/>
      <c r="P491" s="1" t="n"/>
    </row>
    <row r="492" ht="15.75" customHeight="1" s="311">
      <c r="A492" s="1" t="n"/>
      <c r="B492" s="1" t="n"/>
      <c r="C492" s="1" t="n"/>
      <c r="D492" s="1" t="n"/>
      <c r="E492" s="1" t="n"/>
      <c r="F492" s="1" t="n"/>
      <c r="G492" s="1" t="n"/>
      <c r="H492" s="1" t="n"/>
      <c r="I492" s="1" t="n"/>
      <c r="J492" s="1" t="n"/>
      <c r="K492" s="1" t="n"/>
      <c r="L492" s="1" t="n"/>
      <c r="M492" s="1" t="n"/>
      <c r="N492" s="1" t="n"/>
      <c r="O492" s="1" t="n"/>
      <c r="P492" s="1" t="n"/>
    </row>
    <row r="493" ht="15.75" customHeight="1" s="311">
      <c r="A493" s="1" t="n"/>
      <c r="B493" s="1" t="n"/>
      <c r="C493" s="1" t="n"/>
      <c r="D493" s="1" t="n"/>
      <c r="E493" s="1" t="n"/>
      <c r="F493" s="1" t="n"/>
      <c r="G493" s="1" t="n"/>
      <c r="H493" s="1" t="n"/>
      <c r="I493" s="1" t="n"/>
      <c r="J493" s="1" t="n"/>
      <c r="K493" s="1" t="n"/>
      <c r="L493" s="1" t="n"/>
      <c r="M493" s="1" t="n"/>
      <c r="N493" s="1" t="n"/>
      <c r="O493" s="1" t="n"/>
      <c r="P493" s="1" t="n"/>
    </row>
    <row r="494" ht="15.75" customHeight="1" s="311">
      <c r="A494" s="1" t="n"/>
      <c r="B494" s="1" t="n"/>
      <c r="C494" s="1" t="n"/>
      <c r="D494" s="1" t="n"/>
      <c r="E494" s="1" t="n"/>
      <c r="F494" s="1" t="n"/>
      <c r="G494" s="1" t="n"/>
      <c r="H494" s="1" t="n"/>
      <c r="I494" s="1" t="n"/>
      <c r="J494" s="1" t="n"/>
      <c r="K494" s="1" t="n"/>
      <c r="L494" s="1" t="n"/>
      <c r="M494" s="1" t="n"/>
      <c r="N494" s="1" t="n"/>
      <c r="O494" s="1" t="n"/>
      <c r="P494" s="1" t="n"/>
    </row>
    <row r="495" ht="15.75" customHeight="1" s="311">
      <c r="A495" s="1" t="n"/>
      <c r="B495" s="1" t="n"/>
      <c r="C495" s="1" t="n"/>
      <c r="D495" s="1" t="n"/>
      <c r="E495" s="1" t="n"/>
      <c r="F495" s="1" t="n"/>
      <c r="G495" s="1" t="n"/>
      <c r="H495" s="1" t="n"/>
      <c r="I495" s="1" t="n"/>
      <c r="J495" s="1" t="n"/>
      <c r="K495" s="1" t="n"/>
      <c r="L495" s="1" t="n"/>
      <c r="M495" s="1" t="n"/>
      <c r="N495" s="1" t="n"/>
      <c r="O495" s="1" t="n"/>
      <c r="P495" s="1" t="n"/>
    </row>
    <row r="496" ht="15.75" customHeight="1" s="311">
      <c r="A496" s="1" t="n"/>
      <c r="B496" s="1" t="n"/>
      <c r="C496" s="1" t="n"/>
      <c r="D496" s="1" t="n"/>
      <c r="E496" s="1" t="n"/>
      <c r="F496" s="1" t="n"/>
      <c r="G496" s="1" t="n"/>
      <c r="H496" s="1" t="n"/>
      <c r="I496" s="1" t="n"/>
      <c r="J496" s="1" t="n"/>
      <c r="K496" s="1" t="n"/>
      <c r="L496" s="1" t="n"/>
      <c r="M496" s="1" t="n"/>
      <c r="N496" s="1" t="n"/>
      <c r="O496" s="1" t="n"/>
      <c r="P496" s="1" t="n"/>
    </row>
    <row r="497" ht="15.75" customHeight="1" s="311">
      <c r="A497" s="1" t="n"/>
      <c r="B497" s="1" t="n"/>
      <c r="C497" s="1" t="n"/>
      <c r="D497" s="1" t="n"/>
      <c r="E497" s="1" t="n"/>
      <c r="F497" s="1" t="n"/>
      <c r="G497" s="1" t="n"/>
      <c r="H497" s="1" t="n"/>
      <c r="I497" s="1" t="n"/>
      <c r="J497" s="1" t="n"/>
      <c r="K497" s="1" t="n"/>
      <c r="L497" s="1" t="n"/>
      <c r="M497" s="1" t="n"/>
      <c r="N497" s="1" t="n"/>
      <c r="O497" s="1" t="n"/>
      <c r="P497" s="1" t="n"/>
    </row>
    <row r="498" ht="15.75" customHeight="1" s="311">
      <c r="A498" s="1" t="n"/>
      <c r="B498" s="1" t="n"/>
      <c r="C498" s="1" t="n"/>
      <c r="D498" s="1" t="n"/>
      <c r="E498" s="1" t="n"/>
      <c r="F498" s="1" t="n"/>
      <c r="G498" s="1" t="n"/>
      <c r="H498" s="1" t="n"/>
      <c r="I498" s="1" t="n"/>
      <c r="J498" s="1" t="n"/>
      <c r="K498" s="1" t="n"/>
      <c r="L498" s="1" t="n"/>
      <c r="M498" s="1" t="n"/>
      <c r="N498" s="1" t="n"/>
      <c r="O498" s="1" t="n"/>
      <c r="P498" s="1" t="n"/>
    </row>
    <row r="499" ht="15.75" customHeight="1" s="311">
      <c r="A499" s="1" t="n"/>
      <c r="B499" s="1" t="n"/>
      <c r="C499" s="1" t="n"/>
      <c r="D499" s="1" t="n"/>
      <c r="E499" s="1" t="n"/>
      <c r="F499" s="1" t="n"/>
      <c r="G499" s="1" t="n"/>
      <c r="H499" s="1" t="n"/>
      <c r="I499" s="1" t="n"/>
      <c r="J499" s="1" t="n"/>
      <c r="K499" s="1" t="n"/>
      <c r="L499" s="1" t="n"/>
      <c r="M499" s="1" t="n"/>
      <c r="N499" s="1" t="n"/>
      <c r="O499" s="1" t="n"/>
      <c r="P499" s="1" t="n"/>
    </row>
    <row r="500" ht="15.75" customHeight="1" s="311">
      <c r="A500" s="1" t="n"/>
      <c r="B500" s="1" t="n"/>
      <c r="C500" s="1" t="n"/>
      <c r="D500" s="1" t="n"/>
      <c r="E500" s="1" t="n"/>
      <c r="F500" s="1" t="n"/>
      <c r="G500" s="1" t="n"/>
      <c r="H500" s="1" t="n"/>
      <c r="I500" s="1" t="n"/>
      <c r="J500" s="1" t="n"/>
      <c r="K500" s="1" t="n"/>
      <c r="L500" s="1" t="n"/>
      <c r="M500" s="1" t="n"/>
      <c r="N500" s="1" t="n"/>
      <c r="O500" s="1" t="n"/>
      <c r="P500" s="1" t="n"/>
    </row>
    <row r="501" ht="15.75" customHeight="1" s="311">
      <c r="A501" s="1" t="n"/>
      <c r="B501" s="1" t="n"/>
      <c r="C501" s="1" t="n"/>
      <c r="D501" s="1" t="n"/>
      <c r="E501" s="1" t="n"/>
      <c r="F501" s="1" t="n"/>
      <c r="G501" s="1" t="n"/>
      <c r="H501" s="1" t="n"/>
      <c r="I501" s="1" t="n"/>
      <c r="J501" s="1" t="n"/>
      <c r="K501" s="1" t="n"/>
      <c r="L501" s="1" t="n"/>
      <c r="M501" s="1" t="n"/>
      <c r="N501" s="1" t="n"/>
      <c r="O501" s="1" t="n"/>
      <c r="P501" s="1" t="n"/>
    </row>
    <row r="502" ht="15.75" customHeight="1" s="311">
      <c r="A502" s="1" t="n"/>
      <c r="B502" s="1" t="n"/>
      <c r="C502" s="1" t="n"/>
      <c r="D502" s="1" t="n"/>
      <c r="E502" s="1" t="n"/>
      <c r="F502" s="1" t="n"/>
      <c r="G502" s="1" t="n"/>
      <c r="H502" s="1" t="n"/>
      <c r="I502" s="1" t="n"/>
      <c r="J502" s="1" t="n"/>
      <c r="K502" s="1" t="n"/>
      <c r="L502" s="1" t="n"/>
      <c r="M502" s="1" t="n"/>
      <c r="N502" s="1" t="n"/>
      <c r="O502" s="1" t="n"/>
      <c r="P502" s="1" t="n"/>
    </row>
    <row r="503" ht="15.75" customHeight="1" s="311">
      <c r="A503" s="1" t="n"/>
      <c r="B503" s="1" t="n"/>
      <c r="C503" s="1" t="n"/>
      <c r="D503" s="1" t="n"/>
      <c r="E503" s="1" t="n"/>
      <c r="F503" s="1" t="n"/>
      <c r="G503" s="1" t="n"/>
      <c r="H503" s="1" t="n"/>
      <c r="I503" s="1" t="n"/>
      <c r="J503" s="1" t="n"/>
      <c r="K503" s="1" t="n"/>
      <c r="L503" s="1" t="n"/>
      <c r="M503" s="1" t="n"/>
      <c r="N503" s="1" t="n"/>
      <c r="O503" s="1" t="n"/>
      <c r="P503" s="1" t="n"/>
    </row>
    <row r="504" ht="15.75" customHeight="1" s="311">
      <c r="A504" s="1" t="n"/>
      <c r="B504" s="1" t="n"/>
      <c r="C504" s="1" t="n"/>
      <c r="D504" s="1" t="n"/>
      <c r="E504" s="1" t="n"/>
      <c r="F504" s="1" t="n"/>
      <c r="G504" s="1" t="n"/>
      <c r="H504" s="1" t="n"/>
      <c r="I504" s="1" t="n"/>
      <c r="J504" s="1" t="n"/>
      <c r="K504" s="1" t="n"/>
      <c r="L504" s="1" t="n"/>
      <c r="M504" s="1" t="n"/>
      <c r="N504" s="1" t="n"/>
      <c r="O504" s="1" t="n"/>
      <c r="P504" s="1" t="n"/>
    </row>
    <row r="505" ht="15.75" customHeight="1" s="311">
      <c r="A505" s="1" t="n"/>
      <c r="B505" s="1" t="n"/>
      <c r="C505" s="1" t="n"/>
      <c r="D505" s="1" t="n"/>
      <c r="E505" s="1" t="n"/>
      <c r="F505" s="1" t="n"/>
      <c r="G505" s="1" t="n"/>
      <c r="H505" s="1" t="n"/>
      <c r="I505" s="1" t="n"/>
      <c r="J505" s="1" t="n"/>
      <c r="K505" s="1" t="n"/>
      <c r="L505" s="1" t="n"/>
      <c r="M505" s="1" t="n"/>
      <c r="N505" s="1" t="n"/>
      <c r="O505" s="1" t="n"/>
      <c r="P505" s="1" t="n"/>
    </row>
    <row r="506" ht="15.75" customHeight="1" s="311">
      <c r="A506" s="1" t="n"/>
      <c r="B506" s="1" t="n"/>
      <c r="C506" s="1" t="n"/>
      <c r="D506" s="1" t="n"/>
      <c r="E506" s="1" t="n"/>
      <c r="F506" s="1" t="n"/>
      <c r="G506" s="1" t="n"/>
      <c r="H506" s="1" t="n"/>
      <c r="I506" s="1" t="n"/>
      <c r="J506" s="1" t="n"/>
      <c r="K506" s="1" t="n"/>
      <c r="L506" s="1" t="n"/>
      <c r="M506" s="1" t="n"/>
      <c r="N506" s="1" t="n"/>
      <c r="O506" s="1" t="n"/>
      <c r="P506" s="1" t="n"/>
    </row>
    <row r="507" ht="15.75" customHeight="1" s="311">
      <c r="A507" s="1" t="n"/>
      <c r="B507" s="1" t="n"/>
      <c r="C507" s="1" t="n"/>
      <c r="D507" s="1" t="n"/>
      <c r="E507" s="1" t="n"/>
      <c r="F507" s="1" t="n"/>
      <c r="G507" s="1" t="n"/>
      <c r="H507" s="1" t="n"/>
      <c r="I507" s="1" t="n"/>
      <c r="J507" s="1" t="n"/>
      <c r="K507" s="1" t="n"/>
      <c r="L507" s="1" t="n"/>
      <c r="M507" s="1" t="n"/>
      <c r="N507" s="1" t="n"/>
      <c r="O507" s="1" t="n"/>
      <c r="P507" s="1" t="n"/>
    </row>
    <row r="508" ht="15.75" customHeight="1" s="311">
      <c r="A508" s="1" t="n"/>
      <c r="B508" s="1" t="n"/>
      <c r="C508" s="1" t="n"/>
      <c r="D508" s="1" t="n"/>
      <c r="E508" s="1" t="n"/>
      <c r="F508" s="1" t="n"/>
      <c r="G508" s="1" t="n"/>
      <c r="H508" s="1" t="n"/>
      <c r="I508" s="1" t="n"/>
      <c r="J508" s="1" t="n"/>
      <c r="K508" s="1" t="n"/>
      <c r="L508" s="1" t="n"/>
      <c r="M508" s="1" t="n"/>
      <c r="N508" s="1" t="n"/>
      <c r="O508" s="1" t="n"/>
      <c r="P508" s="1" t="n"/>
    </row>
    <row r="509" ht="15.75" customHeight="1" s="311">
      <c r="A509" s="1" t="n"/>
      <c r="B509" s="1" t="n"/>
      <c r="C509" s="1" t="n"/>
      <c r="D509" s="1" t="n"/>
      <c r="E509" s="1" t="n"/>
      <c r="F509" s="1" t="n"/>
      <c r="G509" s="1" t="n"/>
      <c r="H509" s="1" t="n"/>
      <c r="I509" s="1" t="n"/>
      <c r="J509" s="1" t="n"/>
      <c r="K509" s="1" t="n"/>
      <c r="L509" s="1" t="n"/>
      <c r="M509" s="1" t="n"/>
      <c r="N509" s="1" t="n"/>
      <c r="O509" s="1" t="n"/>
      <c r="P509" s="1" t="n"/>
    </row>
    <row r="510" ht="15.75" customHeight="1" s="311">
      <c r="A510" s="1" t="n"/>
      <c r="B510" s="1" t="n"/>
      <c r="C510" s="1" t="n"/>
      <c r="D510" s="1" t="n"/>
      <c r="E510" s="1" t="n"/>
      <c r="F510" s="1" t="n"/>
      <c r="G510" s="1" t="n"/>
      <c r="H510" s="1" t="n"/>
      <c r="I510" s="1" t="n"/>
      <c r="J510" s="1" t="n"/>
      <c r="K510" s="1" t="n"/>
      <c r="L510" s="1" t="n"/>
      <c r="M510" s="1" t="n"/>
      <c r="N510" s="1" t="n"/>
      <c r="O510" s="1" t="n"/>
      <c r="P510" s="1" t="n"/>
    </row>
    <row r="511" ht="15.75" customHeight="1" s="311">
      <c r="A511" s="1" t="n"/>
      <c r="B511" s="1" t="n"/>
      <c r="C511" s="1" t="n"/>
      <c r="D511" s="1" t="n"/>
      <c r="E511" s="1" t="n"/>
      <c r="F511" s="1" t="n"/>
      <c r="G511" s="1" t="n"/>
      <c r="H511" s="1" t="n"/>
      <c r="I511" s="1" t="n"/>
      <c r="J511" s="1" t="n"/>
      <c r="K511" s="1" t="n"/>
      <c r="L511" s="1" t="n"/>
      <c r="M511" s="1" t="n"/>
      <c r="N511" s="1" t="n"/>
      <c r="O511" s="1" t="n"/>
      <c r="P511" s="1" t="n"/>
    </row>
    <row r="512" ht="15.75" customHeight="1" s="311">
      <c r="A512" s="1" t="n"/>
      <c r="B512" s="1" t="n"/>
      <c r="C512" s="1" t="n"/>
      <c r="D512" s="1" t="n"/>
      <c r="E512" s="1" t="n"/>
      <c r="F512" s="1" t="n"/>
      <c r="G512" s="1" t="n"/>
      <c r="H512" s="1" t="n"/>
      <c r="I512" s="1" t="n"/>
      <c r="J512" s="1" t="n"/>
      <c r="K512" s="1" t="n"/>
      <c r="L512" s="1" t="n"/>
      <c r="M512" s="1" t="n"/>
      <c r="N512" s="1" t="n"/>
      <c r="O512" s="1" t="n"/>
      <c r="P512" s="1" t="n"/>
    </row>
    <row r="513" ht="15.75" customHeight="1" s="311">
      <c r="A513" s="1" t="n"/>
      <c r="B513" s="1" t="n"/>
      <c r="C513" s="1" t="n"/>
      <c r="D513" s="1" t="n"/>
      <c r="E513" s="1" t="n"/>
      <c r="F513" s="1" t="n"/>
      <c r="G513" s="1" t="n"/>
      <c r="H513" s="1" t="n"/>
      <c r="I513" s="1" t="n"/>
      <c r="J513" s="1" t="n"/>
      <c r="K513" s="1" t="n"/>
      <c r="L513" s="1" t="n"/>
      <c r="M513" s="1" t="n"/>
      <c r="N513" s="1" t="n"/>
      <c r="O513" s="1" t="n"/>
      <c r="P513" s="1" t="n"/>
    </row>
    <row r="514" ht="15.75" customHeight="1" s="311">
      <c r="A514" s="1" t="n"/>
      <c r="B514" s="1" t="n"/>
      <c r="C514" s="1" t="n"/>
      <c r="D514" s="1" t="n"/>
      <c r="E514" s="1" t="n"/>
      <c r="F514" s="1" t="n"/>
      <c r="G514" s="1" t="n"/>
      <c r="H514" s="1" t="n"/>
      <c r="I514" s="1" t="n"/>
      <c r="J514" s="1" t="n"/>
      <c r="K514" s="1" t="n"/>
      <c r="L514" s="1" t="n"/>
      <c r="M514" s="1" t="n"/>
      <c r="N514" s="1" t="n"/>
      <c r="O514" s="1" t="n"/>
      <c r="P514" s="1" t="n"/>
    </row>
    <row r="515" ht="15.75" customHeight="1" s="311">
      <c r="A515" s="1" t="n"/>
      <c r="B515" s="1" t="n"/>
      <c r="C515" s="1" t="n"/>
      <c r="D515" s="1" t="n"/>
      <c r="E515" s="1" t="n"/>
      <c r="F515" s="1" t="n"/>
      <c r="G515" s="1" t="n"/>
      <c r="H515" s="1" t="n"/>
      <c r="I515" s="1" t="n"/>
      <c r="J515" s="1" t="n"/>
      <c r="K515" s="1" t="n"/>
      <c r="L515" s="1" t="n"/>
      <c r="M515" s="1" t="n"/>
      <c r="N515" s="1" t="n"/>
      <c r="O515" s="1" t="n"/>
      <c r="P515" s="1" t="n"/>
    </row>
    <row r="516" ht="15.75" customHeight="1" s="311">
      <c r="A516" s="1" t="n"/>
      <c r="B516" s="1" t="n"/>
      <c r="C516" s="1" t="n"/>
      <c r="D516" s="1" t="n"/>
      <c r="E516" s="1" t="n"/>
      <c r="F516" s="1" t="n"/>
      <c r="G516" s="1" t="n"/>
      <c r="H516" s="1" t="n"/>
      <c r="I516" s="1" t="n"/>
      <c r="J516" s="1" t="n"/>
      <c r="K516" s="1" t="n"/>
      <c r="L516" s="1" t="n"/>
      <c r="M516" s="1" t="n"/>
      <c r="N516" s="1" t="n"/>
      <c r="O516" s="1" t="n"/>
      <c r="P516" s="1" t="n"/>
    </row>
    <row r="517" ht="15.75" customHeight="1" s="311">
      <c r="A517" s="1" t="n"/>
      <c r="B517" s="1" t="n"/>
      <c r="C517" s="1" t="n"/>
      <c r="D517" s="1" t="n"/>
      <c r="E517" s="1" t="n"/>
      <c r="F517" s="1" t="n"/>
      <c r="G517" s="1" t="n"/>
      <c r="H517" s="1" t="n"/>
      <c r="I517" s="1" t="n"/>
      <c r="J517" s="1" t="n"/>
      <c r="K517" s="1" t="n"/>
      <c r="L517" s="1" t="n"/>
      <c r="M517" s="1" t="n"/>
      <c r="N517" s="1" t="n"/>
      <c r="O517" s="1" t="n"/>
      <c r="P517" s="1" t="n"/>
    </row>
    <row r="518" ht="15.75" customHeight="1" s="311">
      <c r="A518" s="1" t="n"/>
      <c r="B518" s="1" t="n"/>
      <c r="C518" s="1" t="n"/>
      <c r="D518" s="1" t="n"/>
      <c r="E518" s="1" t="n"/>
      <c r="F518" s="1" t="n"/>
      <c r="G518" s="1" t="n"/>
      <c r="H518" s="1" t="n"/>
      <c r="I518" s="1" t="n"/>
      <c r="J518" s="1" t="n"/>
      <c r="K518" s="1" t="n"/>
      <c r="L518" s="1" t="n"/>
      <c r="M518" s="1" t="n"/>
      <c r="N518" s="1" t="n"/>
      <c r="O518" s="1" t="n"/>
      <c r="P518" s="1" t="n"/>
    </row>
    <row r="519" ht="15.75" customHeight="1" s="311">
      <c r="A519" s="1" t="n"/>
      <c r="B519" s="1" t="n"/>
      <c r="C519" s="1" t="n"/>
      <c r="D519" s="1" t="n"/>
      <c r="E519" s="1" t="n"/>
      <c r="F519" s="1" t="n"/>
      <c r="G519" s="1" t="n"/>
      <c r="H519" s="1" t="n"/>
      <c r="I519" s="1" t="n"/>
      <c r="J519" s="1" t="n"/>
      <c r="K519" s="1" t="n"/>
      <c r="L519" s="1" t="n"/>
      <c r="M519" s="1" t="n"/>
      <c r="N519" s="1" t="n"/>
      <c r="O519" s="1" t="n"/>
      <c r="P519" s="1" t="n"/>
    </row>
    <row r="520" ht="15.75" customHeight="1" s="311">
      <c r="A520" s="1" t="n"/>
      <c r="B520" s="1" t="n"/>
      <c r="C520" s="1" t="n"/>
      <c r="D520" s="1" t="n"/>
      <c r="E520" s="1" t="n"/>
      <c r="F520" s="1" t="n"/>
      <c r="G520" s="1" t="n"/>
      <c r="H520" s="1" t="n"/>
      <c r="I520" s="1" t="n"/>
      <c r="J520" s="1" t="n"/>
      <c r="K520" s="1" t="n"/>
      <c r="L520" s="1" t="n"/>
      <c r="M520" s="1" t="n"/>
      <c r="N520" s="1" t="n"/>
      <c r="O520" s="1" t="n"/>
      <c r="P520" s="1" t="n"/>
    </row>
    <row r="521" ht="15.75" customHeight="1" s="311">
      <c r="A521" s="1" t="n"/>
      <c r="B521" s="1" t="n"/>
      <c r="C521" s="1" t="n"/>
      <c r="D521" s="1" t="n"/>
      <c r="E521" s="1" t="n"/>
      <c r="F521" s="1" t="n"/>
      <c r="G521" s="1" t="n"/>
      <c r="H521" s="1" t="n"/>
      <c r="I521" s="1" t="n"/>
      <c r="J521" s="1" t="n"/>
      <c r="K521" s="1" t="n"/>
      <c r="L521" s="1" t="n"/>
      <c r="M521" s="1" t="n"/>
      <c r="N521" s="1" t="n"/>
      <c r="O521" s="1" t="n"/>
      <c r="P521" s="1" t="n"/>
    </row>
    <row r="522" ht="15.75" customHeight="1" s="311">
      <c r="A522" s="1" t="n"/>
      <c r="B522" s="1" t="n"/>
      <c r="C522" s="1" t="n"/>
      <c r="D522" s="1" t="n"/>
      <c r="E522" s="1" t="n"/>
      <c r="F522" s="1" t="n"/>
      <c r="G522" s="1" t="n"/>
      <c r="H522" s="1" t="n"/>
      <c r="I522" s="1" t="n"/>
      <c r="J522" s="1" t="n"/>
      <c r="K522" s="1" t="n"/>
      <c r="L522" s="1" t="n"/>
      <c r="M522" s="1" t="n"/>
      <c r="N522" s="1" t="n"/>
      <c r="O522" s="1" t="n"/>
      <c r="P522" s="1" t="n"/>
    </row>
    <row r="523" ht="15.75" customHeight="1" s="311">
      <c r="A523" s="1" t="n"/>
      <c r="B523" s="1" t="n"/>
      <c r="C523" s="1" t="n"/>
      <c r="D523" s="1" t="n"/>
      <c r="E523" s="1" t="n"/>
      <c r="F523" s="1" t="n"/>
      <c r="G523" s="1" t="n"/>
      <c r="H523" s="1" t="n"/>
      <c r="I523" s="1" t="n"/>
      <c r="J523" s="1" t="n"/>
      <c r="K523" s="1" t="n"/>
      <c r="L523" s="1" t="n"/>
      <c r="M523" s="1" t="n"/>
      <c r="N523" s="1" t="n"/>
      <c r="O523" s="1" t="n"/>
      <c r="P523" s="1" t="n"/>
    </row>
    <row r="524" ht="15.75" customHeight="1" s="311">
      <c r="A524" s="1" t="n"/>
      <c r="B524" s="1" t="n"/>
      <c r="C524" s="1" t="n"/>
      <c r="D524" s="1" t="n"/>
      <c r="E524" s="1" t="n"/>
      <c r="F524" s="1" t="n"/>
      <c r="G524" s="1" t="n"/>
      <c r="H524" s="1" t="n"/>
      <c r="I524" s="1" t="n"/>
      <c r="J524" s="1" t="n"/>
      <c r="K524" s="1" t="n"/>
      <c r="L524" s="1" t="n"/>
      <c r="M524" s="1" t="n"/>
      <c r="N524" s="1" t="n"/>
      <c r="O524" s="1" t="n"/>
      <c r="P524" s="1" t="n"/>
    </row>
    <row r="525" ht="15.75" customHeight="1" s="311">
      <c r="A525" s="1" t="n"/>
      <c r="B525" s="1" t="n"/>
      <c r="C525" s="1" t="n"/>
      <c r="D525" s="1" t="n"/>
      <c r="E525" s="1" t="n"/>
      <c r="F525" s="1" t="n"/>
      <c r="G525" s="1" t="n"/>
      <c r="H525" s="1" t="n"/>
      <c r="I525" s="1" t="n"/>
      <c r="J525" s="1" t="n"/>
      <c r="K525" s="1" t="n"/>
      <c r="L525" s="1" t="n"/>
      <c r="M525" s="1" t="n"/>
      <c r="N525" s="1" t="n"/>
      <c r="O525" s="1" t="n"/>
      <c r="P525" s="1" t="n"/>
    </row>
    <row r="526" ht="15.75" customHeight="1" s="311">
      <c r="A526" s="1" t="n"/>
      <c r="B526" s="1" t="n"/>
      <c r="C526" s="1" t="n"/>
      <c r="D526" s="1" t="n"/>
      <c r="E526" s="1" t="n"/>
      <c r="F526" s="1" t="n"/>
      <c r="G526" s="1" t="n"/>
      <c r="H526" s="1" t="n"/>
      <c r="I526" s="1" t="n"/>
      <c r="J526" s="1" t="n"/>
      <c r="K526" s="1" t="n"/>
      <c r="L526" s="1" t="n"/>
      <c r="M526" s="1" t="n"/>
      <c r="N526" s="1" t="n"/>
      <c r="O526" s="1" t="n"/>
      <c r="P526" s="1" t="n"/>
    </row>
    <row r="527" ht="15.75" customHeight="1" s="311">
      <c r="A527" s="1" t="n"/>
      <c r="B527" s="1" t="n"/>
      <c r="C527" s="1" t="n"/>
      <c r="D527" s="1" t="n"/>
      <c r="E527" s="1" t="n"/>
      <c r="F527" s="1" t="n"/>
      <c r="G527" s="1" t="n"/>
      <c r="H527" s="1" t="n"/>
      <c r="I527" s="1" t="n"/>
      <c r="J527" s="1" t="n"/>
      <c r="K527" s="1" t="n"/>
      <c r="L527" s="1" t="n"/>
      <c r="M527" s="1" t="n"/>
      <c r="N527" s="1" t="n"/>
      <c r="O527" s="1" t="n"/>
      <c r="P527" s="1" t="n"/>
    </row>
    <row r="528" ht="15.75" customHeight="1" s="311">
      <c r="A528" s="1" t="n"/>
      <c r="B528" s="1" t="n"/>
      <c r="C528" s="1" t="n"/>
      <c r="D528" s="1" t="n"/>
      <c r="E528" s="1" t="n"/>
      <c r="F528" s="1" t="n"/>
      <c r="G528" s="1" t="n"/>
      <c r="H528" s="1" t="n"/>
      <c r="I528" s="1" t="n"/>
      <c r="J528" s="1" t="n"/>
      <c r="K528" s="1" t="n"/>
      <c r="L528" s="1" t="n"/>
      <c r="M528" s="1" t="n"/>
      <c r="N528" s="1" t="n"/>
      <c r="O528" s="1" t="n"/>
      <c r="P528" s="1" t="n"/>
    </row>
    <row r="529" ht="15.75" customHeight="1" s="311">
      <c r="A529" s="1" t="n"/>
      <c r="B529" s="1" t="n"/>
      <c r="C529" s="1" t="n"/>
      <c r="D529" s="1" t="n"/>
      <c r="E529" s="1" t="n"/>
      <c r="F529" s="1" t="n"/>
      <c r="G529" s="1" t="n"/>
      <c r="H529" s="1" t="n"/>
      <c r="I529" s="1" t="n"/>
      <c r="J529" s="1" t="n"/>
      <c r="K529" s="1" t="n"/>
      <c r="L529" s="1" t="n"/>
      <c r="M529" s="1" t="n"/>
      <c r="N529" s="1" t="n"/>
      <c r="O529" s="1" t="n"/>
      <c r="P529" s="1" t="n"/>
    </row>
    <row r="530" ht="15.75" customHeight="1" s="311">
      <c r="A530" s="1" t="n"/>
      <c r="B530" s="1" t="n"/>
      <c r="C530" s="1" t="n"/>
      <c r="D530" s="1" t="n"/>
      <c r="E530" s="1" t="n"/>
      <c r="F530" s="1" t="n"/>
      <c r="G530" s="1" t="n"/>
      <c r="H530" s="1" t="n"/>
      <c r="I530" s="1" t="n"/>
      <c r="J530" s="1" t="n"/>
      <c r="K530" s="1" t="n"/>
      <c r="L530" s="1" t="n"/>
      <c r="M530" s="1" t="n"/>
      <c r="N530" s="1" t="n"/>
      <c r="O530" s="1" t="n"/>
      <c r="P530" s="1" t="n"/>
    </row>
    <row r="531" ht="15.75" customHeight="1" s="311">
      <c r="A531" s="1" t="n"/>
      <c r="B531" s="1" t="n"/>
      <c r="C531" s="1" t="n"/>
      <c r="D531" s="1" t="n"/>
      <c r="E531" s="1" t="n"/>
      <c r="F531" s="1" t="n"/>
      <c r="G531" s="1" t="n"/>
      <c r="H531" s="1" t="n"/>
      <c r="I531" s="1" t="n"/>
      <c r="J531" s="1" t="n"/>
      <c r="K531" s="1" t="n"/>
      <c r="L531" s="1" t="n"/>
      <c r="M531" s="1" t="n"/>
      <c r="N531" s="1" t="n"/>
      <c r="O531" s="1" t="n"/>
      <c r="P531" s="1" t="n"/>
    </row>
    <row r="532" ht="15.75" customHeight="1" s="311">
      <c r="A532" s="1" t="n"/>
      <c r="B532" s="1" t="n"/>
      <c r="C532" s="1" t="n"/>
      <c r="D532" s="1" t="n"/>
      <c r="E532" s="1" t="n"/>
      <c r="F532" s="1" t="n"/>
      <c r="G532" s="1" t="n"/>
      <c r="H532" s="1" t="n"/>
      <c r="I532" s="1" t="n"/>
      <c r="J532" s="1" t="n"/>
      <c r="K532" s="1" t="n"/>
      <c r="L532" s="1" t="n"/>
      <c r="M532" s="1" t="n"/>
      <c r="N532" s="1" t="n"/>
      <c r="O532" s="1" t="n"/>
      <c r="P532" s="1" t="n"/>
    </row>
    <row r="533" ht="15.75" customHeight="1" s="311">
      <c r="A533" s="1" t="n"/>
      <c r="B533" s="1" t="n"/>
      <c r="C533" s="1" t="n"/>
      <c r="D533" s="1" t="n"/>
      <c r="E533" s="1" t="n"/>
      <c r="F533" s="1" t="n"/>
      <c r="G533" s="1" t="n"/>
      <c r="H533" s="1" t="n"/>
      <c r="I533" s="1" t="n"/>
      <c r="J533" s="1" t="n"/>
      <c r="K533" s="1" t="n"/>
      <c r="L533" s="1" t="n"/>
      <c r="M533" s="1" t="n"/>
      <c r="N533" s="1" t="n"/>
      <c r="O533" s="1" t="n"/>
      <c r="P533" s="1" t="n"/>
    </row>
    <row r="534" ht="15.75" customHeight="1" s="311">
      <c r="A534" s="1" t="n"/>
      <c r="B534" s="1" t="n"/>
      <c r="C534" s="1" t="n"/>
      <c r="D534" s="1" t="n"/>
      <c r="E534" s="1" t="n"/>
      <c r="F534" s="1" t="n"/>
      <c r="G534" s="1" t="n"/>
      <c r="H534" s="1" t="n"/>
      <c r="I534" s="1" t="n"/>
      <c r="J534" s="1" t="n"/>
      <c r="K534" s="1" t="n"/>
      <c r="L534" s="1" t="n"/>
      <c r="M534" s="1" t="n"/>
      <c r="N534" s="1" t="n"/>
      <c r="O534" s="1" t="n"/>
      <c r="P534" s="1" t="n"/>
    </row>
    <row r="535" ht="15.75" customHeight="1" s="311">
      <c r="A535" s="1" t="n"/>
      <c r="B535" s="1" t="n"/>
      <c r="C535" s="1" t="n"/>
      <c r="D535" s="1" t="n"/>
      <c r="E535" s="1" t="n"/>
      <c r="F535" s="1" t="n"/>
      <c r="G535" s="1" t="n"/>
      <c r="H535" s="1" t="n"/>
      <c r="I535" s="1" t="n"/>
      <c r="J535" s="1" t="n"/>
      <c r="K535" s="1" t="n"/>
      <c r="L535" s="1" t="n"/>
      <c r="M535" s="1" t="n"/>
      <c r="N535" s="1" t="n"/>
      <c r="O535" s="1" t="n"/>
      <c r="P535" s="1" t="n"/>
    </row>
    <row r="536" ht="15.75" customHeight="1" s="311">
      <c r="A536" s="1" t="n"/>
      <c r="B536" s="1" t="n"/>
      <c r="C536" s="1" t="n"/>
      <c r="D536" s="1" t="n"/>
      <c r="E536" s="1" t="n"/>
      <c r="F536" s="1" t="n"/>
      <c r="G536" s="1" t="n"/>
      <c r="H536" s="1" t="n"/>
      <c r="I536" s="1" t="n"/>
      <c r="J536" s="1" t="n"/>
      <c r="K536" s="1" t="n"/>
      <c r="L536" s="1" t="n"/>
      <c r="M536" s="1" t="n"/>
      <c r="N536" s="1" t="n"/>
      <c r="O536" s="1" t="n"/>
      <c r="P536" s="1" t="n"/>
    </row>
    <row r="537" ht="15.75" customHeight="1" s="311">
      <c r="A537" s="1" t="n"/>
      <c r="B537" s="1" t="n"/>
      <c r="C537" s="1" t="n"/>
      <c r="D537" s="1" t="n"/>
      <c r="E537" s="1" t="n"/>
      <c r="F537" s="1" t="n"/>
      <c r="G537" s="1" t="n"/>
      <c r="H537" s="1" t="n"/>
      <c r="I537" s="1" t="n"/>
      <c r="J537" s="1" t="n"/>
      <c r="K537" s="1" t="n"/>
      <c r="L537" s="1" t="n"/>
      <c r="M537" s="1" t="n"/>
      <c r="N537" s="1" t="n"/>
      <c r="O537" s="1" t="n"/>
      <c r="P537" s="1" t="n"/>
    </row>
    <row r="538" ht="15.75" customHeight="1" s="311">
      <c r="A538" s="1" t="n"/>
      <c r="B538" s="1" t="n"/>
      <c r="C538" s="1" t="n"/>
      <c r="D538" s="1" t="n"/>
      <c r="E538" s="1" t="n"/>
      <c r="F538" s="1" t="n"/>
      <c r="G538" s="1" t="n"/>
      <c r="H538" s="1" t="n"/>
      <c r="I538" s="1" t="n"/>
      <c r="J538" s="1" t="n"/>
      <c r="K538" s="1" t="n"/>
      <c r="L538" s="1" t="n"/>
      <c r="M538" s="1" t="n"/>
      <c r="N538" s="1" t="n"/>
      <c r="O538" s="1" t="n"/>
      <c r="P538" s="1" t="n"/>
    </row>
    <row r="539" ht="15.75" customHeight="1" s="311">
      <c r="A539" s="1" t="n"/>
      <c r="B539" s="1" t="n"/>
      <c r="C539" s="1" t="n"/>
      <c r="D539" s="1" t="n"/>
      <c r="E539" s="1" t="n"/>
      <c r="F539" s="1" t="n"/>
      <c r="G539" s="1" t="n"/>
      <c r="H539" s="1" t="n"/>
      <c r="I539" s="1" t="n"/>
      <c r="J539" s="1" t="n"/>
      <c r="K539" s="1" t="n"/>
      <c r="L539" s="1" t="n"/>
      <c r="M539" s="1" t="n"/>
      <c r="N539" s="1" t="n"/>
      <c r="O539" s="1" t="n"/>
      <c r="P539" s="1" t="n"/>
    </row>
    <row r="540" ht="15.75" customHeight="1" s="311">
      <c r="A540" s="1" t="n"/>
      <c r="B540" s="1" t="n"/>
      <c r="C540" s="1" t="n"/>
      <c r="D540" s="1" t="n"/>
      <c r="E540" s="1" t="n"/>
      <c r="F540" s="1" t="n"/>
      <c r="G540" s="1" t="n"/>
      <c r="H540" s="1" t="n"/>
      <c r="I540" s="1" t="n"/>
      <c r="J540" s="1" t="n"/>
      <c r="K540" s="1" t="n"/>
      <c r="L540" s="1" t="n"/>
      <c r="M540" s="1" t="n"/>
      <c r="N540" s="1" t="n"/>
      <c r="O540" s="1" t="n"/>
      <c r="P540" s="1" t="n"/>
    </row>
    <row r="541" ht="15.75" customHeight="1" s="311">
      <c r="A541" s="1" t="n"/>
      <c r="B541" s="1" t="n"/>
      <c r="C541" s="1" t="n"/>
      <c r="D541" s="1" t="n"/>
      <c r="E541" s="1" t="n"/>
      <c r="F541" s="1" t="n"/>
      <c r="G541" s="1" t="n"/>
      <c r="H541" s="1" t="n"/>
      <c r="I541" s="1" t="n"/>
      <c r="J541" s="1" t="n"/>
      <c r="K541" s="1" t="n"/>
      <c r="L541" s="1" t="n"/>
      <c r="M541" s="1" t="n"/>
      <c r="N541" s="1" t="n"/>
      <c r="O541" s="1" t="n"/>
      <c r="P541" s="1" t="n"/>
    </row>
    <row r="542" ht="15.75" customHeight="1" s="311">
      <c r="A542" s="1" t="n"/>
      <c r="B542" s="1" t="n"/>
      <c r="C542" s="1" t="n"/>
      <c r="D542" s="1" t="n"/>
      <c r="E542" s="1" t="n"/>
      <c r="F542" s="1" t="n"/>
      <c r="G542" s="1" t="n"/>
      <c r="H542" s="1" t="n"/>
      <c r="I542" s="1" t="n"/>
      <c r="J542" s="1" t="n"/>
      <c r="K542" s="1" t="n"/>
      <c r="L542" s="1" t="n"/>
      <c r="M542" s="1" t="n"/>
      <c r="N542" s="1" t="n"/>
      <c r="O542" s="1" t="n"/>
      <c r="P542" s="1" t="n"/>
    </row>
    <row r="543" ht="15.75" customHeight="1" s="311">
      <c r="A543" s="1" t="n"/>
      <c r="B543" s="1" t="n"/>
      <c r="C543" s="1" t="n"/>
      <c r="D543" s="1" t="n"/>
      <c r="E543" s="1" t="n"/>
      <c r="F543" s="1" t="n"/>
      <c r="G543" s="1" t="n"/>
      <c r="H543" s="1" t="n"/>
      <c r="I543" s="1" t="n"/>
      <c r="J543" s="1" t="n"/>
      <c r="K543" s="1" t="n"/>
      <c r="L543" s="1" t="n"/>
      <c r="M543" s="1" t="n"/>
      <c r="N543" s="1" t="n"/>
      <c r="O543" s="1" t="n"/>
      <c r="P543" s="1" t="n"/>
    </row>
    <row r="544" ht="15.75" customHeight="1" s="311">
      <c r="A544" s="1" t="n"/>
      <c r="B544" s="1" t="n"/>
      <c r="C544" s="1" t="n"/>
      <c r="D544" s="1" t="n"/>
      <c r="E544" s="1" t="n"/>
      <c r="F544" s="1" t="n"/>
      <c r="G544" s="1" t="n"/>
      <c r="H544" s="1" t="n"/>
      <c r="I544" s="1" t="n"/>
      <c r="J544" s="1" t="n"/>
      <c r="K544" s="1" t="n"/>
      <c r="L544" s="1" t="n"/>
      <c r="M544" s="1" t="n"/>
      <c r="N544" s="1" t="n"/>
      <c r="O544" s="1" t="n"/>
      <c r="P544" s="1" t="n"/>
    </row>
    <row r="545" ht="15.75" customHeight="1" s="311">
      <c r="A545" s="1" t="n"/>
      <c r="B545" s="1" t="n"/>
      <c r="C545" s="1" t="n"/>
      <c r="D545" s="1" t="n"/>
      <c r="E545" s="1" t="n"/>
      <c r="F545" s="1" t="n"/>
      <c r="G545" s="1" t="n"/>
      <c r="H545" s="1" t="n"/>
      <c r="I545" s="1" t="n"/>
      <c r="J545" s="1" t="n"/>
      <c r="K545" s="1" t="n"/>
      <c r="L545" s="1" t="n"/>
      <c r="M545" s="1" t="n"/>
      <c r="N545" s="1" t="n"/>
      <c r="O545" s="1" t="n"/>
      <c r="P545" s="1" t="n"/>
    </row>
    <row r="546" ht="15.75" customHeight="1" s="311">
      <c r="A546" s="1" t="n"/>
      <c r="B546" s="1" t="n"/>
      <c r="C546" s="1" t="n"/>
      <c r="D546" s="1" t="n"/>
      <c r="E546" s="1" t="n"/>
      <c r="F546" s="1" t="n"/>
      <c r="G546" s="1" t="n"/>
      <c r="H546" s="1" t="n"/>
      <c r="I546" s="1" t="n"/>
      <c r="J546" s="1" t="n"/>
      <c r="K546" s="1" t="n"/>
      <c r="L546" s="1" t="n"/>
      <c r="M546" s="1" t="n"/>
      <c r="N546" s="1" t="n"/>
      <c r="O546" s="1" t="n"/>
      <c r="P546" s="1" t="n"/>
    </row>
    <row r="547" ht="15.75" customHeight="1" s="311">
      <c r="A547" s="1" t="n"/>
      <c r="B547" s="1" t="n"/>
      <c r="C547" s="1" t="n"/>
      <c r="D547" s="1" t="n"/>
      <c r="E547" s="1" t="n"/>
      <c r="F547" s="1" t="n"/>
      <c r="G547" s="1" t="n"/>
      <c r="H547" s="1" t="n"/>
      <c r="I547" s="1" t="n"/>
      <c r="J547" s="1" t="n"/>
      <c r="K547" s="1" t="n"/>
      <c r="L547" s="1" t="n"/>
      <c r="M547" s="1" t="n"/>
      <c r="N547" s="1" t="n"/>
      <c r="O547" s="1" t="n"/>
      <c r="P547" s="1" t="n"/>
    </row>
    <row r="548" ht="15.75" customHeight="1" s="311">
      <c r="A548" s="1" t="n"/>
      <c r="B548" s="1" t="n"/>
      <c r="C548" s="1" t="n"/>
      <c r="D548" s="1" t="n"/>
      <c r="E548" s="1" t="n"/>
      <c r="F548" s="1" t="n"/>
      <c r="G548" s="1" t="n"/>
      <c r="H548" s="1" t="n"/>
      <c r="I548" s="1" t="n"/>
      <c r="J548" s="1" t="n"/>
      <c r="K548" s="1" t="n"/>
      <c r="L548" s="1" t="n"/>
      <c r="M548" s="1" t="n"/>
      <c r="N548" s="1" t="n"/>
      <c r="O548" s="1" t="n"/>
      <c r="P548" s="1" t="n"/>
    </row>
    <row r="549" ht="15.75" customHeight="1" s="311">
      <c r="A549" s="1" t="n"/>
      <c r="B549" s="1" t="n"/>
      <c r="C549" s="1" t="n"/>
      <c r="D549" s="1" t="n"/>
      <c r="E549" s="1" t="n"/>
      <c r="F549" s="1" t="n"/>
      <c r="G549" s="1" t="n"/>
      <c r="H549" s="1" t="n"/>
      <c r="I549" s="1" t="n"/>
      <c r="J549" s="1" t="n"/>
      <c r="K549" s="1" t="n"/>
      <c r="L549" s="1" t="n"/>
      <c r="M549" s="1" t="n"/>
      <c r="N549" s="1" t="n"/>
      <c r="O549" s="1" t="n"/>
      <c r="P549" s="1" t="n"/>
    </row>
    <row r="550" ht="15.75" customHeight="1" s="311">
      <c r="A550" s="1" t="n"/>
      <c r="B550" s="1" t="n"/>
      <c r="C550" s="1" t="n"/>
      <c r="D550" s="1" t="n"/>
      <c r="E550" s="1" t="n"/>
      <c r="F550" s="1" t="n"/>
      <c r="G550" s="1" t="n"/>
      <c r="H550" s="1" t="n"/>
      <c r="I550" s="1" t="n"/>
      <c r="J550" s="1" t="n"/>
      <c r="K550" s="1" t="n"/>
      <c r="L550" s="1" t="n"/>
      <c r="M550" s="1" t="n"/>
      <c r="N550" s="1" t="n"/>
      <c r="O550" s="1" t="n"/>
      <c r="P550" s="1" t="n"/>
    </row>
    <row r="551" ht="15.75" customHeight="1" s="311">
      <c r="A551" s="1" t="n"/>
      <c r="B551" s="1" t="n"/>
      <c r="C551" s="1" t="n"/>
      <c r="D551" s="1" t="n"/>
      <c r="E551" s="1" t="n"/>
      <c r="F551" s="1" t="n"/>
      <c r="G551" s="1" t="n"/>
      <c r="H551" s="1" t="n"/>
      <c r="I551" s="1" t="n"/>
      <c r="J551" s="1" t="n"/>
      <c r="K551" s="1" t="n"/>
      <c r="L551" s="1" t="n"/>
      <c r="M551" s="1" t="n"/>
      <c r="N551" s="1" t="n"/>
      <c r="O551" s="1" t="n"/>
      <c r="P551" s="1" t="n"/>
    </row>
    <row r="552" ht="15.75" customHeight="1" s="311">
      <c r="A552" s="1" t="n"/>
      <c r="B552" s="1" t="n"/>
      <c r="C552" s="1" t="n"/>
      <c r="D552" s="1" t="n"/>
      <c r="E552" s="1" t="n"/>
      <c r="F552" s="1" t="n"/>
      <c r="G552" s="1" t="n"/>
      <c r="H552" s="1" t="n"/>
      <c r="I552" s="1" t="n"/>
      <c r="J552" s="1" t="n"/>
      <c r="K552" s="1" t="n"/>
      <c r="L552" s="1" t="n"/>
      <c r="M552" s="1" t="n"/>
      <c r="N552" s="1" t="n"/>
      <c r="O552" s="1" t="n"/>
      <c r="P552" s="1" t="n"/>
    </row>
    <row r="553" ht="15.75" customHeight="1" s="311">
      <c r="A553" s="1" t="n"/>
      <c r="B553" s="1" t="n"/>
      <c r="C553" s="1" t="n"/>
      <c r="D553" s="1" t="n"/>
      <c r="E553" s="1" t="n"/>
      <c r="F553" s="1" t="n"/>
      <c r="G553" s="1" t="n"/>
      <c r="H553" s="1" t="n"/>
      <c r="I553" s="1" t="n"/>
      <c r="J553" s="1" t="n"/>
      <c r="K553" s="1" t="n"/>
      <c r="L553" s="1" t="n"/>
      <c r="M553" s="1" t="n"/>
      <c r="N553" s="1" t="n"/>
      <c r="O553" s="1" t="n"/>
      <c r="P553" s="1" t="n"/>
    </row>
    <row r="554" ht="15.75" customHeight="1" s="311">
      <c r="A554" s="1" t="n"/>
      <c r="B554" s="1" t="n"/>
      <c r="C554" s="1" t="n"/>
      <c r="D554" s="1" t="n"/>
      <c r="E554" s="1" t="n"/>
      <c r="F554" s="1" t="n"/>
      <c r="G554" s="1" t="n"/>
      <c r="H554" s="1" t="n"/>
      <c r="I554" s="1" t="n"/>
      <c r="J554" s="1" t="n"/>
      <c r="K554" s="1" t="n"/>
      <c r="L554" s="1" t="n"/>
      <c r="M554" s="1" t="n"/>
      <c r="N554" s="1" t="n"/>
      <c r="O554" s="1" t="n"/>
      <c r="P554" s="1" t="n"/>
    </row>
    <row r="555" ht="15.75" customHeight="1" s="311">
      <c r="A555" s="1" t="n"/>
      <c r="B555" s="1" t="n"/>
      <c r="C555" s="1" t="n"/>
      <c r="D555" s="1" t="n"/>
      <c r="E555" s="1" t="n"/>
      <c r="F555" s="1" t="n"/>
      <c r="G555" s="1" t="n"/>
      <c r="H555" s="1" t="n"/>
      <c r="I555" s="1" t="n"/>
      <c r="J555" s="1" t="n"/>
      <c r="K555" s="1" t="n"/>
      <c r="L555" s="1" t="n"/>
      <c r="M555" s="1" t="n"/>
      <c r="N555" s="1" t="n"/>
      <c r="O555" s="1" t="n"/>
      <c r="P555" s="1" t="n"/>
    </row>
    <row r="556" ht="15.75" customHeight="1" s="311">
      <c r="A556" s="1" t="n"/>
      <c r="B556" s="1" t="n"/>
      <c r="C556" s="1" t="n"/>
      <c r="D556" s="1" t="n"/>
      <c r="E556" s="1" t="n"/>
      <c r="F556" s="1" t="n"/>
      <c r="G556" s="1" t="n"/>
      <c r="H556" s="1" t="n"/>
      <c r="I556" s="1" t="n"/>
      <c r="J556" s="1" t="n"/>
      <c r="K556" s="1" t="n"/>
      <c r="L556" s="1" t="n"/>
      <c r="M556" s="1" t="n"/>
      <c r="N556" s="1" t="n"/>
      <c r="O556" s="1" t="n"/>
      <c r="P556" s="1" t="n"/>
    </row>
    <row r="557" ht="15.75" customHeight="1" s="311">
      <c r="A557" s="1" t="n"/>
      <c r="B557" s="1" t="n"/>
      <c r="C557" s="1" t="n"/>
      <c r="D557" s="1" t="n"/>
      <c r="E557" s="1" t="n"/>
      <c r="F557" s="1" t="n"/>
      <c r="G557" s="1" t="n"/>
      <c r="H557" s="1" t="n"/>
      <c r="I557" s="1" t="n"/>
      <c r="J557" s="1" t="n"/>
      <c r="K557" s="1" t="n"/>
      <c r="L557" s="1" t="n"/>
      <c r="M557" s="1" t="n"/>
      <c r="N557" s="1" t="n"/>
      <c r="O557" s="1" t="n"/>
      <c r="P557" s="1" t="n"/>
    </row>
    <row r="558" ht="15.75" customHeight="1" s="311">
      <c r="A558" s="1" t="n"/>
      <c r="B558" s="1" t="n"/>
      <c r="C558" s="1" t="n"/>
      <c r="D558" s="1" t="n"/>
      <c r="E558" s="1" t="n"/>
      <c r="F558" s="1" t="n"/>
      <c r="G558" s="1" t="n"/>
      <c r="H558" s="1" t="n"/>
      <c r="I558" s="1" t="n"/>
      <c r="J558" s="1" t="n"/>
      <c r="K558" s="1" t="n"/>
      <c r="L558" s="1" t="n"/>
      <c r="M558" s="1" t="n"/>
      <c r="N558" s="1" t="n"/>
      <c r="O558" s="1" t="n"/>
      <c r="P558" s="1" t="n"/>
    </row>
    <row r="559" ht="15.75" customHeight="1" s="311">
      <c r="A559" s="1" t="n"/>
      <c r="B559" s="1" t="n"/>
      <c r="C559" s="1" t="n"/>
      <c r="D559" s="1" t="n"/>
      <c r="E559" s="1" t="n"/>
      <c r="F559" s="1" t="n"/>
      <c r="G559" s="1" t="n"/>
      <c r="H559" s="1" t="n"/>
      <c r="I559" s="1" t="n"/>
      <c r="J559" s="1" t="n"/>
      <c r="K559" s="1" t="n"/>
      <c r="L559" s="1" t="n"/>
      <c r="M559" s="1" t="n"/>
      <c r="N559" s="1" t="n"/>
      <c r="O559" s="1" t="n"/>
      <c r="P559" s="1" t="n"/>
    </row>
    <row r="560" ht="15.75" customHeight="1" s="311">
      <c r="A560" s="1" t="n"/>
      <c r="B560" s="1" t="n"/>
      <c r="C560" s="1" t="n"/>
      <c r="D560" s="1" t="n"/>
      <c r="E560" s="1" t="n"/>
      <c r="F560" s="1" t="n"/>
      <c r="G560" s="1" t="n"/>
      <c r="H560" s="1" t="n"/>
      <c r="I560" s="1" t="n"/>
      <c r="J560" s="1" t="n"/>
      <c r="K560" s="1" t="n"/>
      <c r="L560" s="1" t="n"/>
      <c r="M560" s="1" t="n"/>
      <c r="N560" s="1" t="n"/>
      <c r="O560" s="1" t="n"/>
      <c r="P560" s="1" t="n"/>
    </row>
    <row r="561" ht="15.75" customHeight="1" s="311">
      <c r="A561" s="1" t="n"/>
      <c r="B561" s="1" t="n"/>
      <c r="C561" s="1" t="n"/>
      <c r="D561" s="1" t="n"/>
      <c r="E561" s="1" t="n"/>
      <c r="F561" s="1" t="n"/>
      <c r="G561" s="1" t="n"/>
      <c r="H561" s="1" t="n"/>
      <c r="I561" s="1" t="n"/>
      <c r="J561" s="1" t="n"/>
      <c r="K561" s="1" t="n"/>
      <c r="L561" s="1" t="n"/>
      <c r="M561" s="1" t="n"/>
      <c r="N561" s="1" t="n"/>
      <c r="O561" s="1" t="n"/>
      <c r="P561" s="1" t="n"/>
    </row>
    <row r="562" ht="15.75" customHeight="1" s="311">
      <c r="A562" s="1" t="n"/>
      <c r="B562" s="1" t="n"/>
      <c r="C562" s="1" t="n"/>
      <c r="D562" s="1" t="n"/>
      <c r="E562" s="1" t="n"/>
      <c r="F562" s="1" t="n"/>
      <c r="G562" s="1" t="n"/>
      <c r="H562" s="1" t="n"/>
      <c r="I562" s="1" t="n"/>
      <c r="J562" s="1" t="n"/>
      <c r="K562" s="1" t="n"/>
      <c r="L562" s="1" t="n"/>
      <c r="M562" s="1" t="n"/>
      <c r="N562" s="1" t="n"/>
      <c r="O562" s="1" t="n"/>
      <c r="P562" s="1" t="n"/>
    </row>
    <row r="563" ht="15.75" customHeight="1" s="311">
      <c r="A563" s="1" t="n"/>
      <c r="B563" s="1" t="n"/>
      <c r="C563" s="1" t="n"/>
      <c r="D563" s="1" t="n"/>
      <c r="E563" s="1" t="n"/>
      <c r="F563" s="1" t="n"/>
      <c r="G563" s="1" t="n"/>
      <c r="H563" s="1" t="n"/>
      <c r="I563" s="1" t="n"/>
      <c r="J563" s="1" t="n"/>
      <c r="K563" s="1" t="n"/>
      <c r="L563" s="1" t="n"/>
      <c r="M563" s="1" t="n"/>
      <c r="N563" s="1" t="n"/>
      <c r="O563" s="1" t="n"/>
      <c r="P563" s="1" t="n"/>
    </row>
    <row r="564" ht="15.75" customHeight="1" s="311">
      <c r="A564" s="1" t="n"/>
      <c r="B564" s="1" t="n"/>
      <c r="C564" s="1" t="n"/>
      <c r="D564" s="1" t="n"/>
      <c r="E564" s="1" t="n"/>
      <c r="F564" s="1" t="n"/>
      <c r="G564" s="1" t="n"/>
      <c r="H564" s="1" t="n"/>
      <c r="I564" s="1" t="n"/>
      <c r="J564" s="1" t="n"/>
      <c r="K564" s="1" t="n"/>
      <c r="L564" s="1" t="n"/>
      <c r="M564" s="1" t="n"/>
      <c r="N564" s="1" t="n"/>
      <c r="O564" s="1" t="n"/>
      <c r="P564" s="1" t="n"/>
    </row>
    <row r="565" ht="15.75" customHeight="1" s="311">
      <c r="A565" s="1" t="n"/>
      <c r="B565" s="1" t="n"/>
      <c r="C565" s="1" t="n"/>
      <c r="D565" s="1" t="n"/>
      <c r="E565" s="1" t="n"/>
      <c r="F565" s="1" t="n"/>
      <c r="G565" s="1" t="n"/>
      <c r="H565" s="1" t="n"/>
      <c r="I565" s="1" t="n"/>
      <c r="J565" s="1" t="n"/>
      <c r="K565" s="1" t="n"/>
      <c r="L565" s="1" t="n"/>
      <c r="M565" s="1" t="n"/>
      <c r="N565" s="1" t="n"/>
      <c r="O565" s="1" t="n"/>
      <c r="P565" s="1" t="n"/>
    </row>
    <row r="566" ht="15.75" customHeight="1" s="311">
      <c r="A566" s="1" t="n"/>
      <c r="B566" s="1" t="n"/>
      <c r="C566" s="1" t="n"/>
      <c r="D566" s="1" t="n"/>
      <c r="E566" s="1" t="n"/>
      <c r="F566" s="1" t="n"/>
      <c r="G566" s="1" t="n"/>
      <c r="H566" s="1" t="n"/>
      <c r="I566" s="1" t="n"/>
      <c r="J566" s="1" t="n"/>
      <c r="K566" s="1" t="n"/>
      <c r="L566" s="1" t="n"/>
      <c r="M566" s="1" t="n"/>
      <c r="N566" s="1" t="n"/>
      <c r="O566" s="1" t="n"/>
      <c r="P566" s="1" t="n"/>
    </row>
    <row r="567" ht="15.75" customHeight="1" s="311">
      <c r="A567" s="1" t="n"/>
      <c r="B567" s="1" t="n"/>
      <c r="C567" s="1" t="n"/>
      <c r="D567" s="1" t="n"/>
      <c r="E567" s="1" t="n"/>
      <c r="F567" s="1" t="n"/>
      <c r="G567" s="1" t="n"/>
      <c r="H567" s="1" t="n"/>
      <c r="I567" s="1" t="n"/>
      <c r="J567" s="1" t="n"/>
      <c r="K567" s="1" t="n"/>
      <c r="L567" s="1" t="n"/>
      <c r="M567" s="1" t="n"/>
      <c r="N567" s="1" t="n"/>
      <c r="O567" s="1" t="n"/>
      <c r="P567" s="1" t="n"/>
    </row>
    <row r="568" ht="15.75" customHeight="1" s="311">
      <c r="A568" s="1" t="n"/>
      <c r="B568" s="1" t="n"/>
      <c r="C568" s="1" t="n"/>
      <c r="D568" s="1" t="n"/>
      <c r="E568" s="1" t="n"/>
      <c r="F568" s="1" t="n"/>
      <c r="G568" s="1" t="n"/>
      <c r="H568" s="1" t="n"/>
      <c r="I568" s="1" t="n"/>
      <c r="J568" s="1" t="n"/>
      <c r="K568" s="1" t="n"/>
      <c r="L568" s="1" t="n"/>
      <c r="M568" s="1" t="n"/>
      <c r="N568" s="1" t="n"/>
      <c r="O568" s="1" t="n"/>
      <c r="P568" s="1" t="n"/>
    </row>
    <row r="569" ht="15.75" customHeight="1" s="311">
      <c r="A569" s="1" t="n"/>
      <c r="B569" s="1" t="n"/>
      <c r="C569" s="1" t="n"/>
      <c r="D569" s="1" t="n"/>
      <c r="E569" s="1" t="n"/>
      <c r="F569" s="1" t="n"/>
      <c r="G569" s="1" t="n"/>
      <c r="H569" s="1" t="n"/>
      <c r="I569" s="1" t="n"/>
      <c r="J569" s="1" t="n"/>
      <c r="K569" s="1" t="n"/>
      <c r="L569" s="1" t="n"/>
      <c r="M569" s="1" t="n"/>
      <c r="N569" s="1" t="n"/>
      <c r="O569" s="1" t="n"/>
      <c r="P569" s="1" t="n"/>
    </row>
    <row r="570" ht="15.75" customHeight="1" s="311">
      <c r="A570" s="1" t="n"/>
      <c r="B570" s="1" t="n"/>
      <c r="C570" s="1" t="n"/>
      <c r="D570" s="1" t="n"/>
      <c r="E570" s="1" t="n"/>
      <c r="F570" s="1" t="n"/>
      <c r="G570" s="1" t="n"/>
      <c r="H570" s="1" t="n"/>
      <c r="I570" s="1" t="n"/>
      <c r="J570" s="1" t="n"/>
      <c r="K570" s="1" t="n"/>
      <c r="L570" s="1" t="n"/>
      <c r="M570" s="1" t="n"/>
      <c r="N570" s="1" t="n"/>
      <c r="O570" s="1" t="n"/>
      <c r="P570" s="1" t="n"/>
    </row>
    <row r="571" ht="15.75" customHeight="1" s="311">
      <c r="A571" s="1" t="n"/>
      <c r="B571" s="1" t="n"/>
      <c r="C571" s="1" t="n"/>
      <c r="D571" s="1" t="n"/>
      <c r="E571" s="1" t="n"/>
      <c r="F571" s="1" t="n"/>
      <c r="G571" s="1" t="n"/>
      <c r="H571" s="1" t="n"/>
      <c r="I571" s="1" t="n"/>
      <c r="J571" s="1" t="n"/>
      <c r="K571" s="1" t="n"/>
      <c r="L571" s="1" t="n"/>
      <c r="M571" s="1" t="n"/>
      <c r="N571" s="1" t="n"/>
      <c r="O571" s="1" t="n"/>
      <c r="P571" s="1" t="n"/>
    </row>
    <row r="572" ht="15.75" customHeight="1" s="311">
      <c r="A572" s="1" t="n"/>
      <c r="B572" s="1" t="n"/>
      <c r="C572" s="1" t="n"/>
      <c r="D572" s="1" t="n"/>
      <c r="E572" s="1" t="n"/>
      <c r="F572" s="1" t="n"/>
      <c r="G572" s="1" t="n"/>
      <c r="H572" s="1" t="n"/>
      <c r="I572" s="1" t="n"/>
      <c r="J572" s="1" t="n"/>
      <c r="K572" s="1" t="n"/>
      <c r="L572" s="1" t="n"/>
      <c r="M572" s="1" t="n"/>
      <c r="N572" s="1" t="n"/>
      <c r="O572" s="1" t="n"/>
      <c r="P572" s="1" t="n"/>
    </row>
    <row r="573" ht="15.75" customHeight="1" s="311">
      <c r="A573" s="1" t="n"/>
      <c r="B573" s="1" t="n"/>
      <c r="C573" s="1" t="n"/>
      <c r="D573" s="1" t="n"/>
      <c r="E573" s="1" t="n"/>
      <c r="F573" s="1" t="n"/>
      <c r="G573" s="1" t="n"/>
      <c r="H573" s="1" t="n"/>
      <c r="I573" s="1" t="n"/>
      <c r="J573" s="1" t="n"/>
      <c r="K573" s="1" t="n"/>
      <c r="L573" s="1" t="n"/>
      <c r="M573" s="1" t="n"/>
      <c r="N573" s="1" t="n"/>
      <c r="O573" s="1" t="n"/>
      <c r="P573" s="1" t="n"/>
    </row>
    <row r="574" ht="15.75" customHeight="1" s="311">
      <c r="A574" s="1" t="n"/>
      <c r="B574" s="1" t="n"/>
      <c r="C574" s="1" t="n"/>
      <c r="D574" s="1" t="n"/>
      <c r="E574" s="1" t="n"/>
      <c r="F574" s="1" t="n"/>
      <c r="G574" s="1" t="n"/>
      <c r="H574" s="1" t="n"/>
      <c r="I574" s="1" t="n"/>
      <c r="J574" s="1" t="n"/>
      <c r="K574" s="1" t="n"/>
      <c r="L574" s="1" t="n"/>
      <c r="M574" s="1" t="n"/>
      <c r="N574" s="1" t="n"/>
      <c r="O574" s="1" t="n"/>
      <c r="P574" s="1" t="n"/>
    </row>
    <row r="575" ht="15.75" customHeight="1" s="311">
      <c r="A575" s="1" t="n"/>
      <c r="B575" s="1" t="n"/>
      <c r="C575" s="1" t="n"/>
      <c r="D575" s="1" t="n"/>
      <c r="E575" s="1" t="n"/>
      <c r="F575" s="1" t="n"/>
      <c r="G575" s="1" t="n"/>
      <c r="H575" s="1" t="n"/>
      <c r="I575" s="1" t="n"/>
      <c r="J575" s="1" t="n"/>
      <c r="K575" s="1" t="n"/>
      <c r="L575" s="1" t="n"/>
      <c r="M575" s="1" t="n"/>
      <c r="N575" s="1" t="n"/>
      <c r="O575" s="1" t="n"/>
      <c r="P575" s="1" t="n"/>
    </row>
    <row r="576" ht="15.75" customHeight="1" s="311">
      <c r="A576" s="1" t="n"/>
      <c r="B576" s="1" t="n"/>
      <c r="C576" s="1" t="n"/>
      <c r="D576" s="1" t="n"/>
      <c r="E576" s="1" t="n"/>
      <c r="F576" s="1" t="n"/>
      <c r="G576" s="1" t="n"/>
      <c r="H576" s="1" t="n"/>
      <c r="I576" s="1" t="n"/>
      <c r="J576" s="1" t="n"/>
      <c r="K576" s="1" t="n"/>
      <c r="L576" s="1" t="n"/>
      <c r="M576" s="1" t="n"/>
      <c r="N576" s="1" t="n"/>
      <c r="O576" s="1" t="n"/>
      <c r="P576" s="1" t="n"/>
    </row>
    <row r="577" ht="15.75" customHeight="1" s="311">
      <c r="A577" s="1" t="n"/>
      <c r="B577" s="1" t="n"/>
      <c r="C577" s="1" t="n"/>
      <c r="D577" s="1" t="n"/>
      <c r="E577" s="1" t="n"/>
      <c r="F577" s="1" t="n"/>
      <c r="G577" s="1" t="n"/>
      <c r="H577" s="1" t="n"/>
      <c r="I577" s="1" t="n"/>
      <c r="J577" s="1" t="n"/>
      <c r="K577" s="1" t="n"/>
      <c r="L577" s="1" t="n"/>
      <c r="M577" s="1" t="n"/>
      <c r="N577" s="1" t="n"/>
      <c r="O577" s="1" t="n"/>
      <c r="P577" s="1" t="n"/>
    </row>
    <row r="578" ht="15.75" customHeight="1" s="311">
      <c r="A578" s="1" t="n"/>
      <c r="B578" s="1" t="n"/>
      <c r="C578" s="1" t="n"/>
      <c r="D578" s="1" t="n"/>
      <c r="E578" s="1" t="n"/>
      <c r="F578" s="1" t="n"/>
      <c r="G578" s="1" t="n"/>
      <c r="H578" s="1" t="n"/>
      <c r="I578" s="1" t="n"/>
      <c r="J578" s="1" t="n"/>
      <c r="K578" s="1" t="n"/>
      <c r="L578" s="1" t="n"/>
      <c r="M578" s="1" t="n"/>
      <c r="N578" s="1" t="n"/>
      <c r="O578" s="1" t="n"/>
      <c r="P578" s="1" t="n"/>
    </row>
    <row r="579" ht="15.75" customHeight="1" s="311">
      <c r="A579" s="1" t="n"/>
      <c r="B579" s="1" t="n"/>
      <c r="C579" s="1" t="n"/>
      <c r="D579" s="1" t="n"/>
      <c r="E579" s="1" t="n"/>
      <c r="F579" s="1" t="n"/>
      <c r="G579" s="1" t="n"/>
      <c r="H579" s="1" t="n"/>
      <c r="I579" s="1" t="n"/>
      <c r="J579" s="1" t="n"/>
      <c r="K579" s="1" t="n"/>
      <c r="L579" s="1" t="n"/>
      <c r="M579" s="1" t="n"/>
      <c r="N579" s="1" t="n"/>
      <c r="O579" s="1" t="n"/>
      <c r="P579" s="1" t="n"/>
    </row>
    <row r="580" ht="15.75" customHeight="1" s="311">
      <c r="A580" s="1" t="n"/>
      <c r="B580" s="1" t="n"/>
      <c r="C580" s="1" t="n"/>
      <c r="D580" s="1" t="n"/>
      <c r="E580" s="1" t="n"/>
      <c r="F580" s="1" t="n"/>
      <c r="G580" s="1" t="n"/>
      <c r="H580" s="1" t="n"/>
      <c r="I580" s="1" t="n"/>
      <c r="J580" s="1" t="n"/>
      <c r="K580" s="1" t="n"/>
      <c r="L580" s="1" t="n"/>
      <c r="M580" s="1" t="n"/>
      <c r="N580" s="1" t="n"/>
      <c r="O580" s="1" t="n"/>
      <c r="P580" s="1" t="n"/>
    </row>
    <row r="581" ht="15.75" customHeight="1" s="311">
      <c r="A581" s="1" t="n"/>
      <c r="B581" s="1" t="n"/>
      <c r="C581" s="1" t="n"/>
      <c r="D581" s="1" t="n"/>
      <c r="E581" s="1" t="n"/>
      <c r="F581" s="1" t="n"/>
      <c r="G581" s="1" t="n"/>
      <c r="H581" s="1" t="n"/>
      <c r="I581" s="1" t="n"/>
      <c r="J581" s="1" t="n"/>
      <c r="K581" s="1" t="n"/>
      <c r="L581" s="1" t="n"/>
      <c r="M581" s="1" t="n"/>
      <c r="N581" s="1" t="n"/>
      <c r="O581" s="1" t="n"/>
      <c r="P581" s="1" t="n"/>
    </row>
    <row r="582" ht="15.75" customHeight="1" s="311">
      <c r="A582" s="1" t="n"/>
      <c r="B582" s="1" t="n"/>
      <c r="C582" s="1" t="n"/>
      <c r="D582" s="1" t="n"/>
      <c r="E582" s="1" t="n"/>
      <c r="F582" s="1" t="n"/>
      <c r="G582" s="1" t="n"/>
      <c r="H582" s="1" t="n"/>
      <c r="I582" s="1" t="n"/>
      <c r="J582" s="1" t="n"/>
      <c r="K582" s="1" t="n"/>
      <c r="L582" s="1" t="n"/>
      <c r="M582" s="1" t="n"/>
      <c r="N582" s="1" t="n"/>
      <c r="O582" s="1" t="n"/>
      <c r="P582" s="1" t="n"/>
    </row>
    <row r="583" ht="15.75" customHeight="1" s="311">
      <c r="A583" s="1" t="n"/>
      <c r="B583" s="1" t="n"/>
      <c r="C583" s="1" t="n"/>
      <c r="D583" s="1" t="n"/>
      <c r="E583" s="1" t="n"/>
      <c r="F583" s="1" t="n"/>
      <c r="G583" s="1" t="n"/>
      <c r="H583" s="1" t="n"/>
      <c r="I583" s="1" t="n"/>
      <c r="J583" s="1" t="n"/>
      <c r="K583" s="1" t="n"/>
      <c r="L583" s="1" t="n"/>
      <c r="M583" s="1" t="n"/>
      <c r="N583" s="1" t="n"/>
      <c r="O583" s="1" t="n"/>
      <c r="P583" s="1" t="n"/>
    </row>
    <row r="584" ht="15.75" customHeight="1" s="311">
      <c r="A584" s="1" t="n"/>
      <c r="B584" s="1" t="n"/>
      <c r="C584" s="1" t="n"/>
      <c r="D584" s="1" t="n"/>
      <c r="E584" s="1" t="n"/>
      <c r="F584" s="1" t="n"/>
      <c r="G584" s="1" t="n"/>
      <c r="H584" s="1" t="n"/>
      <c r="I584" s="1" t="n"/>
      <c r="J584" s="1" t="n"/>
      <c r="K584" s="1" t="n"/>
      <c r="L584" s="1" t="n"/>
      <c r="M584" s="1" t="n"/>
      <c r="N584" s="1" t="n"/>
      <c r="O584" s="1" t="n"/>
      <c r="P584" s="1" t="n"/>
    </row>
    <row r="585" ht="15.75" customHeight="1" s="311">
      <c r="A585" s="1" t="n"/>
      <c r="B585" s="1" t="n"/>
      <c r="C585" s="1" t="n"/>
      <c r="D585" s="1" t="n"/>
      <c r="E585" s="1" t="n"/>
      <c r="F585" s="1" t="n"/>
      <c r="G585" s="1" t="n"/>
      <c r="H585" s="1" t="n"/>
      <c r="I585" s="1" t="n"/>
      <c r="J585" s="1" t="n"/>
      <c r="K585" s="1" t="n"/>
      <c r="L585" s="1" t="n"/>
      <c r="M585" s="1" t="n"/>
      <c r="N585" s="1" t="n"/>
      <c r="O585" s="1" t="n"/>
      <c r="P585" s="1" t="n"/>
    </row>
    <row r="586" ht="15.75" customHeight="1" s="311">
      <c r="A586" s="1" t="n"/>
      <c r="B586" s="1" t="n"/>
      <c r="C586" s="1" t="n"/>
      <c r="D586" s="1" t="n"/>
      <c r="E586" s="1" t="n"/>
      <c r="F586" s="1" t="n"/>
      <c r="G586" s="1" t="n"/>
      <c r="H586" s="1" t="n"/>
      <c r="I586" s="1" t="n"/>
      <c r="J586" s="1" t="n"/>
      <c r="K586" s="1" t="n"/>
      <c r="L586" s="1" t="n"/>
      <c r="M586" s="1" t="n"/>
      <c r="N586" s="1" t="n"/>
      <c r="O586" s="1" t="n"/>
      <c r="P586" s="1" t="n"/>
    </row>
    <row r="587" ht="15.75" customHeight="1" s="311">
      <c r="A587" s="1" t="n"/>
      <c r="B587" s="1" t="n"/>
      <c r="C587" s="1" t="n"/>
      <c r="D587" s="1" t="n"/>
      <c r="E587" s="1" t="n"/>
      <c r="F587" s="1" t="n"/>
      <c r="G587" s="1" t="n"/>
      <c r="H587" s="1" t="n"/>
      <c r="I587" s="1" t="n"/>
      <c r="J587" s="1" t="n"/>
      <c r="K587" s="1" t="n"/>
      <c r="L587" s="1" t="n"/>
      <c r="M587" s="1" t="n"/>
      <c r="N587" s="1" t="n"/>
      <c r="O587" s="1" t="n"/>
      <c r="P587" s="1" t="n"/>
    </row>
    <row r="588" ht="15.75" customHeight="1" s="311">
      <c r="A588" s="1" t="n"/>
      <c r="B588" s="1" t="n"/>
      <c r="C588" s="1" t="n"/>
      <c r="D588" s="1" t="n"/>
      <c r="E588" s="1" t="n"/>
      <c r="F588" s="1" t="n"/>
      <c r="G588" s="1" t="n"/>
      <c r="H588" s="1" t="n"/>
      <c r="I588" s="1" t="n"/>
      <c r="J588" s="1" t="n"/>
      <c r="K588" s="1" t="n"/>
      <c r="L588" s="1" t="n"/>
      <c r="M588" s="1" t="n"/>
      <c r="N588" s="1" t="n"/>
      <c r="O588" s="1" t="n"/>
      <c r="P588" s="1" t="n"/>
    </row>
    <row r="589" ht="15.75" customHeight="1" s="311">
      <c r="A589" s="1" t="n"/>
      <c r="B589" s="1" t="n"/>
      <c r="C589" s="1" t="n"/>
      <c r="D589" s="1" t="n"/>
      <c r="E589" s="1" t="n"/>
      <c r="F589" s="1" t="n"/>
      <c r="G589" s="1" t="n"/>
      <c r="H589" s="1" t="n"/>
      <c r="I589" s="1" t="n"/>
      <c r="J589" s="1" t="n"/>
      <c r="K589" s="1" t="n"/>
      <c r="L589" s="1" t="n"/>
      <c r="M589" s="1" t="n"/>
      <c r="N589" s="1" t="n"/>
      <c r="O589" s="1" t="n"/>
      <c r="P589" s="1" t="n"/>
    </row>
    <row r="590" ht="15.75" customHeight="1" s="311">
      <c r="A590" s="1" t="n"/>
      <c r="B590" s="1" t="n"/>
      <c r="C590" s="1" t="n"/>
      <c r="D590" s="1" t="n"/>
      <c r="E590" s="1" t="n"/>
      <c r="F590" s="1" t="n"/>
      <c r="G590" s="1" t="n"/>
      <c r="H590" s="1" t="n"/>
      <c r="I590" s="1" t="n"/>
      <c r="J590" s="1" t="n"/>
      <c r="K590" s="1" t="n"/>
      <c r="L590" s="1" t="n"/>
      <c r="M590" s="1" t="n"/>
      <c r="N590" s="1" t="n"/>
      <c r="O590" s="1" t="n"/>
      <c r="P590" s="1" t="n"/>
    </row>
    <row r="591" ht="15.75" customHeight="1" s="311">
      <c r="A591" s="1" t="n"/>
      <c r="B591" s="1" t="n"/>
      <c r="C591" s="1" t="n"/>
      <c r="D591" s="1" t="n"/>
      <c r="E591" s="1" t="n"/>
      <c r="F591" s="1" t="n"/>
      <c r="G591" s="1" t="n"/>
      <c r="H591" s="1" t="n"/>
      <c r="I591" s="1" t="n"/>
      <c r="J591" s="1" t="n"/>
      <c r="K591" s="1" t="n"/>
      <c r="L591" s="1" t="n"/>
      <c r="M591" s="1" t="n"/>
      <c r="N591" s="1" t="n"/>
      <c r="O591" s="1" t="n"/>
      <c r="P591" s="1" t="n"/>
    </row>
    <row r="592" ht="15.75" customHeight="1" s="311">
      <c r="A592" s="1" t="n"/>
      <c r="B592" s="1" t="n"/>
      <c r="C592" s="1" t="n"/>
      <c r="D592" s="1" t="n"/>
      <c r="E592" s="1" t="n"/>
      <c r="F592" s="1" t="n"/>
      <c r="G592" s="1" t="n"/>
      <c r="H592" s="1" t="n"/>
      <c r="I592" s="1" t="n"/>
      <c r="J592" s="1" t="n"/>
      <c r="K592" s="1" t="n"/>
      <c r="L592" s="1" t="n"/>
      <c r="M592" s="1" t="n"/>
      <c r="N592" s="1" t="n"/>
      <c r="O592" s="1" t="n"/>
      <c r="P592" s="1" t="n"/>
    </row>
    <row r="593" ht="15.75" customHeight="1" s="311">
      <c r="A593" s="1" t="n"/>
      <c r="B593" s="1" t="n"/>
      <c r="C593" s="1" t="n"/>
      <c r="D593" s="1" t="n"/>
      <c r="E593" s="1" t="n"/>
      <c r="F593" s="1" t="n"/>
      <c r="G593" s="1" t="n"/>
      <c r="H593" s="1" t="n"/>
      <c r="I593" s="1" t="n"/>
      <c r="J593" s="1" t="n"/>
      <c r="K593" s="1" t="n"/>
      <c r="L593" s="1" t="n"/>
      <c r="M593" s="1" t="n"/>
      <c r="N593" s="1" t="n"/>
      <c r="O593" s="1" t="n"/>
      <c r="P593" s="1" t="n"/>
    </row>
    <row r="594" ht="15.75" customHeight="1" s="311">
      <c r="A594" s="1" t="n"/>
      <c r="B594" s="1" t="n"/>
      <c r="C594" s="1" t="n"/>
      <c r="D594" s="1" t="n"/>
      <c r="E594" s="1" t="n"/>
      <c r="F594" s="1" t="n"/>
      <c r="G594" s="1" t="n"/>
      <c r="H594" s="1" t="n"/>
      <c r="I594" s="1" t="n"/>
      <c r="J594" s="1" t="n"/>
      <c r="K594" s="1" t="n"/>
      <c r="L594" s="1" t="n"/>
      <c r="M594" s="1" t="n"/>
      <c r="N594" s="1" t="n"/>
      <c r="O594" s="1" t="n"/>
      <c r="P594" s="1" t="n"/>
    </row>
    <row r="595" ht="15.75" customHeight="1" s="311">
      <c r="A595" s="1" t="n"/>
      <c r="B595" s="1" t="n"/>
      <c r="C595" s="1" t="n"/>
      <c r="D595" s="1" t="n"/>
      <c r="E595" s="1" t="n"/>
      <c r="F595" s="1" t="n"/>
      <c r="G595" s="1" t="n"/>
      <c r="H595" s="1" t="n"/>
      <c r="I595" s="1" t="n"/>
      <c r="J595" s="1" t="n"/>
      <c r="K595" s="1" t="n"/>
      <c r="L595" s="1" t="n"/>
      <c r="M595" s="1" t="n"/>
      <c r="N595" s="1" t="n"/>
      <c r="O595" s="1" t="n"/>
      <c r="P595" s="1" t="n"/>
    </row>
    <row r="596" ht="15.75" customHeight="1" s="311">
      <c r="A596" s="1" t="n"/>
      <c r="B596" s="1" t="n"/>
      <c r="C596" s="1" t="n"/>
      <c r="D596" s="1" t="n"/>
      <c r="E596" s="1" t="n"/>
      <c r="F596" s="1" t="n"/>
      <c r="G596" s="1" t="n"/>
      <c r="H596" s="1" t="n"/>
      <c r="I596" s="1" t="n"/>
      <c r="J596" s="1" t="n"/>
      <c r="K596" s="1" t="n"/>
      <c r="L596" s="1" t="n"/>
      <c r="M596" s="1" t="n"/>
      <c r="N596" s="1" t="n"/>
      <c r="O596" s="1" t="n"/>
      <c r="P596" s="1" t="n"/>
    </row>
    <row r="597" ht="15.75" customHeight="1" s="311">
      <c r="A597" s="1" t="n"/>
      <c r="B597" s="1" t="n"/>
      <c r="C597" s="1" t="n"/>
      <c r="D597" s="1" t="n"/>
      <c r="E597" s="1" t="n"/>
      <c r="F597" s="1" t="n"/>
      <c r="G597" s="1" t="n"/>
      <c r="H597" s="1" t="n"/>
      <c r="I597" s="1" t="n"/>
      <c r="J597" s="1" t="n"/>
      <c r="K597" s="1" t="n"/>
      <c r="L597" s="1" t="n"/>
      <c r="M597" s="1" t="n"/>
      <c r="N597" s="1" t="n"/>
      <c r="O597" s="1" t="n"/>
      <c r="P597" s="1" t="n"/>
    </row>
    <row r="598" ht="15.75" customHeight="1" s="311">
      <c r="A598" s="1" t="n"/>
      <c r="B598" s="1" t="n"/>
      <c r="C598" s="1" t="n"/>
      <c r="D598" s="1" t="n"/>
      <c r="E598" s="1" t="n"/>
      <c r="F598" s="1" t="n"/>
      <c r="G598" s="1" t="n"/>
      <c r="H598" s="1" t="n"/>
      <c r="I598" s="1" t="n"/>
      <c r="J598" s="1" t="n"/>
      <c r="K598" s="1" t="n"/>
      <c r="L598" s="1" t="n"/>
      <c r="M598" s="1" t="n"/>
      <c r="N598" s="1" t="n"/>
      <c r="O598" s="1" t="n"/>
      <c r="P598" s="1" t="n"/>
    </row>
    <row r="599" ht="15.75" customHeight="1" s="311">
      <c r="A599" s="1" t="n"/>
      <c r="B599" s="1" t="n"/>
      <c r="C599" s="1" t="n"/>
      <c r="D599" s="1" t="n"/>
      <c r="E599" s="1" t="n"/>
      <c r="F599" s="1" t="n"/>
      <c r="G599" s="1" t="n"/>
      <c r="H599" s="1" t="n"/>
      <c r="I599" s="1" t="n"/>
      <c r="J599" s="1" t="n"/>
      <c r="K599" s="1" t="n"/>
      <c r="L599" s="1" t="n"/>
      <c r="M599" s="1" t="n"/>
      <c r="N599" s="1" t="n"/>
      <c r="O599" s="1" t="n"/>
      <c r="P599" s="1" t="n"/>
    </row>
    <row r="600" ht="15.75" customHeight="1" s="311">
      <c r="A600" s="1" t="n"/>
      <c r="B600" s="1" t="n"/>
      <c r="C600" s="1" t="n"/>
      <c r="D600" s="1" t="n"/>
      <c r="E600" s="1" t="n"/>
      <c r="F600" s="1" t="n"/>
      <c r="G600" s="1" t="n"/>
      <c r="H600" s="1" t="n"/>
      <c r="I600" s="1" t="n"/>
      <c r="J600" s="1" t="n"/>
      <c r="K600" s="1" t="n"/>
      <c r="L600" s="1" t="n"/>
      <c r="M600" s="1" t="n"/>
      <c r="N600" s="1" t="n"/>
      <c r="O600" s="1" t="n"/>
      <c r="P600" s="1" t="n"/>
    </row>
    <row r="601" ht="15.75" customHeight="1" s="311">
      <c r="A601" s="1" t="n"/>
      <c r="B601" s="1" t="n"/>
      <c r="C601" s="1" t="n"/>
      <c r="D601" s="1" t="n"/>
      <c r="E601" s="1" t="n"/>
      <c r="F601" s="1" t="n"/>
      <c r="G601" s="1" t="n"/>
      <c r="H601" s="1" t="n"/>
      <c r="I601" s="1" t="n"/>
      <c r="J601" s="1" t="n"/>
      <c r="K601" s="1" t="n"/>
      <c r="L601" s="1" t="n"/>
      <c r="M601" s="1" t="n"/>
      <c r="N601" s="1" t="n"/>
      <c r="O601" s="1" t="n"/>
      <c r="P601" s="1" t="n"/>
    </row>
    <row r="602" ht="15.75" customHeight="1" s="311">
      <c r="A602" s="1" t="n"/>
      <c r="B602" s="1" t="n"/>
      <c r="C602" s="1" t="n"/>
      <c r="D602" s="1" t="n"/>
      <c r="E602" s="1" t="n"/>
      <c r="F602" s="1" t="n"/>
      <c r="G602" s="1" t="n"/>
      <c r="H602" s="1" t="n"/>
      <c r="I602" s="1" t="n"/>
      <c r="J602" s="1" t="n"/>
      <c r="K602" s="1" t="n"/>
      <c r="L602" s="1" t="n"/>
      <c r="M602" s="1" t="n"/>
      <c r="N602" s="1" t="n"/>
      <c r="O602" s="1" t="n"/>
      <c r="P602" s="1" t="n"/>
    </row>
    <row r="603" ht="15.75" customHeight="1" s="311">
      <c r="A603" s="1" t="n"/>
      <c r="B603" s="1" t="n"/>
      <c r="C603" s="1" t="n"/>
      <c r="D603" s="1" t="n"/>
      <c r="E603" s="1" t="n"/>
      <c r="F603" s="1" t="n"/>
      <c r="G603" s="1" t="n"/>
      <c r="H603" s="1" t="n"/>
      <c r="I603" s="1" t="n"/>
      <c r="J603" s="1" t="n"/>
      <c r="K603" s="1" t="n"/>
      <c r="L603" s="1" t="n"/>
      <c r="M603" s="1" t="n"/>
      <c r="N603" s="1" t="n"/>
      <c r="O603" s="1" t="n"/>
      <c r="P603" s="1" t="n"/>
    </row>
    <row r="604" ht="15.75" customHeight="1" s="311">
      <c r="A604" s="1" t="n"/>
      <c r="B604" s="1" t="n"/>
      <c r="C604" s="1" t="n"/>
      <c r="D604" s="1" t="n"/>
      <c r="E604" s="1" t="n"/>
      <c r="F604" s="1" t="n"/>
      <c r="G604" s="1" t="n"/>
      <c r="H604" s="1" t="n"/>
      <c r="I604" s="1" t="n"/>
      <c r="J604" s="1" t="n"/>
      <c r="K604" s="1" t="n"/>
      <c r="L604" s="1" t="n"/>
      <c r="M604" s="1" t="n"/>
      <c r="N604" s="1" t="n"/>
      <c r="O604" s="1" t="n"/>
      <c r="P604" s="1" t="n"/>
    </row>
    <row r="605" ht="15.75" customHeight="1" s="311">
      <c r="A605" s="1" t="n"/>
      <c r="B605" s="1" t="n"/>
      <c r="C605" s="1" t="n"/>
      <c r="D605" s="1" t="n"/>
      <c r="E605" s="1" t="n"/>
      <c r="F605" s="1" t="n"/>
      <c r="G605" s="1" t="n"/>
      <c r="H605" s="1" t="n"/>
      <c r="I605" s="1" t="n"/>
      <c r="J605" s="1" t="n"/>
      <c r="K605" s="1" t="n"/>
      <c r="L605" s="1" t="n"/>
      <c r="M605" s="1" t="n"/>
      <c r="N605" s="1" t="n"/>
      <c r="O605" s="1" t="n"/>
      <c r="P605" s="1" t="n"/>
    </row>
    <row r="606" ht="15.75" customHeight="1" s="311">
      <c r="A606" s="1" t="n"/>
      <c r="B606" s="1" t="n"/>
      <c r="C606" s="1" t="n"/>
      <c r="D606" s="1" t="n"/>
      <c r="E606" s="1" t="n"/>
      <c r="F606" s="1" t="n"/>
      <c r="G606" s="1" t="n"/>
      <c r="H606" s="1" t="n"/>
      <c r="I606" s="1" t="n"/>
      <c r="J606" s="1" t="n"/>
      <c r="K606" s="1" t="n"/>
      <c r="L606" s="1" t="n"/>
      <c r="M606" s="1" t="n"/>
      <c r="N606" s="1" t="n"/>
      <c r="O606" s="1" t="n"/>
      <c r="P606" s="1" t="n"/>
    </row>
    <row r="607" ht="15.75" customHeight="1" s="311">
      <c r="A607" s="1" t="n"/>
      <c r="B607" s="1" t="n"/>
      <c r="C607" s="1" t="n"/>
      <c r="D607" s="1" t="n"/>
      <c r="E607" s="1" t="n"/>
      <c r="F607" s="1" t="n"/>
      <c r="G607" s="1" t="n"/>
      <c r="H607" s="1" t="n"/>
      <c r="I607" s="1" t="n"/>
      <c r="J607" s="1" t="n"/>
      <c r="K607" s="1" t="n"/>
      <c r="L607" s="1" t="n"/>
      <c r="M607" s="1" t="n"/>
      <c r="N607" s="1" t="n"/>
      <c r="O607" s="1" t="n"/>
      <c r="P607" s="1" t="n"/>
    </row>
    <row r="608" ht="15.75" customHeight="1" s="311">
      <c r="A608" s="1" t="n"/>
      <c r="B608" s="1" t="n"/>
      <c r="C608" s="1" t="n"/>
      <c r="D608" s="1" t="n"/>
      <c r="E608" s="1" t="n"/>
      <c r="F608" s="1" t="n"/>
      <c r="G608" s="1" t="n"/>
      <c r="H608" s="1" t="n"/>
      <c r="I608" s="1" t="n"/>
      <c r="J608" s="1" t="n"/>
      <c r="K608" s="1" t="n"/>
      <c r="L608" s="1" t="n"/>
      <c r="M608" s="1" t="n"/>
      <c r="N608" s="1" t="n"/>
      <c r="O608" s="1" t="n"/>
      <c r="P608" s="1" t="n"/>
    </row>
    <row r="609" ht="15.75" customHeight="1" s="311">
      <c r="A609" s="1" t="n"/>
      <c r="B609" s="1" t="n"/>
      <c r="C609" s="1" t="n"/>
      <c r="D609" s="1" t="n"/>
      <c r="E609" s="1" t="n"/>
      <c r="F609" s="1" t="n"/>
      <c r="G609" s="1" t="n"/>
      <c r="H609" s="1" t="n"/>
      <c r="I609" s="1" t="n"/>
      <c r="J609" s="1" t="n"/>
      <c r="K609" s="1" t="n"/>
      <c r="L609" s="1" t="n"/>
      <c r="M609" s="1" t="n"/>
      <c r="N609" s="1" t="n"/>
      <c r="O609" s="1" t="n"/>
      <c r="P609" s="1" t="n"/>
    </row>
    <row r="610" ht="15.75" customHeight="1" s="311">
      <c r="A610" s="1" t="n"/>
      <c r="B610" s="1" t="n"/>
      <c r="C610" s="1" t="n"/>
      <c r="D610" s="1" t="n"/>
      <c r="E610" s="1" t="n"/>
      <c r="F610" s="1" t="n"/>
      <c r="G610" s="1" t="n"/>
      <c r="H610" s="1" t="n"/>
      <c r="I610" s="1" t="n"/>
      <c r="J610" s="1" t="n"/>
      <c r="K610" s="1" t="n"/>
      <c r="L610" s="1" t="n"/>
      <c r="M610" s="1" t="n"/>
      <c r="N610" s="1" t="n"/>
      <c r="O610" s="1" t="n"/>
      <c r="P610" s="1" t="n"/>
    </row>
    <row r="611" ht="15.75" customHeight="1" s="311">
      <c r="A611" s="1" t="n"/>
      <c r="B611" s="1" t="n"/>
      <c r="C611" s="1" t="n"/>
      <c r="D611" s="1" t="n"/>
      <c r="E611" s="1" t="n"/>
      <c r="F611" s="1" t="n"/>
      <c r="G611" s="1" t="n"/>
      <c r="H611" s="1" t="n"/>
      <c r="I611" s="1" t="n"/>
      <c r="J611" s="1" t="n"/>
      <c r="K611" s="1" t="n"/>
      <c r="L611" s="1" t="n"/>
      <c r="M611" s="1" t="n"/>
      <c r="N611" s="1" t="n"/>
      <c r="O611" s="1" t="n"/>
      <c r="P611" s="1" t="n"/>
    </row>
    <row r="612" ht="15.75" customHeight="1" s="311">
      <c r="A612" s="1" t="n"/>
      <c r="B612" s="1" t="n"/>
      <c r="C612" s="1" t="n"/>
      <c r="D612" s="1" t="n"/>
      <c r="E612" s="1" t="n"/>
      <c r="F612" s="1" t="n"/>
      <c r="G612" s="1" t="n"/>
      <c r="H612" s="1" t="n"/>
      <c r="I612" s="1" t="n"/>
      <c r="J612" s="1" t="n"/>
      <c r="K612" s="1" t="n"/>
      <c r="L612" s="1" t="n"/>
      <c r="M612" s="1" t="n"/>
      <c r="N612" s="1" t="n"/>
      <c r="O612" s="1" t="n"/>
      <c r="P612" s="1" t="n"/>
    </row>
    <row r="613" ht="15.75" customHeight="1" s="311">
      <c r="A613" s="1" t="n"/>
      <c r="B613" s="1" t="n"/>
      <c r="C613" s="1" t="n"/>
      <c r="D613" s="1" t="n"/>
      <c r="E613" s="1" t="n"/>
      <c r="F613" s="1" t="n"/>
      <c r="G613" s="1" t="n"/>
      <c r="H613" s="1" t="n"/>
      <c r="I613" s="1" t="n"/>
      <c r="J613" s="1" t="n"/>
      <c r="K613" s="1" t="n"/>
      <c r="L613" s="1" t="n"/>
      <c r="M613" s="1" t="n"/>
      <c r="N613" s="1" t="n"/>
      <c r="O613" s="1" t="n"/>
      <c r="P613" s="1" t="n"/>
    </row>
    <row r="614" ht="15.75" customHeight="1" s="311">
      <c r="A614" s="1" t="n"/>
      <c r="B614" s="1" t="n"/>
      <c r="C614" s="1" t="n"/>
      <c r="D614" s="1" t="n"/>
      <c r="E614" s="1" t="n"/>
      <c r="F614" s="1" t="n"/>
      <c r="G614" s="1" t="n"/>
      <c r="H614" s="1" t="n"/>
      <c r="I614" s="1" t="n"/>
      <c r="J614" s="1" t="n"/>
      <c r="K614" s="1" t="n"/>
      <c r="L614" s="1" t="n"/>
      <c r="M614" s="1" t="n"/>
      <c r="N614" s="1" t="n"/>
      <c r="O614" s="1" t="n"/>
      <c r="P614" s="1" t="n"/>
    </row>
    <row r="615" ht="15.75" customHeight="1" s="311">
      <c r="A615" s="1" t="n"/>
      <c r="B615" s="1" t="n"/>
      <c r="C615" s="1" t="n"/>
      <c r="D615" s="1" t="n"/>
      <c r="E615" s="1" t="n"/>
      <c r="F615" s="1" t="n"/>
      <c r="G615" s="1" t="n"/>
      <c r="H615" s="1" t="n"/>
      <c r="I615" s="1" t="n"/>
      <c r="J615" s="1" t="n"/>
      <c r="K615" s="1" t="n"/>
      <c r="L615" s="1" t="n"/>
      <c r="M615" s="1" t="n"/>
      <c r="N615" s="1" t="n"/>
      <c r="O615" s="1" t="n"/>
      <c r="P615" s="1" t="n"/>
    </row>
    <row r="616" ht="15.75" customHeight="1" s="311">
      <c r="A616" s="1" t="n"/>
      <c r="B616" s="1" t="n"/>
      <c r="C616" s="1" t="n"/>
      <c r="D616" s="1" t="n"/>
      <c r="E616" s="1" t="n"/>
      <c r="F616" s="1" t="n"/>
      <c r="G616" s="1" t="n"/>
      <c r="H616" s="1" t="n"/>
      <c r="I616" s="1" t="n"/>
      <c r="J616" s="1" t="n"/>
      <c r="K616" s="1" t="n"/>
      <c r="L616" s="1" t="n"/>
      <c r="M616" s="1" t="n"/>
      <c r="N616" s="1" t="n"/>
      <c r="O616" s="1" t="n"/>
      <c r="P616" s="1" t="n"/>
    </row>
    <row r="617" ht="15.75" customHeight="1" s="311">
      <c r="A617" s="1" t="n"/>
      <c r="B617" s="1" t="n"/>
      <c r="C617" s="1" t="n"/>
      <c r="D617" s="1" t="n"/>
      <c r="E617" s="1" t="n"/>
      <c r="F617" s="1" t="n"/>
      <c r="G617" s="1" t="n"/>
      <c r="H617" s="1" t="n"/>
      <c r="I617" s="1" t="n"/>
      <c r="J617" s="1" t="n"/>
      <c r="K617" s="1" t="n"/>
      <c r="L617" s="1" t="n"/>
      <c r="M617" s="1" t="n"/>
      <c r="N617" s="1" t="n"/>
      <c r="O617" s="1" t="n"/>
      <c r="P617" s="1" t="n"/>
    </row>
    <row r="618" ht="15.75" customHeight="1" s="311">
      <c r="A618" s="1" t="n"/>
      <c r="B618" s="1" t="n"/>
      <c r="C618" s="1" t="n"/>
      <c r="D618" s="1" t="n"/>
      <c r="E618" s="1" t="n"/>
      <c r="F618" s="1" t="n"/>
      <c r="G618" s="1" t="n"/>
      <c r="H618" s="1" t="n"/>
      <c r="I618" s="1" t="n"/>
      <c r="J618" s="1" t="n"/>
      <c r="K618" s="1" t="n"/>
      <c r="L618" s="1" t="n"/>
      <c r="M618" s="1" t="n"/>
      <c r="N618" s="1" t="n"/>
      <c r="O618" s="1" t="n"/>
      <c r="P618" s="1" t="n"/>
    </row>
    <row r="619" ht="15.75" customHeight="1" s="311">
      <c r="A619" s="1" t="n"/>
      <c r="B619" s="1" t="n"/>
      <c r="C619" s="1" t="n"/>
      <c r="D619" s="1" t="n"/>
      <c r="E619" s="1" t="n"/>
      <c r="F619" s="1" t="n"/>
      <c r="G619" s="1" t="n"/>
      <c r="H619" s="1" t="n"/>
      <c r="I619" s="1" t="n"/>
      <c r="J619" s="1" t="n"/>
      <c r="K619" s="1" t="n"/>
      <c r="L619" s="1" t="n"/>
      <c r="M619" s="1" t="n"/>
      <c r="N619" s="1" t="n"/>
      <c r="O619" s="1" t="n"/>
      <c r="P619" s="1" t="n"/>
    </row>
    <row r="620" ht="15.75" customHeight="1" s="311">
      <c r="A620" s="1" t="n"/>
      <c r="B620" s="1" t="n"/>
      <c r="C620" s="1" t="n"/>
      <c r="D620" s="1" t="n"/>
      <c r="E620" s="1" t="n"/>
      <c r="F620" s="1" t="n"/>
      <c r="G620" s="1" t="n"/>
      <c r="H620" s="1" t="n"/>
      <c r="I620" s="1" t="n"/>
      <c r="J620" s="1" t="n"/>
      <c r="K620" s="1" t="n"/>
      <c r="L620" s="1" t="n"/>
      <c r="M620" s="1" t="n"/>
      <c r="N620" s="1" t="n"/>
      <c r="O620" s="1" t="n"/>
      <c r="P620" s="1" t="n"/>
    </row>
    <row r="621" ht="15.75" customHeight="1" s="311">
      <c r="A621" s="1" t="n"/>
      <c r="B621" s="1" t="n"/>
      <c r="C621" s="1" t="n"/>
      <c r="D621" s="1" t="n"/>
      <c r="E621" s="1" t="n"/>
      <c r="F621" s="1" t="n"/>
      <c r="G621" s="1" t="n"/>
      <c r="H621" s="1" t="n"/>
      <c r="I621" s="1" t="n"/>
      <c r="J621" s="1" t="n"/>
      <c r="K621" s="1" t="n"/>
      <c r="L621" s="1" t="n"/>
      <c r="M621" s="1" t="n"/>
      <c r="N621" s="1" t="n"/>
      <c r="O621" s="1" t="n"/>
      <c r="P621" s="1" t="n"/>
    </row>
    <row r="622" ht="15.75" customHeight="1" s="311">
      <c r="A622" s="1" t="n"/>
      <c r="B622" s="1" t="n"/>
      <c r="C622" s="1" t="n"/>
      <c r="D622" s="1" t="n"/>
      <c r="E622" s="1" t="n"/>
      <c r="F622" s="1" t="n"/>
      <c r="G622" s="1" t="n"/>
      <c r="H622" s="1" t="n"/>
      <c r="I622" s="1" t="n"/>
      <c r="J622" s="1" t="n"/>
      <c r="K622" s="1" t="n"/>
      <c r="L622" s="1" t="n"/>
      <c r="M622" s="1" t="n"/>
      <c r="N622" s="1" t="n"/>
      <c r="O622" s="1" t="n"/>
      <c r="P622" s="1" t="n"/>
    </row>
    <row r="623" ht="15.75" customHeight="1" s="311">
      <c r="A623" s="1" t="n"/>
      <c r="B623" s="1" t="n"/>
      <c r="C623" s="1" t="n"/>
      <c r="D623" s="1" t="n"/>
      <c r="E623" s="1" t="n"/>
      <c r="F623" s="1" t="n"/>
      <c r="G623" s="1" t="n"/>
      <c r="H623" s="1" t="n"/>
      <c r="I623" s="1" t="n"/>
      <c r="J623" s="1" t="n"/>
      <c r="K623" s="1" t="n"/>
      <c r="L623" s="1" t="n"/>
      <c r="M623" s="1" t="n"/>
      <c r="N623" s="1" t="n"/>
      <c r="O623" s="1" t="n"/>
      <c r="P623" s="1" t="n"/>
    </row>
    <row r="624" ht="15.75" customHeight="1" s="311">
      <c r="A624" s="1" t="n"/>
      <c r="B624" s="1" t="n"/>
      <c r="C624" s="1" t="n"/>
      <c r="D624" s="1" t="n"/>
      <c r="E624" s="1" t="n"/>
      <c r="F624" s="1" t="n"/>
      <c r="G624" s="1" t="n"/>
      <c r="H624" s="1" t="n"/>
      <c r="I624" s="1" t="n"/>
      <c r="J624" s="1" t="n"/>
      <c r="K624" s="1" t="n"/>
      <c r="L624" s="1" t="n"/>
      <c r="M624" s="1" t="n"/>
      <c r="N624" s="1" t="n"/>
      <c r="O624" s="1" t="n"/>
      <c r="P624" s="1" t="n"/>
    </row>
    <row r="625" ht="15.75" customHeight="1" s="311">
      <c r="A625" s="1" t="n"/>
      <c r="B625" s="1" t="n"/>
      <c r="C625" s="1" t="n"/>
      <c r="D625" s="1" t="n"/>
      <c r="E625" s="1" t="n"/>
      <c r="F625" s="1" t="n"/>
      <c r="G625" s="1" t="n"/>
      <c r="H625" s="1" t="n"/>
      <c r="I625" s="1" t="n"/>
      <c r="J625" s="1" t="n"/>
      <c r="K625" s="1" t="n"/>
      <c r="L625" s="1" t="n"/>
      <c r="M625" s="1" t="n"/>
      <c r="N625" s="1" t="n"/>
      <c r="O625" s="1" t="n"/>
      <c r="P625" s="1" t="n"/>
    </row>
    <row r="626" ht="15.75" customHeight="1" s="311">
      <c r="A626" s="1" t="n"/>
      <c r="B626" s="1" t="n"/>
      <c r="C626" s="1" t="n"/>
      <c r="D626" s="1" t="n"/>
      <c r="E626" s="1" t="n"/>
      <c r="F626" s="1" t="n"/>
      <c r="G626" s="1" t="n"/>
      <c r="H626" s="1" t="n"/>
      <c r="I626" s="1" t="n"/>
      <c r="J626" s="1" t="n"/>
      <c r="K626" s="1" t="n"/>
      <c r="L626" s="1" t="n"/>
      <c r="M626" s="1" t="n"/>
      <c r="N626" s="1" t="n"/>
      <c r="O626" s="1" t="n"/>
      <c r="P626" s="1" t="n"/>
    </row>
    <row r="627" ht="15.75" customHeight="1" s="311">
      <c r="A627" s="1" t="n"/>
      <c r="B627" s="1" t="n"/>
      <c r="C627" s="1" t="n"/>
      <c r="D627" s="1" t="n"/>
      <c r="E627" s="1" t="n"/>
      <c r="F627" s="1" t="n"/>
      <c r="G627" s="1" t="n"/>
      <c r="H627" s="1" t="n"/>
      <c r="I627" s="1" t="n"/>
      <c r="J627" s="1" t="n"/>
      <c r="K627" s="1" t="n"/>
      <c r="L627" s="1" t="n"/>
      <c r="M627" s="1" t="n"/>
      <c r="N627" s="1" t="n"/>
      <c r="O627" s="1" t="n"/>
      <c r="P627" s="1" t="n"/>
    </row>
    <row r="628" ht="15.75" customHeight="1" s="311">
      <c r="A628" s="1" t="n"/>
      <c r="B628" s="1" t="n"/>
      <c r="C628" s="1" t="n"/>
      <c r="D628" s="1" t="n"/>
      <c r="E628" s="1" t="n"/>
      <c r="F628" s="1" t="n"/>
      <c r="G628" s="1" t="n"/>
      <c r="H628" s="1" t="n"/>
      <c r="I628" s="1" t="n"/>
      <c r="J628" s="1" t="n"/>
      <c r="K628" s="1" t="n"/>
      <c r="L628" s="1" t="n"/>
      <c r="M628" s="1" t="n"/>
      <c r="N628" s="1" t="n"/>
      <c r="O628" s="1" t="n"/>
      <c r="P628" s="1" t="n"/>
    </row>
    <row r="629" ht="15.75" customHeight="1" s="311">
      <c r="A629" s="1" t="n"/>
      <c r="B629" s="1" t="n"/>
      <c r="C629" s="1" t="n"/>
      <c r="D629" s="1" t="n"/>
      <c r="E629" s="1" t="n"/>
      <c r="F629" s="1" t="n"/>
      <c r="G629" s="1" t="n"/>
      <c r="H629" s="1" t="n"/>
      <c r="I629" s="1" t="n"/>
      <c r="J629" s="1" t="n"/>
      <c r="K629" s="1" t="n"/>
      <c r="L629" s="1" t="n"/>
      <c r="M629" s="1" t="n"/>
      <c r="N629" s="1" t="n"/>
      <c r="O629" s="1" t="n"/>
      <c r="P629" s="1" t="n"/>
    </row>
    <row r="630" ht="15.75" customHeight="1" s="311">
      <c r="A630" s="1" t="n"/>
      <c r="B630" s="1" t="n"/>
      <c r="C630" s="1" t="n"/>
      <c r="D630" s="1" t="n"/>
      <c r="E630" s="1" t="n"/>
      <c r="F630" s="1" t="n"/>
      <c r="G630" s="1" t="n"/>
      <c r="H630" s="1" t="n"/>
      <c r="I630" s="1" t="n"/>
      <c r="J630" s="1" t="n"/>
      <c r="K630" s="1" t="n"/>
      <c r="L630" s="1" t="n"/>
      <c r="M630" s="1" t="n"/>
      <c r="N630" s="1" t="n"/>
      <c r="O630" s="1" t="n"/>
      <c r="P630" s="1" t="n"/>
    </row>
    <row r="631" ht="15.75" customHeight="1" s="311">
      <c r="A631" s="1" t="n"/>
      <c r="B631" s="1" t="n"/>
      <c r="C631" s="1" t="n"/>
      <c r="D631" s="1" t="n"/>
      <c r="E631" s="1" t="n"/>
      <c r="F631" s="1" t="n"/>
      <c r="G631" s="1" t="n"/>
      <c r="H631" s="1" t="n"/>
      <c r="I631" s="1" t="n"/>
      <c r="J631" s="1" t="n"/>
      <c r="K631" s="1" t="n"/>
      <c r="L631" s="1" t="n"/>
      <c r="M631" s="1" t="n"/>
      <c r="N631" s="1" t="n"/>
      <c r="O631" s="1" t="n"/>
      <c r="P631" s="1" t="n"/>
    </row>
    <row r="632" ht="15.75" customHeight="1" s="311">
      <c r="A632" s="1" t="n"/>
      <c r="B632" s="1" t="n"/>
      <c r="C632" s="1" t="n"/>
      <c r="D632" s="1" t="n"/>
      <c r="E632" s="1" t="n"/>
      <c r="F632" s="1" t="n"/>
      <c r="G632" s="1" t="n"/>
      <c r="H632" s="1" t="n"/>
      <c r="I632" s="1" t="n"/>
      <c r="J632" s="1" t="n"/>
      <c r="K632" s="1" t="n"/>
      <c r="L632" s="1" t="n"/>
      <c r="M632" s="1" t="n"/>
      <c r="N632" s="1" t="n"/>
      <c r="O632" s="1" t="n"/>
      <c r="P632" s="1" t="n"/>
    </row>
    <row r="633" ht="15.75" customHeight="1" s="311">
      <c r="A633" s="1" t="n"/>
      <c r="B633" s="1" t="n"/>
      <c r="C633" s="1" t="n"/>
      <c r="D633" s="1" t="n"/>
      <c r="E633" s="1" t="n"/>
      <c r="F633" s="1" t="n"/>
      <c r="G633" s="1" t="n"/>
      <c r="H633" s="1" t="n"/>
      <c r="I633" s="1" t="n"/>
      <c r="J633" s="1" t="n"/>
      <c r="K633" s="1" t="n"/>
      <c r="L633" s="1" t="n"/>
      <c r="M633" s="1" t="n"/>
      <c r="N633" s="1" t="n"/>
      <c r="O633" s="1" t="n"/>
      <c r="P633" s="1" t="n"/>
    </row>
    <row r="634" ht="15.75" customHeight="1" s="311">
      <c r="A634" s="1" t="n"/>
      <c r="B634" s="1" t="n"/>
      <c r="C634" s="1" t="n"/>
      <c r="D634" s="1" t="n"/>
      <c r="E634" s="1" t="n"/>
      <c r="F634" s="1" t="n"/>
      <c r="G634" s="1" t="n"/>
      <c r="H634" s="1" t="n"/>
      <c r="I634" s="1" t="n"/>
      <c r="J634" s="1" t="n"/>
      <c r="K634" s="1" t="n"/>
      <c r="L634" s="1" t="n"/>
      <c r="M634" s="1" t="n"/>
      <c r="N634" s="1" t="n"/>
      <c r="O634" s="1" t="n"/>
      <c r="P634" s="1" t="n"/>
    </row>
    <row r="635" ht="15.75" customHeight="1" s="311">
      <c r="A635" s="1" t="n"/>
      <c r="B635" s="1" t="n"/>
      <c r="C635" s="1" t="n"/>
      <c r="D635" s="1" t="n"/>
      <c r="E635" s="1" t="n"/>
      <c r="F635" s="1" t="n"/>
      <c r="G635" s="1" t="n"/>
      <c r="H635" s="1" t="n"/>
      <c r="I635" s="1" t="n"/>
      <c r="J635" s="1" t="n"/>
      <c r="K635" s="1" t="n"/>
      <c r="L635" s="1" t="n"/>
      <c r="M635" s="1" t="n"/>
      <c r="N635" s="1" t="n"/>
      <c r="O635" s="1" t="n"/>
      <c r="P635" s="1" t="n"/>
    </row>
    <row r="636" ht="15.75" customHeight="1" s="311">
      <c r="A636" s="1" t="n"/>
      <c r="B636" s="1" t="n"/>
      <c r="C636" s="1" t="n"/>
      <c r="D636" s="1" t="n"/>
      <c r="E636" s="1" t="n"/>
      <c r="F636" s="1" t="n"/>
      <c r="G636" s="1" t="n"/>
      <c r="H636" s="1" t="n"/>
      <c r="I636" s="1" t="n"/>
      <c r="J636" s="1" t="n"/>
      <c r="K636" s="1" t="n"/>
      <c r="L636" s="1" t="n"/>
      <c r="M636" s="1" t="n"/>
      <c r="N636" s="1" t="n"/>
      <c r="O636" s="1" t="n"/>
      <c r="P636" s="1" t="n"/>
    </row>
    <row r="637" ht="15.75" customHeight="1" s="311">
      <c r="A637" s="1" t="n"/>
      <c r="B637" s="1" t="n"/>
      <c r="C637" s="1" t="n"/>
      <c r="D637" s="1" t="n"/>
      <c r="E637" s="1" t="n"/>
      <c r="F637" s="1" t="n"/>
      <c r="G637" s="1" t="n"/>
      <c r="H637" s="1" t="n"/>
      <c r="I637" s="1" t="n"/>
      <c r="J637" s="1" t="n"/>
      <c r="K637" s="1" t="n"/>
      <c r="L637" s="1" t="n"/>
      <c r="M637" s="1" t="n"/>
      <c r="N637" s="1" t="n"/>
      <c r="O637" s="1" t="n"/>
      <c r="P637" s="1" t="n"/>
    </row>
    <row r="638" ht="15.75" customHeight="1" s="311">
      <c r="A638" s="1" t="n"/>
      <c r="B638" s="1" t="n"/>
      <c r="C638" s="1" t="n"/>
      <c r="D638" s="1" t="n"/>
      <c r="E638" s="1" t="n"/>
      <c r="F638" s="1" t="n"/>
      <c r="G638" s="1" t="n"/>
      <c r="H638" s="1" t="n"/>
      <c r="I638" s="1" t="n"/>
      <c r="J638" s="1" t="n"/>
      <c r="K638" s="1" t="n"/>
      <c r="L638" s="1" t="n"/>
      <c r="M638" s="1" t="n"/>
      <c r="N638" s="1" t="n"/>
      <c r="O638" s="1" t="n"/>
      <c r="P638" s="1" t="n"/>
    </row>
    <row r="639" ht="15.75" customHeight="1" s="311">
      <c r="A639" s="1" t="n"/>
      <c r="B639" s="1" t="n"/>
      <c r="C639" s="1" t="n"/>
      <c r="D639" s="1" t="n"/>
      <c r="E639" s="1" t="n"/>
      <c r="F639" s="1" t="n"/>
      <c r="G639" s="1" t="n"/>
      <c r="H639" s="1" t="n"/>
      <c r="I639" s="1" t="n"/>
      <c r="J639" s="1" t="n"/>
      <c r="K639" s="1" t="n"/>
      <c r="L639" s="1" t="n"/>
      <c r="M639" s="1" t="n"/>
      <c r="N639" s="1" t="n"/>
      <c r="O639" s="1" t="n"/>
      <c r="P639" s="1" t="n"/>
    </row>
    <row r="640" ht="15.75" customHeight="1" s="311">
      <c r="A640" s="1" t="n"/>
      <c r="B640" s="1" t="n"/>
      <c r="C640" s="1" t="n"/>
      <c r="D640" s="1" t="n"/>
      <c r="E640" s="1" t="n"/>
      <c r="F640" s="1" t="n"/>
      <c r="G640" s="1" t="n"/>
      <c r="H640" s="1" t="n"/>
      <c r="I640" s="1" t="n"/>
      <c r="J640" s="1" t="n"/>
      <c r="K640" s="1" t="n"/>
      <c r="L640" s="1" t="n"/>
      <c r="M640" s="1" t="n"/>
      <c r="N640" s="1" t="n"/>
      <c r="O640" s="1" t="n"/>
      <c r="P640" s="1" t="n"/>
    </row>
    <row r="641" ht="15.75" customHeight="1" s="311">
      <c r="A641" s="1" t="n"/>
      <c r="B641" s="1" t="n"/>
      <c r="C641" s="1" t="n"/>
      <c r="D641" s="1" t="n"/>
      <c r="E641" s="1" t="n"/>
      <c r="F641" s="1" t="n"/>
      <c r="G641" s="1" t="n"/>
      <c r="H641" s="1" t="n"/>
      <c r="I641" s="1" t="n"/>
      <c r="J641" s="1" t="n"/>
      <c r="K641" s="1" t="n"/>
      <c r="L641" s="1" t="n"/>
      <c r="M641" s="1" t="n"/>
      <c r="N641" s="1" t="n"/>
      <c r="O641" s="1" t="n"/>
      <c r="P641" s="1" t="n"/>
    </row>
    <row r="642" ht="15.75" customHeight="1" s="311">
      <c r="A642" s="1" t="n"/>
      <c r="B642" s="1" t="n"/>
      <c r="C642" s="1" t="n"/>
      <c r="D642" s="1" t="n"/>
      <c r="E642" s="1" t="n"/>
      <c r="F642" s="1" t="n"/>
      <c r="G642" s="1" t="n"/>
      <c r="H642" s="1" t="n"/>
      <c r="I642" s="1" t="n"/>
      <c r="J642" s="1" t="n"/>
      <c r="K642" s="1" t="n"/>
      <c r="L642" s="1" t="n"/>
      <c r="M642" s="1" t="n"/>
      <c r="N642" s="1" t="n"/>
      <c r="O642" s="1" t="n"/>
      <c r="P642" s="1" t="n"/>
    </row>
    <row r="643" ht="15.75" customHeight="1" s="311">
      <c r="A643" s="1" t="n"/>
      <c r="B643" s="1" t="n"/>
      <c r="C643" s="1" t="n"/>
      <c r="D643" s="1" t="n"/>
      <c r="E643" s="1" t="n"/>
      <c r="F643" s="1" t="n"/>
      <c r="G643" s="1" t="n"/>
      <c r="H643" s="1" t="n"/>
      <c r="I643" s="1" t="n"/>
      <c r="J643" s="1" t="n"/>
      <c r="K643" s="1" t="n"/>
      <c r="L643" s="1" t="n"/>
      <c r="M643" s="1" t="n"/>
      <c r="N643" s="1" t="n"/>
      <c r="O643" s="1" t="n"/>
      <c r="P643" s="1" t="n"/>
    </row>
    <row r="644" ht="15.75" customHeight="1" s="311">
      <c r="A644" s="1" t="n"/>
      <c r="B644" s="1" t="n"/>
      <c r="C644" s="1" t="n"/>
      <c r="D644" s="1" t="n"/>
      <c r="E644" s="1" t="n"/>
      <c r="F644" s="1" t="n"/>
      <c r="G644" s="1" t="n"/>
      <c r="H644" s="1" t="n"/>
      <c r="I644" s="1" t="n"/>
      <c r="J644" s="1" t="n"/>
      <c r="K644" s="1" t="n"/>
      <c r="L644" s="1" t="n"/>
      <c r="M644" s="1" t="n"/>
      <c r="N644" s="1" t="n"/>
      <c r="O644" s="1" t="n"/>
      <c r="P644" s="1" t="n"/>
    </row>
    <row r="645" ht="15.75" customHeight="1" s="311">
      <c r="A645" s="1" t="n"/>
      <c r="B645" s="1" t="n"/>
      <c r="C645" s="1" t="n"/>
      <c r="D645" s="1" t="n"/>
      <c r="E645" s="1" t="n"/>
      <c r="F645" s="1" t="n"/>
      <c r="G645" s="1" t="n"/>
      <c r="H645" s="1" t="n"/>
      <c r="I645" s="1" t="n"/>
      <c r="J645" s="1" t="n"/>
      <c r="K645" s="1" t="n"/>
      <c r="L645" s="1" t="n"/>
      <c r="M645" s="1" t="n"/>
      <c r="N645" s="1" t="n"/>
      <c r="O645" s="1" t="n"/>
      <c r="P645" s="1" t="n"/>
    </row>
    <row r="646" ht="15.75" customHeight="1" s="311">
      <c r="A646" s="1" t="n"/>
      <c r="B646" s="1" t="n"/>
      <c r="C646" s="1" t="n"/>
      <c r="D646" s="1" t="n"/>
      <c r="E646" s="1" t="n"/>
      <c r="F646" s="1" t="n"/>
      <c r="G646" s="1" t="n"/>
      <c r="H646" s="1" t="n"/>
      <c r="I646" s="1" t="n"/>
      <c r="J646" s="1" t="n"/>
      <c r="K646" s="1" t="n"/>
      <c r="L646" s="1" t="n"/>
      <c r="M646" s="1" t="n"/>
      <c r="N646" s="1" t="n"/>
      <c r="O646" s="1" t="n"/>
      <c r="P646" s="1" t="n"/>
    </row>
    <row r="647" ht="15.75" customHeight="1" s="311">
      <c r="A647" s="1" t="n"/>
      <c r="B647" s="1" t="n"/>
      <c r="C647" s="1" t="n"/>
      <c r="D647" s="1" t="n"/>
      <c r="E647" s="1" t="n"/>
      <c r="F647" s="1" t="n"/>
      <c r="G647" s="1" t="n"/>
      <c r="H647" s="1" t="n"/>
      <c r="I647" s="1" t="n"/>
      <c r="J647" s="1" t="n"/>
      <c r="K647" s="1" t="n"/>
      <c r="L647" s="1" t="n"/>
      <c r="M647" s="1" t="n"/>
      <c r="N647" s="1" t="n"/>
      <c r="O647" s="1" t="n"/>
      <c r="P647" s="1" t="n"/>
    </row>
    <row r="648" ht="15.75" customHeight="1" s="311">
      <c r="A648" s="1" t="n"/>
      <c r="B648" s="1" t="n"/>
      <c r="C648" s="1" t="n"/>
      <c r="D648" s="1" t="n"/>
      <c r="E648" s="1" t="n"/>
      <c r="F648" s="1" t="n"/>
      <c r="G648" s="1" t="n"/>
      <c r="H648" s="1" t="n"/>
      <c r="I648" s="1" t="n"/>
      <c r="J648" s="1" t="n"/>
      <c r="K648" s="1" t="n"/>
      <c r="L648" s="1" t="n"/>
      <c r="M648" s="1" t="n"/>
      <c r="N648" s="1" t="n"/>
      <c r="O648" s="1" t="n"/>
      <c r="P648" s="1" t="n"/>
    </row>
    <row r="649" ht="15.75" customHeight="1" s="311">
      <c r="A649" s="1" t="n"/>
      <c r="B649" s="1" t="n"/>
      <c r="C649" s="1" t="n"/>
      <c r="D649" s="1" t="n"/>
      <c r="E649" s="1" t="n"/>
      <c r="F649" s="1" t="n"/>
      <c r="G649" s="1" t="n"/>
      <c r="H649" s="1" t="n"/>
      <c r="I649" s="1" t="n"/>
      <c r="J649" s="1" t="n"/>
      <c r="K649" s="1" t="n"/>
      <c r="L649" s="1" t="n"/>
      <c r="M649" s="1" t="n"/>
      <c r="N649" s="1" t="n"/>
      <c r="O649" s="1" t="n"/>
      <c r="P649" s="1" t="n"/>
    </row>
    <row r="650" ht="15.75" customHeight="1" s="311">
      <c r="A650" s="1" t="n"/>
      <c r="B650" s="1" t="n"/>
      <c r="C650" s="1" t="n"/>
      <c r="D650" s="1" t="n"/>
      <c r="E650" s="1" t="n"/>
      <c r="F650" s="1" t="n"/>
      <c r="G650" s="1" t="n"/>
      <c r="H650" s="1" t="n"/>
      <c r="I650" s="1" t="n"/>
      <c r="J650" s="1" t="n"/>
      <c r="K650" s="1" t="n"/>
      <c r="L650" s="1" t="n"/>
      <c r="M650" s="1" t="n"/>
      <c r="N650" s="1" t="n"/>
      <c r="O650" s="1" t="n"/>
      <c r="P650" s="1" t="n"/>
    </row>
    <row r="651" ht="15.75" customHeight="1" s="311">
      <c r="A651" s="1" t="n"/>
      <c r="B651" s="1" t="n"/>
      <c r="C651" s="1" t="n"/>
      <c r="D651" s="1" t="n"/>
      <c r="E651" s="1" t="n"/>
      <c r="F651" s="1" t="n"/>
      <c r="G651" s="1" t="n"/>
      <c r="H651" s="1" t="n"/>
      <c r="I651" s="1" t="n"/>
      <c r="J651" s="1" t="n"/>
      <c r="K651" s="1" t="n"/>
      <c r="L651" s="1" t="n"/>
      <c r="M651" s="1" t="n"/>
      <c r="N651" s="1" t="n"/>
      <c r="O651" s="1" t="n"/>
      <c r="P651" s="1" t="n"/>
    </row>
    <row r="652" ht="15.75" customHeight="1" s="311">
      <c r="A652" s="1" t="n"/>
      <c r="B652" s="1" t="n"/>
      <c r="C652" s="1" t="n"/>
      <c r="D652" s="1" t="n"/>
      <c r="E652" s="1" t="n"/>
      <c r="F652" s="1" t="n"/>
      <c r="G652" s="1" t="n"/>
      <c r="H652" s="1" t="n"/>
      <c r="I652" s="1" t="n"/>
      <c r="J652" s="1" t="n"/>
      <c r="K652" s="1" t="n"/>
      <c r="L652" s="1" t="n"/>
      <c r="M652" s="1" t="n"/>
      <c r="N652" s="1" t="n"/>
      <c r="O652" s="1" t="n"/>
      <c r="P652" s="1" t="n"/>
    </row>
    <row r="653" ht="15.75" customHeight="1" s="311">
      <c r="A653" s="1" t="n"/>
      <c r="B653" s="1" t="n"/>
      <c r="C653" s="1" t="n"/>
      <c r="D653" s="1" t="n"/>
      <c r="E653" s="1" t="n"/>
      <c r="F653" s="1" t="n"/>
      <c r="G653" s="1" t="n"/>
      <c r="H653" s="1" t="n"/>
      <c r="I653" s="1" t="n"/>
      <c r="J653" s="1" t="n"/>
      <c r="K653" s="1" t="n"/>
      <c r="L653" s="1" t="n"/>
      <c r="M653" s="1" t="n"/>
      <c r="N653" s="1" t="n"/>
      <c r="O653" s="1" t="n"/>
      <c r="P653" s="1" t="n"/>
    </row>
    <row r="654" ht="15.75" customHeight="1" s="311">
      <c r="A654" s="1" t="n"/>
      <c r="B654" s="1" t="n"/>
      <c r="C654" s="1" t="n"/>
      <c r="D654" s="1" t="n"/>
      <c r="E654" s="1" t="n"/>
      <c r="F654" s="1" t="n"/>
      <c r="G654" s="1" t="n"/>
      <c r="H654" s="1" t="n"/>
      <c r="I654" s="1" t="n"/>
      <c r="J654" s="1" t="n"/>
      <c r="K654" s="1" t="n"/>
      <c r="L654" s="1" t="n"/>
      <c r="M654" s="1" t="n"/>
      <c r="N654" s="1" t="n"/>
      <c r="O654" s="1" t="n"/>
      <c r="P654" s="1" t="n"/>
    </row>
    <row r="655" ht="15.75" customHeight="1" s="311">
      <c r="A655" s="1" t="n"/>
      <c r="B655" s="1" t="n"/>
      <c r="C655" s="1" t="n"/>
      <c r="D655" s="1" t="n"/>
      <c r="E655" s="1" t="n"/>
      <c r="F655" s="1" t="n"/>
      <c r="G655" s="1" t="n"/>
      <c r="H655" s="1" t="n"/>
      <c r="I655" s="1" t="n"/>
      <c r="J655" s="1" t="n"/>
      <c r="K655" s="1" t="n"/>
      <c r="L655" s="1" t="n"/>
      <c r="M655" s="1" t="n"/>
      <c r="N655" s="1" t="n"/>
      <c r="O655" s="1" t="n"/>
      <c r="P655" s="1" t="n"/>
    </row>
    <row r="656" ht="15.75" customHeight="1" s="311">
      <c r="A656" s="1" t="n"/>
      <c r="B656" s="1" t="n"/>
      <c r="C656" s="1" t="n"/>
      <c r="D656" s="1" t="n"/>
      <c r="E656" s="1" t="n"/>
      <c r="F656" s="1" t="n"/>
      <c r="G656" s="1" t="n"/>
      <c r="H656" s="1" t="n"/>
      <c r="I656" s="1" t="n"/>
      <c r="J656" s="1" t="n"/>
      <c r="K656" s="1" t="n"/>
      <c r="L656" s="1" t="n"/>
      <c r="M656" s="1" t="n"/>
      <c r="N656" s="1" t="n"/>
      <c r="O656" s="1" t="n"/>
      <c r="P656" s="1" t="n"/>
    </row>
    <row r="657" ht="15.75" customHeight="1" s="311">
      <c r="A657" s="1" t="n"/>
      <c r="B657" s="1" t="n"/>
      <c r="C657" s="1" t="n"/>
      <c r="D657" s="1" t="n"/>
      <c r="E657" s="1" t="n"/>
      <c r="F657" s="1" t="n"/>
      <c r="G657" s="1" t="n"/>
      <c r="H657" s="1" t="n"/>
      <c r="I657" s="1" t="n"/>
      <c r="J657" s="1" t="n"/>
      <c r="K657" s="1" t="n"/>
      <c r="L657" s="1" t="n"/>
      <c r="M657" s="1" t="n"/>
      <c r="N657" s="1" t="n"/>
      <c r="O657" s="1" t="n"/>
      <c r="P657" s="1" t="n"/>
    </row>
    <row r="658" ht="15.75" customHeight="1" s="311">
      <c r="A658" s="1" t="n"/>
      <c r="B658" s="1" t="n"/>
      <c r="C658" s="1" t="n"/>
      <c r="D658" s="1" t="n"/>
      <c r="E658" s="1" t="n"/>
      <c r="F658" s="1" t="n"/>
      <c r="G658" s="1" t="n"/>
      <c r="H658" s="1" t="n"/>
      <c r="I658" s="1" t="n"/>
      <c r="J658" s="1" t="n"/>
      <c r="K658" s="1" t="n"/>
      <c r="L658" s="1" t="n"/>
      <c r="M658" s="1" t="n"/>
      <c r="N658" s="1" t="n"/>
      <c r="O658" s="1" t="n"/>
      <c r="P658" s="1" t="n"/>
    </row>
    <row r="659" ht="15.75" customHeight="1" s="311">
      <c r="A659" s="1" t="n"/>
      <c r="B659" s="1" t="n"/>
      <c r="C659" s="1" t="n"/>
      <c r="D659" s="1" t="n"/>
      <c r="E659" s="1" t="n"/>
      <c r="F659" s="1" t="n"/>
      <c r="G659" s="1" t="n"/>
      <c r="H659" s="1" t="n"/>
      <c r="I659" s="1" t="n"/>
      <c r="J659" s="1" t="n"/>
      <c r="K659" s="1" t="n"/>
      <c r="L659" s="1" t="n"/>
      <c r="M659" s="1" t="n"/>
      <c r="N659" s="1" t="n"/>
      <c r="O659" s="1" t="n"/>
      <c r="P659" s="1" t="n"/>
    </row>
    <row r="660" ht="15.75" customHeight="1" s="311">
      <c r="A660" s="1" t="n"/>
      <c r="B660" s="1" t="n"/>
      <c r="C660" s="1" t="n"/>
      <c r="D660" s="1" t="n"/>
      <c r="E660" s="1" t="n"/>
      <c r="F660" s="1" t="n"/>
      <c r="G660" s="1" t="n"/>
      <c r="H660" s="1" t="n"/>
      <c r="I660" s="1" t="n"/>
      <c r="J660" s="1" t="n"/>
      <c r="K660" s="1" t="n"/>
      <c r="L660" s="1" t="n"/>
      <c r="M660" s="1" t="n"/>
      <c r="N660" s="1" t="n"/>
      <c r="O660" s="1" t="n"/>
      <c r="P660" s="1" t="n"/>
    </row>
    <row r="661" ht="15.75" customHeight="1" s="311">
      <c r="A661" s="1" t="n"/>
      <c r="B661" s="1" t="n"/>
      <c r="C661" s="1" t="n"/>
      <c r="D661" s="1" t="n"/>
      <c r="E661" s="1" t="n"/>
      <c r="F661" s="1" t="n"/>
      <c r="G661" s="1" t="n"/>
      <c r="H661" s="1" t="n"/>
      <c r="I661" s="1" t="n"/>
      <c r="J661" s="1" t="n"/>
      <c r="K661" s="1" t="n"/>
      <c r="L661" s="1" t="n"/>
      <c r="M661" s="1" t="n"/>
      <c r="N661" s="1" t="n"/>
      <c r="O661" s="1" t="n"/>
      <c r="P661" s="1" t="n"/>
    </row>
    <row r="662" ht="15.75" customHeight="1" s="311">
      <c r="A662" s="1" t="n"/>
      <c r="B662" s="1" t="n"/>
      <c r="C662" s="1" t="n"/>
      <c r="D662" s="1" t="n"/>
      <c r="E662" s="1" t="n"/>
      <c r="F662" s="1" t="n"/>
      <c r="G662" s="1" t="n"/>
      <c r="H662" s="1" t="n"/>
      <c r="I662" s="1" t="n"/>
      <c r="J662" s="1" t="n"/>
      <c r="K662" s="1" t="n"/>
      <c r="L662" s="1" t="n"/>
      <c r="M662" s="1" t="n"/>
      <c r="N662" s="1" t="n"/>
      <c r="O662" s="1" t="n"/>
      <c r="P662" s="1" t="n"/>
    </row>
    <row r="663" ht="15.75" customHeight="1" s="311">
      <c r="A663" s="1" t="n"/>
      <c r="B663" s="1" t="n"/>
      <c r="C663" s="1" t="n"/>
      <c r="D663" s="1" t="n"/>
      <c r="E663" s="1" t="n"/>
      <c r="F663" s="1" t="n"/>
      <c r="G663" s="1" t="n"/>
      <c r="H663" s="1" t="n"/>
      <c r="I663" s="1" t="n"/>
      <c r="J663" s="1" t="n"/>
      <c r="K663" s="1" t="n"/>
      <c r="L663" s="1" t="n"/>
      <c r="M663" s="1" t="n"/>
      <c r="N663" s="1" t="n"/>
      <c r="O663" s="1" t="n"/>
      <c r="P663" s="1" t="n"/>
    </row>
    <row r="664" ht="15.75" customHeight="1" s="311">
      <c r="A664" s="1" t="n"/>
      <c r="B664" s="1" t="n"/>
      <c r="C664" s="1" t="n"/>
      <c r="D664" s="1" t="n"/>
      <c r="E664" s="1" t="n"/>
      <c r="F664" s="1" t="n"/>
      <c r="G664" s="1" t="n"/>
      <c r="H664" s="1" t="n"/>
      <c r="I664" s="1" t="n"/>
      <c r="J664" s="1" t="n"/>
      <c r="K664" s="1" t="n"/>
      <c r="L664" s="1" t="n"/>
      <c r="M664" s="1" t="n"/>
      <c r="N664" s="1" t="n"/>
      <c r="O664" s="1" t="n"/>
      <c r="P664" s="1" t="n"/>
    </row>
    <row r="665" ht="15.75" customHeight="1" s="311">
      <c r="A665" s="1" t="n"/>
      <c r="B665" s="1" t="n"/>
      <c r="C665" s="1" t="n"/>
      <c r="D665" s="1" t="n"/>
      <c r="E665" s="1" t="n"/>
      <c r="F665" s="1" t="n"/>
      <c r="G665" s="1" t="n"/>
      <c r="H665" s="1" t="n"/>
      <c r="I665" s="1" t="n"/>
      <c r="J665" s="1" t="n"/>
      <c r="K665" s="1" t="n"/>
      <c r="L665" s="1" t="n"/>
      <c r="M665" s="1" t="n"/>
      <c r="N665" s="1" t="n"/>
      <c r="O665" s="1" t="n"/>
      <c r="P665" s="1" t="n"/>
    </row>
    <row r="666" ht="15.75" customHeight="1" s="311">
      <c r="A666" s="1" t="n"/>
      <c r="B666" s="1" t="n"/>
      <c r="C666" s="1" t="n"/>
      <c r="D666" s="1" t="n"/>
      <c r="E666" s="1" t="n"/>
      <c r="F666" s="1" t="n"/>
      <c r="G666" s="1" t="n"/>
      <c r="H666" s="1" t="n"/>
      <c r="I666" s="1" t="n"/>
      <c r="J666" s="1" t="n"/>
      <c r="K666" s="1" t="n"/>
      <c r="L666" s="1" t="n"/>
      <c r="M666" s="1" t="n"/>
      <c r="N666" s="1" t="n"/>
      <c r="O666" s="1" t="n"/>
      <c r="P666" s="1" t="n"/>
    </row>
    <row r="667" ht="15.75" customHeight="1" s="311">
      <c r="A667" s="1" t="n"/>
      <c r="B667" s="1" t="n"/>
      <c r="C667" s="1" t="n"/>
      <c r="D667" s="1" t="n"/>
      <c r="E667" s="1" t="n"/>
      <c r="F667" s="1" t="n"/>
      <c r="G667" s="1" t="n"/>
      <c r="H667" s="1" t="n"/>
      <c r="I667" s="1" t="n"/>
      <c r="J667" s="1" t="n"/>
      <c r="K667" s="1" t="n"/>
      <c r="L667" s="1" t="n"/>
      <c r="M667" s="1" t="n"/>
      <c r="N667" s="1" t="n"/>
      <c r="O667" s="1" t="n"/>
      <c r="P667" s="1" t="n"/>
    </row>
    <row r="668" ht="15.75" customHeight="1" s="311">
      <c r="A668" s="1" t="n"/>
      <c r="B668" s="1" t="n"/>
      <c r="C668" s="1" t="n"/>
      <c r="D668" s="1" t="n"/>
      <c r="E668" s="1" t="n"/>
      <c r="F668" s="1" t="n"/>
      <c r="G668" s="1" t="n"/>
      <c r="H668" s="1" t="n"/>
      <c r="I668" s="1" t="n"/>
      <c r="J668" s="1" t="n"/>
      <c r="K668" s="1" t="n"/>
      <c r="L668" s="1" t="n"/>
      <c r="M668" s="1" t="n"/>
      <c r="N668" s="1" t="n"/>
      <c r="O668" s="1" t="n"/>
      <c r="P668" s="1" t="n"/>
    </row>
    <row r="669" ht="15.75" customHeight="1" s="311">
      <c r="A669" s="1" t="n"/>
      <c r="B669" s="1" t="n"/>
      <c r="C669" s="1" t="n"/>
      <c r="D669" s="1" t="n"/>
      <c r="E669" s="1" t="n"/>
      <c r="F669" s="1" t="n"/>
      <c r="G669" s="1" t="n"/>
      <c r="H669" s="1" t="n"/>
      <c r="I669" s="1" t="n"/>
      <c r="J669" s="1" t="n"/>
      <c r="K669" s="1" t="n"/>
      <c r="L669" s="1" t="n"/>
      <c r="M669" s="1" t="n"/>
      <c r="N669" s="1" t="n"/>
      <c r="O669" s="1" t="n"/>
      <c r="P669" s="1" t="n"/>
    </row>
    <row r="670" ht="15.75" customHeight="1" s="311">
      <c r="A670" s="1" t="n"/>
      <c r="B670" s="1" t="n"/>
      <c r="C670" s="1" t="n"/>
      <c r="D670" s="1" t="n"/>
      <c r="E670" s="1" t="n"/>
      <c r="F670" s="1" t="n"/>
      <c r="G670" s="1" t="n"/>
      <c r="H670" s="1" t="n"/>
      <c r="I670" s="1" t="n"/>
      <c r="J670" s="1" t="n"/>
      <c r="K670" s="1" t="n"/>
      <c r="L670" s="1" t="n"/>
      <c r="M670" s="1" t="n"/>
      <c r="N670" s="1" t="n"/>
      <c r="O670" s="1" t="n"/>
      <c r="P670" s="1" t="n"/>
    </row>
    <row r="671" ht="15.75" customHeight="1" s="311">
      <c r="A671" s="1" t="n"/>
      <c r="B671" s="1" t="n"/>
      <c r="C671" s="1" t="n"/>
      <c r="D671" s="1" t="n"/>
      <c r="E671" s="1" t="n"/>
      <c r="F671" s="1" t="n"/>
      <c r="G671" s="1" t="n"/>
      <c r="H671" s="1" t="n"/>
      <c r="I671" s="1" t="n"/>
      <c r="J671" s="1" t="n"/>
      <c r="K671" s="1" t="n"/>
      <c r="L671" s="1" t="n"/>
      <c r="M671" s="1" t="n"/>
      <c r="N671" s="1" t="n"/>
      <c r="O671" s="1" t="n"/>
      <c r="P671" s="1" t="n"/>
    </row>
    <row r="672" ht="15.75" customHeight="1" s="311">
      <c r="A672" s="1" t="n"/>
      <c r="B672" s="1" t="n"/>
      <c r="C672" s="1" t="n"/>
      <c r="D672" s="1" t="n"/>
      <c r="E672" s="1" t="n"/>
      <c r="F672" s="1" t="n"/>
      <c r="G672" s="1" t="n"/>
      <c r="H672" s="1" t="n"/>
      <c r="I672" s="1" t="n"/>
      <c r="J672" s="1" t="n"/>
      <c r="K672" s="1" t="n"/>
      <c r="L672" s="1" t="n"/>
      <c r="M672" s="1" t="n"/>
      <c r="N672" s="1" t="n"/>
      <c r="O672" s="1" t="n"/>
      <c r="P672" s="1" t="n"/>
    </row>
    <row r="673" ht="15.75" customHeight="1" s="311">
      <c r="A673" s="1" t="n"/>
      <c r="B673" s="1" t="n"/>
      <c r="C673" s="1" t="n"/>
      <c r="D673" s="1" t="n"/>
      <c r="E673" s="1" t="n"/>
      <c r="F673" s="1" t="n"/>
      <c r="G673" s="1" t="n"/>
      <c r="H673" s="1" t="n"/>
      <c r="I673" s="1" t="n"/>
      <c r="J673" s="1" t="n"/>
      <c r="K673" s="1" t="n"/>
      <c r="L673" s="1" t="n"/>
      <c r="M673" s="1" t="n"/>
      <c r="N673" s="1" t="n"/>
      <c r="O673" s="1" t="n"/>
      <c r="P673" s="1" t="n"/>
    </row>
    <row r="674" ht="15.75" customHeight="1" s="311">
      <c r="A674" s="1" t="n"/>
      <c r="B674" s="1" t="n"/>
      <c r="C674" s="1" t="n"/>
      <c r="D674" s="1" t="n"/>
      <c r="E674" s="1" t="n"/>
      <c r="F674" s="1" t="n"/>
      <c r="G674" s="1" t="n"/>
      <c r="H674" s="1" t="n"/>
      <c r="I674" s="1" t="n"/>
      <c r="J674" s="1" t="n"/>
      <c r="K674" s="1" t="n"/>
      <c r="L674" s="1" t="n"/>
      <c r="M674" s="1" t="n"/>
      <c r="N674" s="1" t="n"/>
      <c r="O674" s="1" t="n"/>
      <c r="P674" s="1" t="n"/>
    </row>
    <row r="675" ht="15.75" customHeight="1" s="311">
      <c r="A675" s="1" t="n"/>
      <c r="B675" s="1" t="n"/>
      <c r="C675" s="1" t="n"/>
      <c r="D675" s="1" t="n"/>
      <c r="E675" s="1" t="n"/>
      <c r="F675" s="1" t="n"/>
      <c r="G675" s="1" t="n"/>
      <c r="H675" s="1" t="n"/>
      <c r="I675" s="1" t="n"/>
      <c r="J675" s="1" t="n"/>
      <c r="K675" s="1" t="n"/>
      <c r="L675" s="1" t="n"/>
      <c r="M675" s="1" t="n"/>
      <c r="N675" s="1" t="n"/>
      <c r="O675" s="1" t="n"/>
      <c r="P675" s="1" t="n"/>
    </row>
    <row r="676" ht="15.75" customHeight="1" s="311">
      <c r="A676" s="1" t="n"/>
      <c r="B676" s="1" t="n"/>
      <c r="C676" s="1" t="n"/>
      <c r="D676" s="1" t="n"/>
      <c r="E676" s="1" t="n"/>
      <c r="F676" s="1" t="n"/>
      <c r="G676" s="1" t="n"/>
      <c r="H676" s="1" t="n"/>
      <c r="I676" s="1" t="n"/>
      <c r="J676" s="1" t="n"/>
      <c r="K676" s="1" t="n"/>
      <c r="L676" s="1" t="n"/>
      <c r="M676" s="1" t="n"/>
      <c r="N676" s="1" t="n"/>
      <c r="O676" s="1" t="n"/>
      <c r="P676" s="1" t="n"/>
    </row>
    <row r="677" ht="15.75" customHeight="1" s="311">
      <c r="A677" s="1" t="n"/>
      <c r="B677" s="1" t="n"/>
      <c r="C677" s="1" t="n"/>
      <c r="D677" s="1" t="n"/>
      <c r="E677" s="1" t="n"/>
      <c r="F677" s="1" t="n"/>
      <c r="G677" s="1" t="n"/>
      <c r="H677" s="1" t="n"/>
      <c r="I677" s="1" t="n"/>
      <c r="J677" s="1" t="n"/>
      <c r="K677" s="1" t="n"/>
      <c r="L677" s="1" t="n"/>
      <c r="M677" s="1" t="n"/>
      <c r="N677" s="1" t="n"/>
      <c r="O677" s="1" t="n"/>
      <c r="P677" s="1" t="n"/>
    </row>
    <row r="678" ht="15.75" customHeight="1" s="311">
      <c r="A678" s="1" t="n"/>
      <c r="B678" s="1" t="n"/>
      <c r="C678" s="1" t="n"/>
      <c r="D678" s="1" t="n"/>
      <c r="E678" s="1" t="n"/>
      <c r="F678" s="1" t="n"/>
      <c r="G678" s="1" t="n"/>
      <c r="H678" s="1" t="n"/>
      <c r="I678" s="1" t="n"/>
      <c r="J678" s="1" t="n"/>
      <c r="K678" s="1" t="n"/>
      <c r="L678" s="1" t="n"/>
      <c r="M678" s="1" t="n"/>
      <c r="N678" s="1" t="n"/>
      <c r="O678" s="1" t="n"/>
      <c r="P678" s="1" t="n"/>
    </row>
    <row r="679" ht="15.75" customHeight="1" s="311">
      <c r="A679" s="1" t="n"/>
      <c r="B679" s="1" t="n"/>
      <c r="C679" s="1" t="n"/>
      <c r="D679" s="1" t="n"/>
      <c r="E679" s="1" t="n"/>
      <c r="F679" s="1" t="n"/>
      <c r="G679" s="1" t="n"/>
      <c r="H679" s="1" t="n"/>
      <c r="I679" s="1" t="n"/>
      <c r="J679" s="1" t="n"/>
      <c r="K679" s="1" t="n"/>
      <c r="L679" s="1" t="n"/>
      <c r="M679" s="1" t="n"/>
      <c r="N679" s="1" t="n"/>
      <c r="O679" s="1" t="n"/>
      <c r="P679" s="1" t="n"/>
    </row>
    <row r="680" ht="15.75" customHeight="1" s="311">
      <c r="A680" s="1" t="n"/>
      <c r="B680" s="1" t="n"/>
      <c r="C680" s="1" t="n"/>
      <c r="D680" s="1" t="n"/>
      <c r="E680" s="1" t="n"/>
      <c r="F680" s="1" t="n"/>
      <c r="G680" s="1" t="n"/>
      <c r="H680" s="1" t="n"/>
      <c r="I680" s="1" t="n"/>
      <c r="J680" s="1" t="n"/>
      <c r="K680" s="1" t="n"/>
      <c r="L680" s="1" t="n"/>
      <c r="M680" s="1" t="n"/>
      <c r="N680" s="1" t="n"/>
      <c r="O680" s="1" t="n"/>
      <c r="P680" s="1" t="n"/>
    </row>
    <row r="681" ht="15.75" customHeight="1" s="311">
      <c r="A681" s="1" t="n"/>
      <c r="B681" s="1" t="n"/>
      <c r="C681" s="1" t="n"/>
      <c r="D681" s="1" t="n"/>
      <c r="E681" s="1" t="n"/>
      <c r="F681" s="1" t="n"/>
      <c r="G681" s="1" t="n"/>
      <c r="H681" s="1" t="n"/>
      <c r="I681" s="1" t="n"/>
      <c r="J681" s="1" t="n"/>
      <c r="K681" s="1" t="n"/>
      <c r="L681" s="1" t="n"/>
      <c r="M681" s="1" t="n"/>
      <c r="N681" s="1" t="n"/>
      <c r="O681" s="1" t="n"/>
      <c r="P681" s="1" t="n"/>
    </row>
    <row r="682" ht="15.75" customHeight="1" s="311">
      <c r="A682" s="1" t="n"/>
      <c r="B682" s="1" t="n"/>
      <c r="C682" s="1" t="n"/>
      <c r="D682" s="1" t="n"/>
      <c r="E682" s="1" t="n"/>
      <c r="F682" s="1" t="n"/>
      <c r="G682" s="1" t="n"/>
      <c r="H682" s="1" t="n"/>
      <c r="I682" s="1" t="n"/>
      <c r="J682" s="1" t="n"/>
      <c r="K682" s="1" t="n"/>
      <c r="L682" s="1" t="n"/>
      <c r="M682" s="1" t="n"/>
      <c r="N682" s="1" t="n"/>
      <c r="O682" s="1" t="n"/>
      <c r="P682" s="1" t="n"/>
    </row>
    <row r="683" ht="15.75" customHeight="1" s="311">
      <c r="A683" s="1" t="n"/>
      <c r="B683" s="1" t="n"/>
      <c r="C683" s="1" t="n"/>
      <c r="D683" s="1" t="n"/>
      <c r="E683" s="1" t="n"/>
      <c r="F683" s="1" t="n"/>
      <c r="G683" s="1" t="n"/>
      <c r="H683" s="1" t="n"/>
      <c r="I683" s="1" t="n"/>
      <c r="J683" s="1" t="n"/>
      <c r="K683" s="1" t="n"/>
      <c r="L683" s="1" t="n"/>
      <c r="M683" s="1" t="n"/>
      <c r="N683" s="1" t="n"/>
      <c r="O683" s="1" t="n"/>
      <c r="P683" s="1" t="n"/>
    </row>
    <row r="684" ht="15.75" customHeight="1" s="311">
      <c r="A684" s="1" t="n"/>
      <c r="B684" s="1" t="n"/>
      <c r="C684" s="1" t="n"/>
      <c r="D684" s="1" t="n"/>
      <c r="E684" s="1" t="n"/>
      <c r="F684" s="1" t="n"/>
      <c r="G684" s="1" t="n"/>
      <c r="H684" s="1" t="n"/>
      <c r="I684" s="1" t="n"/>
      <c r="J684" s="1" t="n"/>
      <c r="K684" s="1" t="n"/>
      <c r="L684" s="1" t="n"/>
      <c r="M684" s="1" t="n"/>
      <c r="N684" s="1" t="n"/>
      <c r="O684" s="1" t="n"/>
      <c r="P684" s="1" t="n"/>
    </row>
    <row r="685" ht="15.75" customHeight="1" s="311">
      <c r="A685" s="1" t="n"/>
      <c r="B685" s="1" t="n"/>
      <c r="C685" s="1" t="n"/>
      <c r="D685" s="1" t="n"/>
      <c r="E685" s="1" t="n"/>
      <c r="F685" s="1" t="n"/>
      <c r="G685" s="1" t="n"/>
      <c r="H685" s="1" t="n"/>
      <c r="I685" s="1" t="n"/>
      <c r="J685" s="1" t="n"/>
      <c r="K685" s="1" t="n"/>
      <c r="L685" s="1" t="n"/>
      <c r="M685" s="1" t="n"/>
      <c r="N685" s="1" t="n"/>
      <c r="O685" s="1" t="n"/>
      <c r="P685" s="1" t="n"/>
    </row>
    <row r="686" ht="15.75" customHeight="1" s="311">
      <c r="A686" s="1" t="n"/>
      <c r="B686" s="1" t="n"/>
      <c r="C686" s="1" t="n"/>
      <c r="D686" s="1" t="n"/>
      <c r="E686" s="1" t="n"/>
      <c r="F686" s="1" t="n"/>
      <c r="G686" s="1" t="n"/>
      <c r="H686" s="1" t="n"/>
      <c r="I686" s="1" t="n"/>
      <c r="J686" s="1" t="n"/>
      <c r="K686" s="1" t="n"/>
      <c r="L686" s="1" t="n"/>
      <c r="M686" s="1" t="n"/>
      <c r="N686" s="1" t="n"/>
      <c r="O686" s="1" t="n"/>
      <c r="P686" s="1" t="n"/>
    </row>
    <row r="687" ht="15.75" customHeight="1" s="311">
      <c r="A687" s="1" t="n"/>
      <c r="B687" s="1" t="n"/>
      <c r="C687" s="1" t="n"/>
      <c r="D687" s="1" t="n"/>
      <c r="E687" s="1" t="n"/>
      <c r="F687" s="1" t="n"/>
      <c r="G687" s="1" t="n"/>
      <c r="H687" s="1" t="n"/>
      <c r="I687" s="1" t="n"/>
      <c r="J687" s="1" t="n"/>
      <c r="K687" s="1" t="n"/>
      <c r="L687" s="1" t="n"/>
      <c r="M687" s="1" t="n"/>
      <c r="N687" s="1" t="n"/>
      <c r="O687" s="1" t="n"/>
      <c r="P687" s="1" t="n"/>
    </row>
    <row r="688" ht="15.75" customHeight="1" s="311">
      <c r="A688" s="1" t="n"/>
      <c r="B688" s="1" t="n"/>
      <c r="C688" s="1" t="n"/>
      <c r="D688" s="1" t="n"/>
      <c r="E688" s="1" t="n"/>
      <c r="F688" s="1" t="n"/>
      <c r="G688" s="1" t="n"/>
      <c r="H688" s="1" t="n"/>
      <c r="I688" s="1" t="n"/>
      <c r="J688" s="1" t="n"/>
      <c r="K688" s="1" t="n"/>
      <c r="L688" s="1" t="n"/>
      <c r="M688" s="1" t="n"/>
      <c r="N688" s="1" t="n"/>
      <c r="O688" s="1" t="n"/>
      <c r="P688" s="1" t="n"/>
    </row>
    <row r="689" ht="15.75" customHeight="1" s="311">
      <c r="A689" s="1" t="n"/>
      <c r="B689" s="1" t="n"/>
      <c r="C689" s="1" t="n"/>
      <c r="D689" s="1" t="n"/>
      <c r="E689" s="1" t="n"/>
      <c r="F689" s="1" t="n"/>
      <c r="G689" s="1" t="n"/>
      <c r="H689" s="1" t="n"/>
      <c r="I689" s="1" t="n"/>
      <c r="J689" s="1" t="n"/>
      <c r="K689" s="1" t="n"/>
      <c r="L689" s="1" t="n"/>
      <c r="M689" s="1" t="n"/>
      <c r="N689" s="1" t="n"/>
      <c r="O689" s="1" t="n"/>
      <c r="P689" s="1" t="n"/>
    </row>
    <row r="690" ht="15.75" customHeight="1" s="311">
      <c r="A690" s="1" t="n"/>
      <c r="B690" s="1" t="n"/>
      <c r="C690" s="1" t="n"/>
      <c r="D690" s="1" t="n"/>
      <c r="E690" s="1" t="n"/>
      <c r="F690" s="1" t="n"/>
      <c r="G690" s="1" t="n"/>
      <c r="H690" s="1" t="n"/>
      <c r="I690" s="1" t="n"/>
      <c r="J690" s="1" t="n"/>
      <c r="K690" s="1" t="n"/>
      <c r="L690" s="1" t="n"/>
      <c r="M690" s="1" t="n"/>
      <c r="N690" s="1" t="n"/>
      <c r="O690" s="1" t="n"/>
      <c r="P690" s="1" t="n"/>
    </row>
    <row r="691" ht="15.75" customHeight="1" s="311">
      <c r="A691" s="1" t="n"/>
      <c r="B691" s="1" t="n"/>
      <c r="C691" s="1" t="n"/>
      <c r="D691" s="1" t="n"/>
      <c r="E691" s="1" t="n"/>
      <c r="F691" s="1" t="n"/>
      <c r="G691" s="1" t="n"/>
      <c r="H691" s="1" t="n"/>
      <c r="I691" s="1" t="n"/>
      <c r="J691" s="1" t="n"/>
      <c r="K691" s="1" t="n"/>
      <c r="L691" s="1" t="n"/>
      <c r="M691" s="1" t="n"/>
      <c r="N691" s="1" t="n"/>
      <c r="O691" s="1" t="n"/>
      <c r="P691" s="1" t="n"/>
    </row>
    <row r="692" ht="15.75" customHeight="1" s="311">
      <c r="A692" s="1" t="n"/>
      <c r="B692" s="1" t="n"/>
      <c r="C692" s="1" t="n"/>
      <c r="D692" s="1" t="n"/>
      <c r="E692" s="1" t="n"/>
      <c r="F692" s="1" t="n"/>
      <c r="G692" s="1" t="n"/>
      <c r="H692" s="1" t="n"/>
      <c r="I692" s="1" t="n"/>
      <c r="J692" s="1" t="n"/>
      <c r="K692" s="1" t="n"/>
      <c r="L692" s="1" t="n"/>
      <c r="M692" s="1" t="n"/>
      <c r="N692" s="1" t="n"/>
      <c r="O692" s="1" t="n"/>
      <c r="P692" s="1" t="n"/>
    </row>
    <row r="693" ht="15.75" customHeight="1" s="311">
      <c r="A693" s="1" t="n"/>
      <c r="B693" s="1" t="n"/>
      <c r="C693" s="1" t="n"/>
      <c r="D693" s="1" t="n"/>
      <c r="E693" s="1" t="n"/>
      <c r="F693" s="1" t="n"/>
      <c r="G693" s="1" t="n"/>
      <c r="H693" s="1" t="n"/>
      <c r="I693" s="1" t="n"/>
      <c r="J693" s="1" t="n"/>
      <c r="K693" s="1" t="n"/>
      <c r="L693" s="1" t="n"/>
      <c r="M693" s="1" t="n"/>
      <c r="N693" s="1" t="n"/>
      <c r="O693" s="1" t="n"/>
      <c r="P693" s="1" t="n"/>
    </row>
    <row r="694" ht="15.75" customHeight="1" s="311">
      <c r="A694" s="1" t="n"/>
      <c r="B694" s="1" t="n"/>
      <c r="C694" s="1" t="n"/>
      <c r="D694" s="1" t="n"/>
      <c r="E694" s="1" t="n"/>
      <c r="F694" s="1" t="n"/>
      <c r="G694" s="1" t="n"/>
      <c r="H694" s="1" t="n"/>
      <c r="I694" s="1" t="n"/>
      <c r="J694" s="1" t="n"/>
      <c r="K694" s="1" t="n"/>
      <c r="L694" s="1" t="n"/>
      <c r="M694" s="1" t="n"/>
      <c r="N694" s="1" t="n"/>
      <c r="O694" s="1" t="n"/>
      <c r="P694" s="1" t="n"/>
    </row>
    <row r="695" ht="15.75" customHeight="1" s="311">
      <c r="A695" s="1" t="n"/>
      <c r="B695" s="1" t="n"/>
      <c r="C695" s="1" t="n"/>
      <c r="D695" s="1" t="n"/>
      <c r="E695" s="1" t="n"/>
      <c r="F695" s="1" t="n"/>
      <c r="G695" s="1" t="n"/>
      <c r="H695" s="1" t="n"/>
      <c r="I695" s="1" t="n"/>
      <c r="J695" s="1" t="n"/>
      <c r="K695" s="1" t="n"/>
      <c r="L695" s="1" t="n"/>
      <c r="M695" s="1" t="n"/>
      <c r="N695" s="1" t="n"/>
      <c r="O695" s="1" t="n"/>
      <c r="P695" s="1" t="n"/>
    </row>
    <row r="696" ht="15.75" customHeight="1" s="311">
      <c r="A696" s="1" t="n"/>
      <c r="B696" s="1" t="n"/>
      <c r="C696" s="1" t="n"/>
      <c r="D696" s="1" t="n"/>
      <c r="E696" s="1" t="n"/>
      <c r="F696" s="1" t="n"/>
      <c r="G696" s="1" t="n"/>
      <c r="H696" s="1" t="n"/>
      <c r="I696" s="1" t="n"/>
      <c r="J696" s="1" t="n"/>
      <c r="K696" s="1" t="n"/>
      <c r="L696" s="1" t="n"/>
      <c r="M696" s="1" t="n"/>
      <c r="N696" s="1" t="n"/>
      <c r="O696" s="1" t="n"/>
      <c r="P696" s="1" t="n"/>
    </row>
    <row r="697" ht="15.75" customHeight="1" s="311">
      <c r="A697" s="1" t="n"/>
      <c r="B697" s="1" t="n"/>
      <c r="C697" s="1" t="n"/>
      <c r="D697" s="1" t="n"/>
      <c r="E697" s="1" t="n"/>
      <c r="F697" s="1" t="n"/>
      <c r="G697" s="1" t="n"/>
      <c r="H697" s="1" t="n"/>
      <c r="I697" s="1" t="n"/>
      <c r="J697" s="1" t="n"/>
      <c r="K697" s="1" t="n"/>
      <c r="L697" s="1" t="n"/>
      <c r="M697" s="1" t="n"/>
      <c r="N697" s="1" t="n"/>
      <c r="O697" s="1" t="n"/>
      <c r="P697" s="1" t="n"/>
    </row>
    <row r="698" ht="15.75" customHeight="1" s="311">
      <c r="A698" s="1" t="n"/>
      <c r="B698" s="1" t="n"/>
      <c r="C698" s="1" t="n"/>
      <c r="D698" s="1" t="n"/>
      <c r="E698" s="1" t="n"/>
      <c r="F698" s="1" t="n"/>
      <c r="G698" s="1" t="n"/>
      <c r="H698" s="1" t="n"/>
      <c r="I698" s="1" t="n"/>
      <c r="J698" s="1" t="n"/>
      <c r="K698" s="1" t="n"/>
      <c r="L698" s="1" t="n"/>
      <c r="M698" s="1" t="n"/>
      <c r="N698" s="1" t="n"/>
      <c r="O698" s="1" t="n"/>
      <c r="P698" s="1" t="n"/>
    </row>
    <row r="699" ht="15.75" customHeight="1" s="311">
      <c r="A699" s="1" t="n"/>
      <c r="B699" s="1" t="n"/>
      <c r="C699" s="1" t="n"/>
      <c r="D699" s="1" t="n"/>
      <c r="E699" s="1" t="n"/>
      <c r="F699" s="1" t="n"/>
      <c r="G699" s="1" t="n"/>
      <c r="H699" s="1" t="n"/>
      <c r="I699" s="1" t="n"/>
      <c r="J699" s="1" t="n"/>
      <c r="K699" s="1" t="n"/>
      <c r="L699" s="1" t="n"/>
      <c r="M699" s="1" t="n"/>
      <c r="N699" s="1" t="n"/>
      <c r="O699" s="1" t="n"/>
      <c r="P699" s="1" t="n"/>
    </row>
    <row r="700" ht="15.75" customHeight="1" s="311">
      <c r="A700" s="1" t="n"/>
      <c r="B700" s="1" t="n"/>
      <c r="C700" s="1" t="n"/>
      <c r="D700" s="1" t="n"/>
      <c r="E700" s="1" t="n"/>
      <c r="F700" s="1" t="n"/>
      <c r="G700" s="1" t="n"/>
      <c r="H700" s="1" t="n"/>
      <c r="I700" s="1" t="n"/>
      <c r="J700" s="1" t="n"/>
      <c r="K700" s="1" t="n"/>
      <c r="L700" s="1" t="n"/>
      <c r="M700" s="1" t="n"/>
      <c r="N700" s="1" t="n"/>
      <c r="O700" s="1" t="n"/>
      <c r="P700" s="1" t="n"/>
    </row>
    <row r="701" ht="15.75" customHeight="1" s="311">
      <c r="A701" s="1" t="n"/>
      <c r="B701" s="1" t="n"/>
      <c r="C701" s="1" t="n"/>
      <c r="D701" s="1" t="n"/>
      <c r="E701" s="1" t="n"/>
      <c r="F701" s="1" t="n"/>
      <c r="G701" s="1" t="n"/>
      <c r="H701" s="1" t="n"/>
      <c r="I701" s="1" t="n"/>
      <c r="J701" s="1" t="n"/>
      <c r="K701" s="1" t="n"/>
      <c r="L701" s="1" t="n"/>
      <c r="M701" s="1" t="n"/>
      <c r="N701" s="1" t="n"/>
      <c r="O701" s="1" t="n"/>
      <c r="P701" s="1" t="n"/>
    </row>
    <row r="702" ht="15.75" customHeight="1" s="311">
      <c r="A702" s="1" t="n"/>
      <c r="B702" s="1" t="n"/>
      <c r="C702" s="1" t="n"/>
      <c r="D702" s="1" t="n"/>
      <c r="E702" s="1" t="n"/>
      <c r="F702" s="1" t="n"/>
      <c r="G702" s="1" t="n"/>
      <c r="H702" s="1" t="n"/>
      <c r="I702" s="1" t="n"/>
      <c r="J702" s="1" t="n"/>
      <c r="K702" s="1" t="n"/>
      <c r="L702" s="1" t="n"/>
      <c r="M702" s="1" t="n"/>
      <c r="N702" s="1" t="n"/>
      <c r="O702" s="1" t="n"/>
      <c r="P702" s="1" t="n"/>
    </row>
    <row r="703" ht="15.75" customHeight="1" s="311">
      <c r="A703" s="1" t="n"/>
      <c r="B703" s="1" t="n"/>
      <c r="C703" s="1" t="n"/>
      <c r="D703" s="1" t="n"/>
      <c r="E703" s="1" t="n"/>
      <c r="F703" s="1" t="n"/>
      <c r="G703" s="1" t="n"/>
      <c r="H703" s="1" t="n"/>
      <c r="I703" s="1" t="n"/>
      <c r="J703" s="1" t="n"/>
      <c r="K703" s="1" t="n"/>
      <c r="L703" s="1" t="n"/>
      <c r="M703" s="1" t="n"/>
      <c r="N703" s="1" t="n"/>
      <c r="O703" s="1" t="n"/>
      <c r="P703" s="1" t="n"/>
    </row>
    <row r="704" ht="15.75" customHeight="1" s="311">
      <c r="A704" s="1" t="n"/>
      <c r="B704" s="1" t="n"/>
      <c r="C704" s="1" t="n"/>
      <c r="D704" s="1" t="n"/>
      <c r="E704" s="1" t="n"/>
      <c r="F704" s="1" t="n"/>
      <c r="G704" s="1" t="n"/>
      <c r="H704" s="1" t="n"/>
      <c r="I704" s="1" t="n"/>
      <c r="J704" s="1" t="n"/>
      <c r="K704" s="1" t="n"/>
      <c r="L704" s="1" t="n"/>
      <c r="M704" s="1" t="n"/>
      <c r="N704" s="1" t="n"/>
      <c r="O704" s="1" t="n"/>
      <c r="P704" s="1" t="n"/>
    </row>
    <row r="705" ht="15.75" customHeight="1" s="311">
      <c r="A705" s="1" t="n"/>
      <c r="B705" s="1" t="n"/>
      <c r="C705" s="1" t="n"/>
      <c r="D705" s="1" t="n"/>
      <c r="E705" s="1" t="n"/>
      <c r="F705" s="1" t="n"/>
      <c r="G705" s="1" t="n"/>
      <c r="H705" s="1" t="n"/>
      <c r="I705" s="1" t="n"/>
      <c r="J705" s="1" t="n"/>
      <c r="K705" s="1" t="n"/>
      <c r="L705" s="1" t="n"/>
      <c r="M705" s="1" t="n"/>
      <c r="N705" s="1" t="n"/>
      <c r="O705" s="1" t="n"/>
      <c r="P705" s="1" t="n"/>
    </row>
    <row r="706" ht="15.75" customHeight="1" s="311">
      <c r="A706" s="1" t="n"/>
      <c r="B706" s="1" t="n"/>
      <c r="C706" s="1" t="n"/>
      <c r="D706" s="1" t="n"/>
      <c r="E706" s="1" t="n"/>
      <c r="F706" s="1" t="n"/>
      <c r="G706" s="1" t="n"/>
      <c r="H706" s="1" t="n"/>
      <c r="I706" s="1" t="n"/>
      <c r="J706" s="1" t="n"/>
      <c r="K706" s="1" t="n"/>
      <c r="L706" s="1" t="n"/>
      <c r="M706" s="1" t="n"/>
      <c r="N706" s="1" t="n"/>
      <c r="O706" s="1" t="n"/>
      <c r="P706" s="1" t="n"/>
    </row>
    <row r="707" ht="15.75" customHeight="1" s="311">
      <c r="A707" s="1" t="n"/>
      <c r="B707" s="1" t="n"/>
      <c r="C707" s="1" t="n"/>
      <c r="D707" s="1" t="n"/>
      <c r="E707" s="1" t="n"/>
      <c r="F707" s="1" t="n"/>
      <c r="G707" s="1" t="n"/>
      <c r="H707" s="1" t="n"/>
      <c r="I707" s="1" t="n"/>
      <c r="J707" s="1" t="n"/>
      <c r="K707" s="1" t="n"/>
      <c r="L707" s="1" t="n"/>
      <c r="M707" s="1" t="n"/>
      <c r="N707" s="1" t="n"/>
      <c r="O707" s="1" t="n"/>
      <c r="P707" s="1" t="n"/>
    </row>
    <row r="708" ht="15.75" customHeight="1" s="311">
      <c r="A708" s="1" t="n"/>
      <c r="B708" s="1" t="n"/>
      <c r="C708" s="1" t="n"/>
      <c r="D708" s="1" t="n"/>
      <c r="E708" s="1" t="n"/>
      <c r="F708" s="1" t="n"/>
      <c r="G708" s="1" t="n"/>
      <c r="H708" s="1" t="n"/>
      <c r="I708" s="1" t="n"/>
      <c r="J708" s="1" t="n"/>
      <c r="K708" s="1" t="n"/>
      <c r="L708" s="1" t="n"/>
      <c r="M708" s="1" t="n"/>
      <c r="N708" s="1" t="n"/>
      <c r="O708" s="1" t="n"/>
      <c r="P708" s="1" t="n"/>
    </row>
    <row r="709" ht="15.75" customHeight="1" s="311">
      <c r="A709" s="1" t="n"/>
      <c r="B709" s="1" t="n"/>
      <c r="C709" s="1" t="n"/>
      <c r="D709" s="1" t="n"/>
      <c r="E709" s="1" t="n"/>
      <c r="F709" s="1" t="n"/>
      <c r="G709" s="1" t="n"/>
      <c r="H709" s="1" t="n"/>
      <c r="I709" s="1" t="n"/>
      <c r="J709" s="1" t="n"/>
      <c r="K709" s="1" t="n"/>
      <c r="L709" s="1" t="n"/>
      <c r="M709" s="1" t="n"/>
      <c r="N709" s="1" t="n"/>
      <c r="O709" s="1" t="n"/>
      <c r="P709" s="1" t="n"/>
    </row>
    <row r="710" ht="15.75" customHeight="1" s="311">
      <c r="A710" s="1" t="n"/>
      <c r="B710" s="1" t="n"/>
      <c r="C710" s="1" t="n"/>
      <c r="D710" s="1" t="n"/>
      <c r="E710" s="1" t="n"/>
      <c r="F710" s="1" t="n"/>
      <c r="G710" s="1" t="n"/>
      <c r="H710" s="1" t="n"/>
      <c r="I710" s="1" t="n"/>
      <c r="J710" s="1" t="n"/>
      <c r="K710" s="1" t="n"/>
      <c r="L710" s="1" t="n"/>
      <c r="M710" s="1" t="n"/>
      <c r="N710" s="1" t="n"/>
      <c r="O710" s="1" t="n"/>
      <c r="P710" s="1" t="n"/>
    </row>
    <row r="711" ht="15.75" customHeight="1" s="311">
      <c r="A711" s="1" t="n"/>
      <c r="B711" s="1" t="n"/>
      <c r="C711" s="1" t="n"/>
      <c r="D711" s="1" t="n"/>
      <c r="E711" s="1" t="n"/>
      <c r="F711" s="1" t="n"/>
      <c r="G711" s="1" t="n"/>
      <c r="H711" s="1" t="n"/>
      <c r="I711" s="1" t="n"/>
      <c r="J711" s="1" t="n"/>
      <c r="K711" s="1" t="n"/>
      <c r="L711" s="1" t="n"/>
      <c r="M711" s="1" t="n"/>
      <c r="N711" s="1" t="n"/>
      <c r="O711" s="1" t="n"/>
      <c r="P711" s="1" t="n"/>
    </row>
    <row r="712" ht="15.75" customHeight="1" s="311">
      <c r="A712" s="1" t="n"/>
      <c r="B712" s="1" t="n"/>
      <c r="C712" s="1" t="n"/>
      <c r="D712" s="1" t="n"/>
      <c r="E712" s="1" t="n"/>
      <c r="F712" s="1" t="n"/>
      <c r="G712" s="1" t="n"/>
      <c r="H712" s="1" t="n"/>
      <c r="I712" s="1" t="n"/>
      <c r="J712" s="1" t="n"/>
      <c r="K712" s="1" t="n"/>
      <c r="L712" s="1" t="n"/>
      <c r="M712" s="1" t="n"/>
      <c r="N712" s="1" t="n"/>
      <c r="O712" s="1" t="n"/>
      <c r="P712" s="1" t="n"/>
    </row>
    <row r="713" ht="15.75" customHeight="1" s="311">
      <c r="A713" s="1" t="n"/>
      <c r="B713" s="1" t="n"/>
      <c r="C713" s="1" t="n"/>
      <c r="D713" s="1" t="n"/>
      <c r="E713" s="1" t="n"/>
      <c r="F713" s="1" t="n"/>
      <c r="G713" s="1" t="n"/>
      <c r="H713" s="1" t="n"/>
      <c r="I713" s="1" t="n"/>
      <c r="J713" s="1" t="n"/>
      <c r="K713" s="1" t="n"/>
      <c r="L713" s="1" t="n"/>
      <c r="M713" s="1" t="n"/>
      <c r="N713" s="1" t="n"/>
      <c r="O713" s="1" t="n"/>
      <c r="P713" s="1" t="n"/>
    </row>
    <row r="714" ht="15.75" customHeight="1" s="311">
      <c r="A714" s="1" t="n"/>
      <c r="B714" s="1" t="n"/>
      <c r="C714" s="1" t="n"/>
      <c r="D714" s="1" t="n"/>
      <c r="E714" s="1" t="n"/>
      <c r="F714" s="1" t="n"/>
      <c r="G714" s="1" t="n"/>
      <c r="H714" s="1" t="n"/>
      <c r="I714" s="1" t="n"/>
      <c r="J714" s="1" t="n"/>
      <c r="K714" s="1" t="n"/>
      <c r="L714" s="1" t="n"/>
      <c r="M714" s="1" t="n"/>
      <c r="N714" s="1" t="n"/>
      <c r="O714" s="1" t="n"/>
      <c r="P714" s="1" t="n"/>
    </row>
    <row r="715" ht="15.75" customHeight="1" s="311">
      <c r="A715" s="1" t="n"/>
      <c r="B715" s="1" t="n"/>
      <c r="C715" s="1" t="n"/>
      <c r="D715" s="1" t="n"/>
      <c r="E715" s="1" t="n"/>
      <c r="F715" s="1" t="n"/>
      <c r="G715" s="1" t="n"/>
      <c r="H715" s="1" t="n"/>
      <c r="I715" s="1" t="n"/>
      <c r="J715" s="1" t="n"/>
      <c r="K715" s="1" t="n"/>
      <c r="L715" s="1" t="n"/>
      <c r="M715" s="1" t="n"/>
      <c r="N715" s="1" t="n"/>
      <c r="O715" s="1" t="n"/>
      <c r="P715" s="1" t="n"/>
    </row>
    <row r="716" ht="15.75" customHeight="1" s="311">
      <c r="A716" s="1" t="n"/>
      <c r="B716" s="1" t="n"/>
      <c r="C716" s="1" t="n"/>
      <c r="D716" s="1" t="n"/>
      <c r="E716" s="1" t="n"/>
      <c r="F716" s="1" t="n"/>
      <c r="G716" s="1" t="n"/>
      <c r="H716" s="1" t="n"/>
      <c r="I716" s="1" t="n"/>
      <c r="J716" s="1" t="n"/>
      <c r="K716" s="1" t="n"/>
      <c r="L716" s="1" t="n"/>
      <c r="M716" s="1" t="n"/>
      <c r="N716" s="1" t="n"/>
      <c r="O716" s="1" t="n"/>
      <c r="P716" s="1" t="n"/>
    </row>
    <row r="717" ht="15.75" customHeight="1" s="311">
      <c r="A717" s="1" t="n"/>
      <c r="B717" s="1" t="n"/>
      <c r="C717" s="1" t="n"/>
      <c r="D717" s="1" t="n"/>
      <c r="E717" s="1" t="n"/>
      <c r="F717" s="1" t="n"/>
      <c r="G717" s="1" t="n"/>
      <c r="H717" s="1" t="n"/>
      <c r="I717" s="1" t="n"/>
      <c r="J717" s="1" t="n"/>
      <c r="K717" s="1" t="n"/>
      <c r="L717" s="1" t="n"/>
      <c r="M717" s="1" t="n"/>
      <c r="N717" s="1" t="n"/>
      <c r="O717" s="1" t="n"/>
      <c r="P717" s="1" t="n"/>
    </row>
    <row r="718" ht="15.75" customHeight="1" s="311">
      <c r="A718" s="1" t="n"/>
      <c r="B718" s="1" t="n"/>
      <c r="C718" s="1" t="n"/>
      <c r="D718" s="1" t="n"/>
      <c r="E718" s="1" t="n"/>
      <c r="F718" s="1" t="n"/>
      <c r="G718" s="1" t="n"/>
      <c r="H718" s="1" t="n"/>
      <c r="I718" s="1" t="n"/>
      <c r="J718" s="1" t="n"/>
      <c r="K718" s="1" t="n"/>
      <c r="L718" s="1" t="n"/>
      <c r="M718" s="1" t="n"/>
      <c r="N718" s="1" t="n"/>
      <c r="O718" s="1" t="n"/>
      <c r="P718" s="1" t="n"/>
    </row>
    <row r="719" ht="15.75" customHeight="1" s="311">
      <c r="A719" s="1" t="n"/>
      <c r="B719" s="1" t="n"/>
      <c r="C719" s="1" t="n"/>
      <c r="D719" s="1" t="n"/>
      <c r="E719" s="1" t="n"/>
      <c r="F719" s="1" t="n"/>
      <c r="G719" s="1" t="n"/>
      <c r="H719" s="1" t="n"/>
      <c r="I719" s="1" t="n"/>
      <c r="J719" s="1" t="n"/>
      <c r="K719" s="1" t="n"/>
      <c r="L719" s="1" t="n"/>
      <c r="M719" s="1" t="n"/>
      <c r="N719" s="1" t="n"/>
      <c r="O719" s="1" t="n"/>
      <c r="P719" s="1" t="n"/>
    </row>
    <row r="720" ht="15.75" customHeight="1" s="311">
      <c r="A720" s="1" t="n"/>
      <c r="B720" s="1" t="n"/>
      <c r="C720" s="1" t="n"/>
      <c r="D720" s="1" t="n"/>
      <c r="E720" s="1" t="n"/>
      <c r="F720" s="1" t="n"/>
      <c r="G720" s="1" t="n"/>
      <c r="H720" s="1" t="n"/>
      <c r="I720" s="1" t="n"/>
      <c r="J720" s="1" t="n"/>
      <c r="K720" s="1" t="n"/>
      <c r="L720" s="1" t="n"/>
      <c r="M720" s="1" t="n"/>
      <c r="N720" s="1" t="n"/>
      <c r="O720" s="1" t="n"/>
      <c r="P720" s="1" t="n"/>
    </row>
    <row r="721" ht="15.75" customHeight="1" s="311">
      <c r="A721" s="1" t="n"/>
      <c r="B721" s="1" t="n"/>
      <c r="C721" s="1" t="n"/>
      <c r="D721" s="1" t="n"/>
      <c r="E721" s="1" t="n"/>
      <c r="F721" s="1" t="n"/>
      <c r="G721" s="1" t="n"/>
      <c r="H721" s="1" t="n"/>
      <c r="I721" s="1" t="n"/>
      <c r="J721" s="1" t="n"/>
      <c r="K721" s="1" t="n"/>
      <c r="L721" s="1" t="n"/>
      <c r="M721" s="1" t="n"/>
      <c r="N721" s="1" t="n"/>
      <c r="O721" s="1" t="n"/>
      <c r="P721" s="1" t="n"/>
    </row>
    <row r="722" ht="15.75" customHeight="1" s="311">
      <c r="A722" s="1" t="n"/>
      <c r="B722" s="1" t="n"/>
      <c r="C722" s="1" t="n"/>
      <c r="D722" s="1" t="n"/>
      <c r="E722" s="1" t="n"/>
      <c r="F722" s="1" t="n"/>
      <c r="G722" s="1" t="n"/>
      <c r="H722" s="1" t="n"/>
      <c r="I722" s="1" t="n"/>
      <c r="J722" s="1" t="n"/>
      <c r="K722" s="1" t="n"/>
      <c r="L722" s="1" t="n"/>
      <c r="M722" s="1" t="n"/>
      <c r="N722" s="1" t="n"/>
      <c r="O722" s="1" t="n"/>
      <c r="P722" s="1" t="n"/>
    </row>
    <row r="723" ht="15.75" customHeight="1" s="311">
      <c r="A723" s="1" t="n"/>
      <c r="B723" s="1" t="n"/>
      <c r="C723" s="1" t="n"/>
      <c r="D723" s="1" t="n"/>
      <c r="E723" s="1" t="n"/>
      <c r="F723" s="1" t="n"/>
      <c r="G723" s="1" t="n"/>
      <c r="H723" s="1" t="n"/>
      <c r="I723" s="1" t="n"/>
      <c r="J723" s="1" t="n"/>
      <c r="K723" s="1" t="n"/>
      <c r="L723" s="1" t="n"/>
      <c r="M723" s="1" t="n"/>
      <c r="N723" s="1" t="n"/>
      <c r="O723" s="1" t="n"/>
      <c r="P723" s="1" t="n"/>
    </row>
    <row r="724" ht="15.75" customHeight="1" s="311">
      <c r="A724" s="1" t="n"/>
      <c r="B724" s="1" t="n"/>
      <c r="C724" s="1" t="n"/>
      <c r="D724" s="1" t="n"/>
      <c r="E724" s="1" t="n"/>
      <c r="F724" s="1" t="n"/>
      <c r="G724" s="1" t="n"/>
      <c r="H724" s="1" t="n"/>
      <c r="I724" s="1" t="n"/>
      <c r="J724" s="1" t="n"/>
      <c r="K724" s="1" t="n"/>
      <c r="L724" s="1" t="n"/>
      <c r="M724" s="1" t="n"/>
      <c r="N724" s="1" t="n"/>
      <c r="O724" s="1" t="n"/>
      <c r="P724" s="1" t="n"/>
    </row>
    <row r="725" ht="15.75" customHeight="1" s="311">
      <c r="A725" s="1" t="n"/>
      <c r="B725" s="1" t="n"/>
      <c r="C725" s="1" t="n"/>
      <c r="D725" s="1" t="n"/>
      <c r="E725" s="1" t="n"/>
      <c r="F725" s="1" t="n"/>
      <c r="G725" s="1" t="n"/>
      <c r="H725" s="1" t="n"/>
      <c r="I725" s="1" t="n"/>
      <c r="J725" s="1" t="n"/>
      <c r="K725" s="1" t="n"/>
      <c r="L725" s="1" t="n"/>
      <c r="M725" s="1" t="n"/>
      <c r="N725" s="1" t="n"/>
      <c r="O725" s="1" t="n"/>
      <c r="P725" s="1" t="n"/>
    </row>
    <row r="726" ht="15.75" customHeight="1" s="311">
      <c r="A726" s="1" t="n"/>
      <c r="B726" s="1" t="n"/>
      <c r="C726" s="1" t="n"/>
      <c r="D726" s="1" t="n"/>
      <c r="E726" s="1" t="n"/>
      <c r="F726" s="1" t="n"/>
      <c r="G726" s="1" t="n"/>
      <c r="H726" s="1" t="n"/>
      <c r="I726" s="1" t="n"/>
      <c r="J726" s="1" t="n"/>
      <c r="K726" s="1" t="n"/>
      <c r="L726" s="1" t="n"/>
      <c r="M726" s="1" t="n"/>
      <c r="N726" s="1" t="n"/>
      <c r="O726" s="1" t="n"/>
      <c r="P726" s="1" t="n"/>
    </row>
    <row r="727" ht="15.75" customHeight="1" s="311">
      <c r="A727" s="1" t="n"/>
      <c r="B727" s="1" t="n"/>
      <c r="C727" s="1" t="n"/>
      <c r="D727" s="1" t="n"/>
      <c r="E727" s="1" t="n"/>
      <c r="F727" s="1" t="n"/>
      <c r="G727" s="1" t="n"/>
      <c r="H727" s="1" t="n"/>
      <c r="I727" s="1" t="n"/>
      <c r="J727" s="1" t="n"/>
      <c r="K727" s="1" t="n"/>
      <c r="L727" s="1" t="n"/>
      <c r="M727" s="1" t="n"/>
      <c r="N727" s="1" t="n"/>
      <c r="O727" s="1" t="n"/>
      <c r="P727" s="1" t="n"/>
    </row>
    <row r="728" ht="15.75" customHeight="1" s="311">
      <c r="A728" s="1" t="n"/>
      <c r="B728" s="1" t="n"/>
      <c r="C728" s="1" t="n"/>
      <c r="D728" s="1" t="n"/>
      <c r="E728" s="1" t="n"/>
      <c r="F728" s="1" t="n"/>
      <c r="G728" s="1" t="n"/>
      <c r="H728" s="1" t="n"/>
      <c r="I728" s="1" t="n"/>
      <c r="J728" s="1" t="n"/>
      <c r="K728" s="1" t="n"/>
      <c r="L728" s="1" t="n"/>
      <c r="M728" s="1" t="n"/>
      <c r="N728" s="1" t="n"/>
      <c r="O728" s="1" t="n"/>
      <c r="P728" s="1" t="n"/>
    </row>
    <row r="729" ht="15.75" customHeight="1" s="311">
      <c r="A729" s="1" t="n"/>
      <c r="B729" s="1" t="n"/>
      <c r="C729" s="1" t="n"/>
      <c r="D729" s="1" t="n"/>
      <c r="E729" s="1" t="n"/>
      <c r="F729" s="1" t="n"/>
      <c r="G729" s="1" t="n"/>
      <c r="H729" s="1" t="n"/>
      <c r="I729" s="1" t="n"/>
      <c r="J729" s="1" t="n"/>
      <c r="K729" s="1" t="n"/>
      <c r="L729" s="1" t="n"/>
      <c r="M729" s="1" t="n"/>
      <c r="N729" s="1" t="n"/>
      <c r="O729" s="1" t="n"/>
      <c r="P729" s="1" t="n"/>
    </row>
    <row r="730" ht="15.75" customHeight="1" s="311">
      <c r="A730" s="1" t="n"/>
      <c r="B730" s="1" t="n"/>
      <c r="C730" s="1" t="n"/>
      <c r="D730" s="1" t="n"/>
      <c r="E730" s="1" t="n"/>
      <c r="F730" s="1" t="n"/>
      <c r="G730" s="1" t="n"/>
      <c r="H730" s="1" t="n"/>
      <c r="I730" s="1" t="n"/>
      <c r="J730" s="1" t="n"/>
      <c r="K730" s="1" t="n"/>
      <c r="L730" s="1" t="n"/>
      <c r="M730" s="1" t="n"/>
      <c r="N730" s="1" t="n"/>
      <c r="O730" s="1" t="n"/>
      <c r="P730" s="1" t="n"/>
    </row>
    <row r="731" ht="15.75" customHeight="1" s="311">
      <c r="A731" s="1" t="n"/>
      <c r="B731" s="1" t="n"/>
      <c r="C731" s="1" t="n"/>
      <c r="D731" s="1" t="n"/>
      <c r="E731" s="1" t="n"/>
      <c r="F731" s="1" t="n"/>
      <c r="G731" s="1" t="n"/>
      <c r="H731" s="1" t="n"/>
      <c r="I731" s="1" t="n"/>
      <c r="J731" s="1" t="n"/>
      <c r="K731" s="1" t="n"/>
      <c r="L731" s="1" t="n"/>
      <c r="M731" s="1" t="n"/>
      <c r="N731" s="1" t="n"/>
      <c r="O731" s="1" t="n"/>
      <c r="P731" s="1" t="n"/>
    </row>
    <row r="732" ht="15.75" customHeight="1" s="311">
      <c r="A732" s="1" t="n"/>
      <c r="B732" s="1" t="n"/>
      <c r="C732" s="1" t="n"/>
      <c r="D732" s="1" t="n"/>
      <c r="E732" s="1" t="n"/>
      <c r="F732" s="1" t="n"/>
      <c r="G732" s="1" t="n"/>
      <c r="H732" s="1" t="n"/>
      <c r="I732" s="1" t="n"/>
      <c r="J732" s="1" t="n"/>
      <c r="K732" s="1" t="n"/>
      <c r="L732" s="1" t="n"/>
      <c r="M732" s="1" t="n"/>
      <c r="N732" s="1" t="n"/>
      <c r="O732" s="1" t="n"/>
      <c r="P732" s="1" t="n"/>
    </row>
    <row r="733" ht="15.75" customHeight="1" s="311">
      <c r="A733" s="1" t="n"/>
      <c r="B733" s="1" t="n"/>
      <c r="C733" s="1" t="n"/>
      <c r="D733" s="1" t="n"/>
      <c r="E733" s="1" t="n"/>
      <c r="F733" s="1" t="n"/>
      <c r="G733" s="1" t="n"/>
      <c r="H733" s="1" t="n"/>
      <c r="I733" s="1" t="n"/>
      <c r="J733" s="1" t="n"/>
      <c r="K733" s="1" t="n"/>
      <c r="L733" s="1" t="n"/>
      <c r="M733" s="1" t="n"/>
      <c r="N733" s="1" t="n"/>
      <c r="O733" s="1" t="n"/>
      <c r="P733" s="1" t="n"/>
    </row>
    <row r="734" ht="15.75" customHeight="1" s="311">
      <c r="A734" s="1" t="n"/>
      <c r="B734" s="1" t="n"/>
      <c r="C734" s="1" t="n"/>
      <c r="D734" s="1" t="n"/>
      <c r="E734" s="1" t="n"/>
      <c r="F734" s="1" t="n"/>
      <c r="G734" s="1" t="n"/>
      <c r="H734" s="1" t="n"/>
      <c r="I734" s="1" t="n"/>
      <c r="J734" s="1" t="n"/>
      <c r="K734" s="1" t="n"/>
      <c r="L734" s="1" t="n"/>
      <c r="M734" s="1" t="n"/>
      <c r="N734" s="1" t="n"/>
      <c r="O734" s="1" t="n"/>
      <c r="P734" s="1" t="n"/>
    </row>
    <row r="735" ht="15.75" customHeight="1" s="311">
      <c r="A735" s="1" t="n"/>
      <c r="B735" s="1" t="n"/>
      <c r="C735" s="1" t="n"/>
      <c r="D735" s="1" t="n"/>
      <c r="E735" s="1" t="n"/>
      <c r="F735" s="1" t="n"/>
      <c r="G735" s="1" t="n"/>
      <c r="H735" s="1" t="n"/>
      <c r="I735" s="1" t="n"/>
      <c r="J735" s="1" t="n"/>
      <c r="K735" s="1" t="n"/>
      <c r="L735" s="1" t="n"/>
      <c r="M735" s="1" t="n"/>
      <c r="N735" s="1" t="n"/>
      <c r="O735" s="1" t="n"/>
      <c r="P735" s="1" t="n"/>
    </row>
    <row r="736" ht="15.75" customHeight="1" s="311">
      <c r="A736" s="1" t="n"/>
      <c r="B736" s="1" t="n"/>
      <c r="C736" s="1" t="n"/>
      <c r="D736" s="1" t="n"/>
      <c r="E736" s="1" t="n"/>
      <c r="F736" s="1" t="n"/>
      <c r="G736" s="1" t="n"/>
      <c r="H736" s="1" t="n"/>
      <c r="I736" s="1" t="n"/>
      <c r="J736" s="1" t="n"/>
      <c r="K736" s="1" t="n"/>
      <c r="L736" s="1" t="n"/>
      <c r="M736" s="1" t="n"/>
      <c r="N736" s="1" t="n"/>
      <c r="O736" s="1" t="n"/>
      <c r="P736" s="1" t="n"/>
    </row>
    <row r="737" ht="15.75" customHeight="1" s="311">
      <c r="A737" s="1" t="n"/>
      <c r="B737" s="1" t="n"/>
      <c r="C737" s="1" t="n"/>
      <c r="D737" s="1" t="n"/>
      <c r="E737" s="1" t="n"/>
      <c r="F737" s="1" t="n"/>
      <c r="G737" s="1" t="n"/>
      <c r="H737" s="1" t="n"/>
      <c r="I737" s="1" t="n"/>
      <c r="J737" s="1" t="n"/>
      <c r="K737" s="1" t="n"/>
      <c r="L737" s="1" t="n"/>
      <c r="M737" s="1" t="n"/>
      <c r="N737" s="1" t="n"/>
      <c r="O737" s="1" t="n"/>
      <c r="P737" s="1" t="n"/>
    </row>
    <row r="738" ht="15.75" customHeight="1" s="311">
      <c r="A738" s="1" t="n"/>
      <c r="B738" s="1" t="n"/>
      <c r="C738" s="1" t="n"/>
      <c r="D738" s="1" t="n"/>
      <c r="E738" s="1" t="n"/>
      <c r="F738" s="1" t="n"/>
      <c r="G738" s="1" t="n"/>
      <c r="H738" s="1" t="n"/>
      <c r="I738" s="1" t="n"/>
      <c r="J738" s="1" t="n"/>
      <c r="K738" s="1" t="n"/>
      <c r="L738" s="1" t="n"/>
      <c r="M738" s="1" t="n"/>
      <c r="N738" s="1" t="n"/>
      <c r="O738" s="1" t="n"/>
      <c r="P738" s="1" t="n"/>
    </row>
    <row r="739" ht="15.75" customHeight="1" s="311">
      <c r="A739" s="1" t="n"/>
      <c r="B739" s="1" t="n"/>
      <c r="C739" s="1" t="n"/>
      <c r="D739" s="1" t="n"/>
      <c r="E739" s="1" t="n"/>
      <c r="F739" s="1" t="n"/>
      <c r="G739" s="1" t="n"/>
      <c r="H739" s="1" t="n"/>
      <c r="I739" s="1" t="n"/>
      <c r="J739" s="1" t="n"/>
      <c r="K739" s="1" t="n"/>
      <c r="L739" s="1" t="n"/>
      <c r="M739" s="1" t="n"/>
      <c r="N739" s="1" t="n"/>
      <c r="O739" s="1" t="n"/>
      <c r="P739" s="1" t="n"/>
    </row>
    <row r="740" ht="15.75" customHeight="1" s="311">
      <c r="A740" s="1" t="n"/>
      <c r="B740" s="1" t="n"/>
      <c r="C740" s="1" t="n"/>
      <c r="D740" s="1" t="n"/>
      <c r="E740" s="1" t="n"/>
      <c r="F740" s="1" t="n"/>
      <c r="G740" s="1" t="n"/>
      <c r="H740" s="1" t="n"/>
      <c r="I740" s="1" t="n"/>
      <c r="J740" s="1" t="n"/>
      <c r="K740" s="1" t="n"/>
      <c r="L740" s="1" t="n"/>
      <c r="M740" s="1" t="n"/>
      <c r="N740" s="1" t="n"/>
      <c r="O740" s="1" t="n"/>
      <c r="P740" s="1" t="n"/>
    </row>
    <row r="741" ht="15.75" customHeight="1" s="311">
      <c r="A741" s="1" t="n"/>
      <c r="B741" s="1" t="n"/>
      <c r="C741" s="1" t="n"/>
      <c r="D741" s="1" t="n"/>
      <c r="E741" s="1" t="n"/>
      <c r="F741" s="1" t="n"/>
      <c r="G741" s="1" t="n"/>
      <c r="H741" s="1" t="n"/>
      <c r="I741" s="1" t="n"/>
      <c r="J741" s="1" t="n"/>
      <c r="K741" s="1" t="n"/>
      <c r="L741" s="1" t="n"/>
      <c r="M741" s="1" t="n"/>
      <c r="N741" s="1" t="n"/>
      <c r="O741" s="1" t="n"/>
      <c r="P741" s="1" t="n"/>
    </row>
    <row r="742" ht="15.75" customHeight="1" s="311">
      <c r="A742" s="1" t="n"/>
      <c r="B742" s="1" t="n"/>
      <c r="C742" s="1" t="n"/>
      <c r="D742" s="1" t="n"/>
      <c r="E742" s="1" t="n"/>
      <c r="F742" s="1" t="n"/>
      <c r="G742" s="1" t="n"/>
      <c r="H742" s="1" t="n"/>
      <c r="I742" s="1" t="n"/>
      <c r="J742" s="1" t="n"/>
      <c r="K742" s="1" t="n"/>
      <c r="L742" s="1" t="n"/>
      <c r="M742" s="1" t="n"/>
      <c r="N742" s="1" t="n"/>
      <c r="O742" s="1" t="n"/>
      <c r="P742" s="1" t="n"/>
    </row>
    <row r="743" ht="15.75" customHeight="1" s="311">
      <c r="A743" s="1" t="n"/>
      <c r="B743" s="1" t="n"/>
      <c r="C743" s="1" t="n"/>
      <c r="D743" s="1" t="n"/>
      <c r="E743" s="1" t="n"/>
      <c r="F743" s="1" t="n"/>
      <c r="G743" s="1" t="n"/>
      <c r="H743" s="1" t="n"/>
      <c r="I743" s="1" t="n"/>
      <c r="J743" s="1" t="n"/>
      <c r="K743" s="1" t="n"/>
      <c r="L743" s="1" t="n"/>
      <c r="M743" s="1" t="n"/>
      <c r="N743" s="1" t="n"/>
      <c r="O743" s="1" t="n"/>
      <c r="P743" s="1" t="n"/>
    </row>
    <row r="744" ht="15.75" customHeight="1" s="311">
      <c r="A744" s="1" t="n"/>
      <c r="B744" s="1" t="n"/>
      <c r="C744" s="1" t="n"/>
      <c r="D744" s="1" t="n"/>
      <c r="E744" s="1" t="n"/>
      <c r="F744" s="1" t="n"/>
      <c r="G744" s="1" t="n"/>
      <c r="H744" s="1" t="n"/>
      <c r="I744" s="1" t="n"/>
      <c r="J744" s="1" t="n"/>
      <c r="K744" s="1" t="n"/>
      <c r="L744" s="1" t="n"/>
      <c r="M744" s="1" t="n"/>
      <c r="N744" s="1" t="n"/>
      <c r="O744" s="1" t="n"/>
      <c r="P744" s="1" t="n"/>
    </row>
    <row r="745" ht="15.75" customHeight="1" s="311">
      <c r="A745" s="1" t="n"/>
      <c r="B745" s="1" t="n"/>
      <c r="C745" s="1" t="n"/>
      <c r="D745" s="1" t="n"/>
      <c r="E745" s="1" t="n"/>
      <c r="F745" s="1" t="n"/>
      <c r="G745" s="1" t="n"/>
      <c r="H745" s="1" t="n"/>
      <c r="I745" s="1" t="n"/>
      <c r="J745" s="1" t="n"/>
      <c r="K745" s="1" t="n"/>
      <c r="L745" s="1" t="n"/>
      <c r="M745" s="1" t="n"/>
      <c r="N745" s="1" t="n"/>
      <c r="O745" s="1" t="n"/>
      <c r="P745" s="1" t="n"/>
    </row>
    <row r="746" ht="15.75" customHeight="1" s="311">
      <c r="A746" s="1" t="n"/>
      <c r="B746" s="1" t="n"/>
      <c r="C746" s="1" t="n"/>
      <c r="D746" s="1" t="n"/>
      <c r="E746" s="1" t="n"/>
      <c r="F746" s="1" t="n"/>
      <c r="G746" s="1" t="n"/>
      <c r="H746" s="1" t="n"/>
      <c r="I746" s="1" t="n"/>
      <c r="J746" s="1" t="n"/>
      <c r="K746" s="1" t="n"/>
      <c r="L746" s="1" t="n"/>
      <c r="M746" s="1" t="n"/>
      <c r="N746" s="1" t="n"/>
      <c r="O746" s="1" t="n"/>
      <c r="P746" s="1" t="n"/>
    </row>
    <row r="747" ht="15.75" customHeight="1" s="311">
      <c r="A747" s="1" t="n"/>
      <c r="B747" s="1" t="n"/>
      <c r="C747" s="1" t="n"/>
      <c r="D747" s="1" t="n"/>
      <c r="E747" s="1" t="n"/>
      <c r="F747" s="1" t="n"/>
      <c r="G747" s="1" t="n"/>
      <c r="H747" s="1" t="n"/>
      <c r="I747" s="1" t="n"/>
      <c r="J747" s="1" t="n"/>
      <c r="K747" s="1" t="n"/>
      <c r="L747" s="1" t="n"/>
      <c r="M747" s="1" t="n"/>
      <c r="N747" s="1" t="n"/>
      <c r="O747" s="1" t="n"/>
      <c r="P747" s="1" t="n"/>
    </row>
    <row r="748" ht="15.75" customHeight="1" s="311">
      <c r="A748" s="1" t="n"/>
      <c r="B748" s="1" t="n"/>
      <c r="C748" s="1" t="n"/>
      <c r="D748" s="1" t="n"/>
      <c r="E748" s="1" t="n"/>
      <c r="F748" s="1" t="n"/>
      <c r="G748" s="1" t="n"/>
      <c r="H748" s="1" t="n"/>
      <c r="I748" s="1" t="n"/>
      <c r="J748" s="1" t="n"/>
      <c r="K748" s="1" t="n"/>
      <c r="L748" s="1" t="n"/>
      <c r="M748" s="1" t="n"/>
      <c r="N748" s="1" t="n"/>
      <c r="O748" s="1" t="n"/>
      <c r="P748" s="1" t="n"/>
    </row>
    <row r="749" ht="15.75" customHeight="1" s="311">
      <c r="A749" s="1" t="n"/>
      <c r="B749" s="1" t="n"/>
      <c r="C749" s="1" t="n"/>
      <c r="D749" s="1" t="n"/>
      <c r="E749" s="1" t="n"/>
      <c r="F749" s="1" t="n"/>
      <c r="G749" s="1" t="n"/>
      <c r="H749" s="1" t="n"/>
      <c r="I749" s="1" t="n"/>
      <c r="J749" s="1" t="n"/>
      <c r="K749" s="1" t="n"/>
      <c r="L749" s="1" t="n"/>
      <c r="M749" s="1" t="n"/>
      <c r="N749" s="1" t="n"/>
      <c r="O749" s="1" t="n"/>
      <c r="P749" s="1" t="n"/>
    </row>
    <row r="750" ht="15.75" customHeight="1" s="311">
      <c r="A750" s="1" t="n"/>
      <c r="B750" s="1" t="n"/>
      <c r="C750" s="1" t="n"/>
      <c r="D750" s="1" t="n"/>
      <c r="E750" s="1" t="n"/>
      <c r="F750" s="1" t="n"/>
      <c r="G750" s="1" t="n"/>
      <c r="H750" s="1" t="n"/>
      <c r="I750" s="1" t="n"/>
      <c r="J750" s="1" t="n"/>
      <c r="K750" s="1" t="n"/>
      <c r="L750" s="1" t="n"/>
      <c r="M750" s="1" t="n"/>
      <c r="N750" s="1" t="n"/>
      <c r="O750" s="1" t="n"/>
      <c r="P750" s="1" t="n"/>
    </row>
    <row r="751" ht="15.75" customHeight="1" s="311">
      <c r="A751" s="1" t="n"/>
      <c r="B751" s="1" t="n"/>
      <c r="C751" s="1" t="n"/>
      <c r="D751" s="1" t="n"/>
      <c r="E751" s="1" t="n"/>
      <c r="F751" s="1" t="n"/>
      <c r="G751" s="1" t="n"/>
      <c r="H751" s="1" t="n"/>
      <c r="I751" s="1" t="n"/>
      <c r="J751" s="1" t="n"/>
      <c r="K751" s="1" t="n"/>
      <c r="L751" s="1" t="n"/>
      <c r="M751" s="1" t="n"/>
      <c r="N751" s="1" t="n"/>
      <c r="O751" s="1" t="n"/>
      <c r="P751" s="1" t="n"/>
    </row>
    <row r="752" ht="15.75" customHeight="1" s="311">
      <c r="A752" s="1" t="n"/>
      <c r="B752" s="1" t="n"/>
      <c r="C752" s="1" t="n"/>
      <c r="D752" s="1" t="n"/>
      <c r="E752" s="1" t="n"/>
      <c r="F752" s="1" t="n"/>
      <c r="G752" s="1" t="n"/>
      <c r="H752" s="1" t="n"/>
      <c r="I752" s="1" t="n"/>
      <c r="J752" s="1" t="n"/>
      <c r="K752" s="1" t="n"/>
      <c r="L752" s="1" t="n"/>
      <c r="M752" s="1" t="n"/>
      <c r="N752" s="1" t="n"/>
      <c r="O752" s="1" t="n"/>
      <c r="P752" s="1" t="n"/>
    </row>
    <row r="753" ht="15.75" customHeight="1" s="311">
      <c r="A753" s="1" t="n"/>
      <c r="B753" s="1" t="n"/>
      <c r="C753" s="1" t="n"/>
      <c r="D753" s="1" t="n"/>
      <c r="E753" s="1" t="n"/>
      <c r="F753" s="1" t="n"/>
      <c r="G753" s="1" t="n"/>
      <c r="H753" s="1" t="n"/>
      <c r="I753" s="1" t="n"/>
      <c r="J753" s="1" t="n"/>
      <c r="K753" s="1" t="n"/>
      <c r="L753" s="1" t="n"/>
      <c r="M753" s="1" t="n"/>
      <c r="N753" s="1" t="n"/>
      <c r="O753" s="1" t="n"/>
      <c r="P753" s="1" t="n"/>
    </row>
    <row r="754" ht="15.75" customHeight="1" s="311">
      <c r="A754" s="1" t="n"/>
      <c r="B754" s="1" t="n"/>
      <c r="C754" s="1" t="n"/>
      <c r="D754" s="1" t="n"/>
      <c r="E754" s="1" t="n"/>
      <c r="F754" s="1" t="n"/>
      <c r="G754" s="1" t="n"/>
      <c r="H754" s="1" t="n"/>
      <c r="I754" s="1" t="n"/>
      <c r="J754" s="1" t="n"/>
      <c r="K754" s="1" t="n"/>
      <c r="L754" s="1" t="n"/>
      <c r="M754" s="1" t="n"/>
      <c r="N754" s="1" t="n"/>
      <c r="O754" s="1" t="n"/>
      <c r="P754" s="1" t="n"/>
    </row>
    <row r="755" ht="15.75" customHeight="1" s="311">
      <c r="A755" s="1" t="n"/>
      <c r="B755" s="1" t="n"/>
      <c r="C755" s="1" t="n"/>
      <c r="D755" s="1" t="n"/>
      <c r="E755" s="1" t="n"/>
      <c r="F755" s="1" t="n"/>
      <c r="G755" s="1" t="n"/>
      <c r="H755" s="1" t="n"/>
      <c r="I755" s="1" t="n"/>
      <c r="J755" s="1" t="n"/>
      <c r="K755" s="1" t="n"/>
      <c r="L755" s="1" t="n"/>
      <c r="M755" s="1" t="n"/>
      <c r="N755" s="1" t="n"/>
      <c r="O755" s="1" t="n"/>
      <c r="P755" s="1" t="n"/>
    </row>
    <row r="756" ht="15.75" customHeight="1" s="311">
      <c r="A756" s="1" t="n"/>
      <c r="B756" s="1" t="n"/>
      <c r="C756" s="1" t="n"/>
      <c r="D756" s="1" t="n"/>
      <c r="E756" s="1" t="n"/>
      <c r="F756" s="1" t="n"/>
      <c r="G756" s="1" t="n"/>
      <c r="H756" s="1" t="n"/>
      <c r="I756" s="1" t="n"/>
      <c r="J756" s="1" t="n"/>
      <c r="K756" s="1" t="n"/>
      <c r="L756" s="1" t="n"/>
      <c r="M756" s="1" t="n"/>
      <c r="N756" s="1" t="n"/>
      <c r="O756" s="1" t="n"/>
      <c r="P756" s="1" t="n"/>
    </row>
    <row r="757" ht="15.75" customHeight="1" s="311">
      <c r="A757" s="1" t="n"/>
      <c r="B757" s="1" t="n"/>
      <c r="C757" s="1" t="n"/>
      <c r="D757" s="1" t="n"/>
      <c r="E757" s="1" t="n"/>
      <c r="F757" s="1" t="n"/>
      <c r="G757" s="1" t="n"/>
      <c r="H757" s="1" t="n"/>
      <c r="I757" s="1" t="n"/>
      <c r="J757" s="1" t="n"/>
      <c r="K757" s="1" t="n"/>
      <c r="L757" s="1" t="n"/>
      <c r="M757" s="1" t="n"/>
      <c r="N757" s="1" t="n"/>
      <c r="O757" s="1" t="n"/>
      <c r="P757" s="1" t="n"/>
    </row>
    <row r="758" ht="15.75" customHeight="1" s="311">
      <c r="A758" s="1" t="n"/>
      <c r="B758" s="1" t="n"/>
      <c r="C758" s="1" t="n"/>
      <c r="D758" s="1" t="n"/>
      <c r="E758" s="1" t="n"/>
      <c r="F758" s="1" t="n"/>
      <c r="G758" s="1" t="n"/>
      <c r="H758" s="1" t="n"/>
      <c r="I758" s="1" t="n"/>
      <c r="J758" s="1" t="n"/>
      <c r="K758" s="1" t="n"/>
      <c r="L758" s="1" t="n"/>
      <c r="M758" s="1" t="n"/>
      <c r="N758" s="1" t="n"/>
      <c r="O758" s="1" t="n"/>
      <c r="P758" s="1" t="n"/>
    </row>
    <row r="759" ht="15.75" customHeight="1" s="311">
      <c r="A759" s="1" t="n"/>
      <c r="B759" s="1" t="n"/>
      <c r="C759" s="1" t="n"/>
      <c r="D759" s="1" t="n"/>
      <c r="E759" s="1" t="n"/>
      <c r="F759" s="1" t="n"/>
      <c r="G759" s="1" t="n"/>
      <c r="H759" s="1" t="n"/>
      <c r="I759" s="1" t="n"/>
      <c r="J759" s="1" t="n"/>
      <c r="K759" s="1" t="n"/>
      <c r="L759" s="1" t="n"/>
      <c r="M759" s="1" t="n"/>
      <c r="N759" s="1" t="n"/>
      <c r="O759" s="1" t="n"/>
      <c r="P759" s="1" t="n"/>
    </row>
    <row r="760" ht="15.75" customHeight="1" s="311">
      <c r="A760" s="1" t="n"/>
      <c r="B760" s="1" t="n"/>
      <c r="C760" s="1" t="n"/>
      <c r="D760" s="1" t="n"/>
      <c r="E760" s="1" t="n"/>
      <c r="F760" s="1" t="n"/>
      <c r="G760" s="1" t="n"/>
      <c r="H760" s="1" t="n"/>
      <c r="I760" s="1" t="n"/>
      <c r="J760" s="1" t="n"/>
      <c r="K760" s="1" t="n"/>
      <c r="L760" s="1" t="n"/>
      <c r="M760" s="1" t="n"/>
      <c r="N760" s="1" t="n"/>
      <c r="O760" s="1" t="n"/>
      <c r="P760" s="1" t="n"/>
    </row>
    <row r="761" ht="15.75" customHeight="1" s="311">
      <c r="A761" s="1" t="n"/>
      <c r="B761" s="1" t="n"/>
      <c r="C761" s="1" t="n"/>
      <c r="D761" s="1" t="n"/>
      <c r="E761" s="1" t="n"/>
      <c r="F761" s="1" t="n"/>
      <c r="G761" s="1" t="n"/>
      <c r="H761" s="1" t="n"/>
      <c r="I761" s="1" t="n"/>
      <c r="J761" s="1" t="n"/>
      <c r="K761" s="1" t="n"/>
      <c r="L761" s="1" t="n"/>
      <c r="M761" s="1" t="n"/>
      <c r="N761" s="1" t="n"/>
      <c r="O761" s="1" t="n"/>
      <c r="P761" s="1" t="n"/>
    </row>
    <row r="762" ht="15.75" customHeight="1" s="311">
      <c r="A762" s="1" t="n"/>
      <c r="B762" s="1" t="n"/>
      <c r="C762" s="1" t="n"/>
      <c r="D762" s="1" t="n"/>
      <c r="E762" s="1" t="n"/>
      <c r="F762" s="1" t="n"/>
      <c r="G762" s="1" t="n"/>
      <c r="H762" s="1" t="n"/>
      <c r="I762" s="1" t="n"/>
      <c r="J762" s="1" t="n"/>
      <c r="K762" s="1" t="n"/>
      <c r="L762" s="1" t="n"/>
      <c r="M762" s="1" t="n"/>
      <c r="N762" s="1" t="n"/>
      <c r="O762" s="1" t="n"/>
      <c r="P762" s="1" t="n"/>
    </row>
    <row r="763" ht="15.75" customHeight="1" s="311">
      <c r="A763" s="1" t="n"/>
      <c r="B763" s="1" t="n"/>
      <c r="C763" s="1" t="n"/>
      <c r="D763" s="1" t="n"/>
      <c r="E763" s="1" t="n"/>
      <c r="F763" s="1" t="n"/>
      <c r="G763" s="1" t="n"/>
      <c r="H763" s="1" t="n"/>
      <c r="I763" s="1" t="n"/>
      <c r="J763" s="1" t="n"/>
      <c r="K763" s="1" t="n"/>
      <c r="L763" s="1" t="n"/>
      <c r="M763" s="1" t="n"/>
      <c r="N763" s="1" t="n"/>
      <c r="O763" s="1" t="n"/>
      <c r="P763" s="1" t="n"/>
    </row>
    <row r="764" ht="15.75" customHeight="1" s="311">
      <c r="A764" s="1" t="n"/>
      <c r="B764" s="1" t="n"/>
      <c r="C764" s="1" t="n"/>
      <c r="D764" s="1" t="n"/>
      <c r="E764" s="1" t="n"/>
      <c r="F764" s="1" t="n"/>
      <c r="G764" s="1" t="n"/>
      <c r="H764" s="1" t="n"/>
      <c r="I764" s="1" t="n"/>
      <c r="J764" s="1" t="n"/>
      <c r="K764" s="1" t="n"/>
      <c r="L764" s="1" t="n"/>
      <c r="M764" s="1" t="n"/>
      <c r="N764" s="1" t="n"/>
      <c r="O764" s="1" t="n"/>
      <c r="P764" s="1" t="n"/>
    </row>
    <row r="765" ht="15.75" customHeight="1" s="311">
      <c r="A765" s="1" t="n"/>
      <c r="B765" s="1" t="n"/>
      <c r="C765" s="1" t="n"/>
      <c r="D765" s="1" t="n"/>
      <c r="E765" s="1" t="n"/>
      <c r="F765" s="1" t="n"/>
      <c r="G765" s="1" t="n"/>
      <c r="H765" s="1" t="n"/>
      <c r="I765" s="1" t="n"/>
      <c r="J765" s="1" t="n"/>
      <c r="K765" s="1" t="n"/>
      <c r="L765" s="1" t="n"/>
      <c r="M765" s="1" t="n"/>
      <c r="N765" s="1" t="n"/>
      <c r="O765" s="1" t="n"/>
      <c r="P765" s="1" t="n"/>
    </row>
    <row r="766" ht="15.75" customHeight="1" s="311">
      <c r="A766" s="1" t="n"/>
      <c r="B766" s="1" t="n"/>
      <c r="C766" s="1" t="n"/>
      <c r="D766" s="1" t="n"/>
      <c r="E766" s="1" t="n"/>
      <c r="F766" s="1" t="n"/>
      <c r="G766" s="1" t="n"/>
      <c r="H766" s="1" t="n"/>
      <c r="I766" s="1" t="n"/>
      <c r="J766" s="1" t="n"/>
      <c r="K766" s="1" t="n"/>
      <c r="L766" s="1" t="n"/>
      <c r="M766" s="1" t="n"/>
      <c r="N766" s="1" t="n"/>
      <c r="O766" s="1" t="n"/>
      <c r="P766" s="1" t="n"/>
    </row>
    <row r="767" ht="15.75" customHeight="1" s="311">
      <c r="A767" s="1" t="n"/>
      <c r="B767" s="1" t="n"/>
      <c r="C767" s="1" t="n"/>
      <c r="D767" s="1" t="n"/>
      <c r="E767" s="1" t="n"/>
      <c r="F767" s="1" t="n"/>
      <c r="G767" s="1" t="n"/>
      <c r="H767" s="1" t="n"/>
      <c r="I767" s="1" t="n"/>
      <c r="J767" s="1" t="n"/>
      <c r="K767" s="1" t="n"/>
      <c r="L767" s="1" t="n"/>
      <c r="M767" s="1" t="n"/>
      <c r="N767" s="1" t="n"/>
      <c r="O767" s="1" t="n"/>
      <c r="P767" s="1" t="n"/>
    </row>
    <row r="768" ht="15.75" customHeight="1" s="311">
      <c r="A768" s="1" t="n"/>
      <c r="B768" s="1" t="n"/>
      <c r="C768" s="1" t="n"/>
      <c r="D768" s="1" t="n"/>
      <c r="E768" s="1" t="n"/>
      <c r="F768" s="1" t="n"/>
      <c r="G768" s="1" t="n"/>
      <c r="H768" s="1" t="n"/>
      <c r="I768" s="1" t="n"/>
      <c r="J768" s="1" t="n"/>
      <c r="K768" s="1" t="n"/>
      <c r="L768" s="1" t="n"/>
      <c r="M768" s="1" t="n"/>
      <c r="N768" s="1" t="n"/>
      <c r="O768" s="1" t="n"/>
      <c r="P768" s="1" t="n"/>
    </row>
    <row r="769" ht="15.75" customHeight="1" s="311">
      <c r="A769" s="1" t="n"/>
      <c r="B769" s="1" t="n"/>
      <c r="C769" s="1" t="n"/>
      <c r="D769" s="1" t="n"/>
      <c r="E769" s="1" t="n"/>
      <c r="F769" s="1" t="n"/>
      <c r="G769" s="1" t="n"/>
      <c r="H769" s="1" t="n"/>
      <c r="I769" s="1" t="n"/>
      <c r="J769" s="1" t="n"/>
      <c r="K769" s="1" t="n"/>
      <c r="L769" s="1" t="n"/>
      <c r="M769" s="1" t="n"/>
      <c r="N769" s="1" t="n"/>
      <c r="O769" s="1" t="n"/>
      <c r="P769" s="1" t="n"/>
    </row>
    <row r="770" ht="15.75" customHeight="1" s="311">
      <c r="A770" s="1" t="n"/>
      <c r="B770" s="1" t="n"/>
      <c r="C770" s="1" t="n"/>
      <c r="D770" s="1" t="n"/>
      <c r="E770" s="1" t="n"/>
      <c r="F770" s="1" t="n"/>
      <c r="G770" s="1" t="n"/>
      <c r="H770" s="1" t="n"/>
      <c r="I770" s="1" t="n"/>
      <c r="J770" s="1" t="n"/>
      <c r="K770" s="1" t="n"/>
      <c r="L770" s="1" t="n"/>
      <c r="M770" s="1" t="n"/>
      <c r="N770" s="1" t="n"/>
      <c r="O770" s="1" t="n"/>
      <c r="P770" s="1" t="n"/>
    </row>
    <row r="771" ht="15.75" customHeight="1" s="311">
      <c r="A771" s="1" t="n"/>
      <c r="B771" s="1" t="n"/>
      <c r="C771" s="1" t="n"/>
      <c r="D771" s="1" t="n"/>
      <c r="E771" s="1" t="n"/>
      <c r="F771" s="1" t="n"/>
      <c r="G771" s="1" t="n"/>
      <c r="H771" s="1" t="n"/>
      <c r="I771" s="1" t="n"/>
      <c r="J771" s="1" t="n"/>
      <c r="K771" s="1" t="n"/>
      <c r="L771" s="1" t="n"/>
      <c r="M771" s="1" t="n"/>
      <c r="N771" s="1" t="n"/>
      <c r="O771" s="1" t="n"/>
      <c r="P771" s="1" t="n"/>
    </row>
    <row r="772" ht="15.75" customHeight="1" s="311">
      <c r="A772" s="1" t="n"/>
      <c r="B772" s="1" t="n"/>
      <c r="C772" s="1" t="n"/>
      <c r="D772" s="1" t="n"/>
      <c r="E772" s="1" t="n"/>
      <c r="F772" s="1" t="n"/>
      <c r="G772" s="1" t="n"/>
      <c r="H772" s="1" t="n"/>
      <c r="I772" s="1" t="n"/>
      <c r="J772" s="1" t="n"/>
      <c r="K772" s="1" t="n"/>
      <c r="L772" s="1" t="n"/>
      <c r="M772" s="1" t="n"/>
      <c r="N772" s="1" t="n"/>
      <c r="O772" s="1" t="n"/>
      <c r="P772" s="1" t="n"/>
    </row>
    <row r="773" ht="15.75" customHeight="1" s="311">
      <c r="A773" s="1" t="n"/>
      <c r="B773" s="1" t="n"/>
      <c r="C773" s="1" t="n"/>
      <c r="D773" s="1" t="n"/>
      <c r="E773" s="1" t="n"/>
      <c r="F773" s="1" t="n"/>
      <c r="G773" s="1" t="n"/>
      <c r="H773" s="1" t="n"/>
      <c r="I773" s="1" t="n"/>
      <c r="J773" s="1" t="n"/>
      <c r="K773" s="1" t="n"/>
      <c r="L773" s="1" t="n"/>
      <c r="M773" s="1" t="n"/>
      <c r="N773" s="1" t="n"/>
      <c r="O773" s="1" t="n"/>
      <c r="P773" s="1" t="n"/>
    </row>
    <row r="774" ht="15.75" customHeight="1" s="311">
      <c r="A774" s="1" t="n"/>
      <c r="B774" s="1" t="n"/>
      <c r="C774" s="1" t="n"/>
      <c r="D774" s="1" t="n"/>
      <c r="E774" s="1" t="n"/>
      <c r="F774" s="1" t="n"/>
      <c r="G774" s="1" t="n"/>
      <c r="H774" s="1" t="n"/>
      <c r="I774" s="1" t="n"/>
      <c r="J774" s="1" t="n"/>
      <c r="K774" s="1" t="n"/>
      <c r="L774" s="1" t="n"/>
      <c r="M774" s="1" t="n"/>
      <c r="N774" s="1" t="n"/>
      <c r="O774" s="1" t="n"/>
      <c r="P774" s="1" t="n"/>
    </row>
    <row r="775" ht="15.75" customHeight="1" s="311">
      <c r="A775" s="1" t="n"/>
      <c r="B775" s="1" t="n"/>
      <c r="C775" s="1" t="n"/>
      <c r="D775" s="1" t="n"/>
      <c r="E775" s="1" t="n"/>
      <c r="F775" s="1" t="n"/>
      <c r="G775" s="1" t="n"/>
      <c r="H775" s="1" t="n"/>
      <c r="I775" s="1" t="n"/>
      <c r="J775" s="1" t="n"/>
      <c r="K775" s="1" t="n"/>
      <c r="L775" s="1" t="n"/>
      <c r="M775" s="1" t="n"/>
      <c r="N775" s="1" t="n"/>
      <c r="O775" s="1" t="n"/>
      <c r="P775" s="1" t="n"/>
    </row>
    <row r="776" ht="15.75" customHeight="1" s="311">
      <c r="A776" s="1" t="n"/>
      <c r="B776" s="1" t="n"/>
      <c r="C776" s="1" t="n"/>
      <c r="D776" s="1" t="n"/>
      <c r="E776" s="1" t="n"/>
      <c r="F776" s="1" t="n"/>
      <c r="G776" s="1" t="n"/>
      <c r="H776" s="1" t="n"/>
      <c r="I776" s="1" t="n"/>
      <c r="J776" s="1" t="n"/>
      <c r="K776" s="1" t="n"/>
      <c r="L776" s="1" t="n"/>
      <c r="M776" s="1" t="n"/>
      <c r="N776" s="1" t="n"/>
      <c r="O776" s="1" t="n"/>
      <c r="P776" s="1" t="n"/>
    </row>
    <row r="777" ht="15.75" customHeight="1" s="311">
      <c r="A777" s="1" t="n"/>
      <c r="B777" s="1" t="n"/>
      <c r="C777" s="1" t="n"/>
      <c r="D777" s="1" t="n"/>
      <c r="E777" s="1" t="n"/>
      <c r="F777" s="1" t="n"/>
      <c r="G777" s="1" t="n"/>
      <c r="H777" s="1" t="n"/>
      <c r="I777" s="1" t="n"/>
      <c r="J777" s="1" t="n"/>
      <c r="K777" s="1" t="n"/>
      <c r="L777" s="1" t="n"/>
      <c r="M777" s="1" t="n"/>
      <c r="N777" s="1" t="n"/>
      <c r="O777" s="1" t="n"/>
      <c r="P777" s="1" t="n"/>
    </row>
    <row r="778" ht="15.75" customHeight="1" s="311">
      <c r="A778" s="1" t="n"/>
      <c r="B778" s="1" t="n"/>
      <c r="C778" s="1" t="n"/>
      <c r="D778" s="1" t="n"/>
      <c r="E778" s="1" t="n"/>
      <c r="F778" s="1" t="n"/>
      <c r="G778" s="1" t="n"/>
      <c r="H778" s="1" t="n"/>
      <c r="I778" s="1" t="n"/>
      <c r="J778" s="1" t="n"/>
      <c r="K778" s="1" t="n"/>
      <c r="L778" s="1" t="n"/>
      <c r="M778" s="1" t="n"/>
      <c r="N778" s="1" t="n"/>
      <c r="O778" s="1" t="n"/>
      <c r="P778" s="1" t="n"/>
    </row>
    <row r="779" ht="15.75" customHeight="1" s="311">
      <c r="A779" s="1" t="n"/>
      <c r="B779" s="1" t="n"/>
      <c r="C779" s="1" t="n"/>
      <c r="D779" s="1" t="n"/>
      <c r="E779" s="1" t="n"/>
      <c r="F779" s="1" t="n"/>
      <c r="G779" s="1" t="n"/>
      <c r="H779" s="1" t="n"/>
      <c r="I779" s="1" t="n"/>
      <c r="J779" s="1" t="n"/>
      <c r="K779" s="1" t="n"/>
      <c r="L779" s="1" t="n"/>
      <c r="M779" s="1" t="n"/>
      <c r="N779" s="1" t="n"/>
      <c r="O779" s="1" t="n"/>
      <c r="P779" s="1" t="n"/>
    </row>
    <row r="780" ht="15.75" customHeight="1" s="311">
      <c r="A780" s="1" t="n"/>
      <c r="B780" s="1" t="n"/>
      <c r="C780" s="1" t="n"/>
      <c r="D780" s="1" t="n"/>
      <c r="E780" s="1" t="n"/>
      <c r="F780" s="1" t="n"/>
      <c r="G780" s="1" t="n"/>
      <c r="H780" s="1" t="n"/>
      <c r="I780" s="1" t="n"/>
      <c r="J780" s="1" t="n"/>
      <c r="K780" s="1" t="n"/>
      <c r="L780" s="1" t="n"/>
      <c r="M780" s="1" t="n"/>
      <c r="N780" s="1" t="n"/>
      <c r="O780" s="1" t="n"/>
      <c r="P780" s="1" t="n"/>
    </row>
    <row r="781" ht="15.75" customHeight="1" s="311">
      <c r="A781" s="1" t="n"/>
      <c r="B781" s="1" t="n"/>
      <c r="C781" s="1" t="n"/>
      <c r="D781" s="1" t="n"/>
      <c r="E781" s="1" t="n"/>
      <c r="F781" s="1" t="n"/>
      <c r="G781" s="1" t="n"/>
      <c r="H781" s="1" t="n"/>
      <c r="I781" s="1" t="n"/>
      <c r="J781" s="1" t="n"/>
      <c r="K781" s="1" t="n"/>
      <c r="L781" s="1" t="n"/>
      <c r="M781" s="1" t="n"/>
      <c r="N781" s="1" t="n"/>
      <c r="O781" s="1" t="n"/>
      <c r="P781" s="1" t="n"/>
    </row>
    <row r="782" ht="15.75" customHeight="1" s="311">
      <c r="A782" s="1" t="n"/>
      <c r="B782" s="1" t="n"/>
      <c r="C782" s="1" t="n"/>
      <c r="D782" s="1" t="n"/>
      <c r="E782" s="1" t="n"/>
      <c r="F782" s="1" t="n"/>
      <c r="G782" s="1" t="n"/>
      <c r="H782" s="1" t="n"/>
      <c r="I782" s="1" t="n"/>
      <c r="J782" s="1" t="n"/>
      <c r="K782" s="1" t="n"/>
      <c r="L782" s="1" t="n"/>
      <c r="M782" s="1" t="n"/>
      <c r="N782" s="1" t="n"/>
      <c r="O782" s="1" t="n"/>
      <c r="P782" s="1" t="n"/>
    </row>
    <row r="783" ht="15.75" customHeight="1" s="311">
      <c r="A783" s="1" t="n"/>
      <c r="B783" s="1" t="n"/>
      <c r="C783" s="1" t="n"/>
      <c r="D783" s="1" t="n"/>
      <c r="E783" s="1" t="n"/>
      <c r="F783" s="1" t="n"/>
      <c r="G783" s="1" t="n"/>
      <c r="H783" s="1" t="n"/>
      <c r="I783" s="1" t="n"/>
      <c r="J783" s="1" t="n"/>
      <c r="K783" s="1" t="n"/>
      <c r="L783" s="1" t="n"/>
      <c r="M783" s="1" t="n"/>
      <c r="N783" s="1" t="n"/>
      <c r="O783" s="1" t="n"/>
      <c r="P783" s="1" t="n"/>
    </row>
    <row r="784" ht="15.75" customHeight="1" s="311">
      <c r="A784" s="1" t="n"/>
      <c r="B784" s="1" t="n"/>
      <c r="C784" s="1" t="n"/>
      <c r="D784" s="1" t="n"/>
      <c r="E784" s="1" t="n"/>
      <c r="F784" s="1" t="n"/>
      <c r="G784" s="1" t="n"/>
      <c r="H784" s="1" t="n"/>
      <c r="I784" s="1" t="n"/>
      <c r="J784" s="1" t="n"/>
      <c r="K784" s="1" t="n"/>
      <c r="L784" s="1" t="n"/>
      <c r="M784" s="1" t="n"/>
      <c r="N784" s="1" t="n"/>
      <c r="O784" s="1" t="n"/>
      <c r="P784" s="1" t="n"/>
    </row>
    <row r="785" ht="15.75" customHeight="1" s="311">
      <c r="A785" s="1" t="n"/>
      <c r="B785" s="1" t="n"/>
      <c r="C785" s="1" t="n"/>
      <c r="D785" s="1" t="n"/>
      <c r="E785" s="1" t="n"/>
      <c r="F785" s="1" t="n"/>
      <c r="G785" s="1" t="n"/>
      <c r="H785" s="1" t="n"/>
      <c r="I785" s="1" t="n"/>
      <c r="J785" s="1" t="n"/>
      <c r="K785" s="1" t="n"/>
      <c r="L785" s="1" t="n"/>
      <c r="M785" s="1" t="n"/>
      <c r="N785" s="1" t="n"/>
      <c r="O785" s="1" t="n"/>
      <c r="P785" s="1" t="n"/>
    </row>
    <row r="786" ht="15.75" customHeight="1" s="311">
      <c r="A786" s="1" t="n"/>
      <c r="B786" s="1" t="n"/>
      <c r="C786" s="1" t="n"/>
      <c r="D786" s="1" t="n"/>
      <c r="E786" s="1" t="n"/>
      <c r="F786" s="1" t="n"/>
      <c r="G786" s="1" t="n"/>
      <c r="H786" s="1" t="n"/>
      <c r="I786" s="1" t="n"/>
      <c r="J786" s="1" t="n"/>
      <c r="K786" s="1" t="n"/>
      <c r="L786" s="1" t="n"/>
      <c r="M786" s="1" t="n"/>
      <c r="N786" s="1" t="n"/>
      <c r="O786" s="1" t="n"/>
      <c r="P786" s="1" t="n"/>
    </row>
    <row r="787" ht="15.75" customHeight="1" s="311">
      <c r="A787" s="1" t="n"/>
      <c r="B787" s="1" t="n"/>
      <c r="C787" s="1" t="n"/>
      <c r="D787" s="1" t="n"/>
      <c r="E787" s="1" t="n"/>
      <c r="F787" s="1" t="n"/>
      <c r="G787" s="1" t="n"/>
      <c r="H787" s="1" t="n"/>
      <c r="I787" s="1" t="n"/>
      <c r="J787" s="1" t="n"/>
      <c r="K787" s="1" t="n"/>
      <c r="L787" s="1" t="n"/>
      <c r="M787" s="1" t="n"/>
      <c r="N787" s="1" t="n"/>
      <c r="O787" s="1" t="n"/>
      <c r="P787" s="1" t="n"/>
    </row>
    <row r="788" ht="15.75" customHeight="1" s="311">
      <c r="A788" s="1" t="n"/>
      <c r="B788" s="1" t="n"/>
      <c r="C788" s="1" t="n"/>
      <c r="D788" s="1" t="n"/>
      <c r="E788" s="1" t="n"/>
      <c r="F788" s="1" t="n"/>
      <c r="G788" s="1" t="n"/>
      <c r="H788" s="1" t="n"/>
      <c r="I788" s="1" t="n"/>
      <c r="J788" s="1" t="n"/>
      <c r="K788" s="1" t="n"/>
      <c r="L788" s="1" t="n"/>
      <c r="M788" s="1" t="n"/>
      <c r="N788" s="1" t="n"/>
      <c r="O788" s="1" t="n"/>
      <c r="P788" s="1" t="n"/>
    </row>
    <row r="789" ht="15.75" customHeight="1" s="311">
      <c r="A789" s="1" t="n"/>
      <c r="B789" s="1" t="n"/>
      <c r="C789" s="1" t="n"/>
      <c r="D789" s="1" t="n"/>
      <c r="E789" s="1" t="n"/>
      <c r="F789" s="1" t="n"/>
      <c r="G789" s="1" t="n"/>
      <c r="H789" s="1" t="n"/>
      <c r="I789" s="1" t="n"/>
      <c r="J789" s="1" t="n"/>
      <c r="K789" s="1" t="n"/>
      <c r="L789" s="1" t="n"/>
      <c r="M789" s="1" t="n"/>
      <c r="N789" s="1" t="n"/>
      <c r="O789" s="1" t="n"/>
      <c r="P789" s="1" t="n"/>
    </row>
    <row r="790" ht="15.75" customHeight="1" s="311">
      <c r="A790" s="1" t="n"/>
      <c r="B790" s="1" t="n"/>
      <c r="C790" s="1" t="n"/>
      <c r="D790" s="1" t="n"/>
      <c r="E790" s="1" t="n"/>
      <c r="F790" s="1" t="n"/>
      <c r="G790" s="1" t="n"/>
      <c r="H790" s="1" t="n"/>
      <c r="I790" s="1" t="n"/>
      <c r="J790" s="1" t="n"/>
      <c r="K790" s="1" t="n"/>
      <c r="L790" s="1" t="n"/>
      <c r="M790" s="1" t="n"/>
      <c r="N790" s="1" t="n"/>
      <c r="O790" s="1" t="n"/>
      <c r="P790" s="1" t="n"/>
    </row>
    <row r="791" ht="15.75" customHeight="1" s="311">
      <c r="A791" s="1" t="n"/>
      <c r="B791" s="1" t="n"/>
      <c r="C791" s="1" t="n"/>
      <c r="D791" s="1" t="n"/>
      <c r="E791" s="1" t="n"/>
      <c r="F791" s="1" t="n"/>
      <c r="G791" s="1" t="n"/>
      <c r="H791" s="1" t="n"/>
      <c r="I791" s="1" t="n"/>
      <c r="J791" s="1" t="n"/>
      <c r="K791" s="1" t="n"/>
      <c r="L791" s="1" t="n"/>
      <c r="M791" s="1" t="n"/>
      <c r="N791" s="1" t="n"/>
      <c r="O791" s="1" t="n"/>
      <c r="P791" s="1" t="n"/>
    </row>
    <row r="792" ht="15.75" customHeight="1" s="311">
      <c r="A792" s="1" t="n"/>
      <c r="B792" s="1" t="n"/>
      <c r="C792" s="1" t="n"/>
      <c r="D792" s="1" t="n"/>
      <c r="E792" s="1" t="n"/>
      <c r="F792" s="1" t="n"/>
      <c r="G792" s="1" t="n"/>
      <c r="H792" s="1" t="n"/>
      <c r="I792" s="1" t="n"/>
      <c r="J792" s="1" t="n"/>
      <c r="K792" s="1" t="n"/>
      <c r="L792" s="1" t="n"/>
      <c r="M792" s="1" t="n"/>
      <c r="N792" s="1" t="n"/>
      <c r="O792" s="1" t="n"/>
      <c r="P792" s="1" t="n"/>
    </row>
    <row r="793" ht="15.75" customHeight="1" s="311">
      <c r="A793" s="1" t="n"/>
      <c r="B793" s="1" t="n"/>
      <c r="C793" s="1" t="n"/>
      <c r="D793" s="1" t="n"/>
      <c r="E793" s="1" t="n"/>
      <c r="F793" s="1" t="n"/>
      <c r="G793" s="1" t="n"/>
      <c r="H793" s="1" t="n"/>
      <c r="I793" s="1" t="n"/>
      <c r="J793" s="1" t="n"/>
      <c r="K793" s="1" t="n"/>
      <c r="L793" s="1" t="n"/>
      <c r="M793" s="1" t="n"/>
      <c r="N793" s="1" t="n"/>
      <c r="O793" s="1" t="n"/>
      <c r="P793" s="1" t="n"/>
    </row>
    <row r="794" ht="15.75" customHeight="1" s="311">
      <c r="A794" s="1" t="n"/>
      <c r="B794" s="1" t="n"/>
      <c r="C794" s="1" t="n"/>
      <c r="D794" s="1" t="n"/>
      <c r="E794" s="1" t="n"/>
      <c r="F794" s="1" t="n"/>
      <c r="G794" s="1" t="n"/>
      <c r="H794" s="1" t="n"/>
      <c r="I794" s="1" t="n"/>
      <c r="J794" s="1" t="n"/>
      <c r="K794" s="1" t="n"/>
      <c r="L794" s="1" t="n"/>
      <c r="M794" s="1" t="n"/>
      <c r="N794" s="1" t="n"/>
      <c r="O794" s="1" t="n"/>
      <c r="P794" s="1" t="n"/>
    </row>
    <row r="795" ht="15.75" customHeight="1" s="311">
      <c r="A795" s="1" t="n"/>
      <c r="B795" s="1" t="n"/>
      <c r="C795" s="1" t="n"/>
      <c r="D795" s="1" t="n"/>
      <c r="E795" s="1" t="n"/>
      <c r="F795" s="1" t="n"/>
      <c r="G795" s="1" t="n"/>
      <c r="H795" s="1" t="n"/>
      <c r="I795" s="1" t="n"/>
      <c r="J795" s="1" t="n"/>
      <c r="K795" s="1" t="n"/>
      <c r="L795" s="1" t="n"/>
      <c r="M795" s="1" t="n"/>
      <c r="N795" s="1" t="n"/>
      <c r="O795" s="1" t="n"/>
      <c r="P795" s="1" t="n"/>
    </row>
    <row r="796" ht="15.75" customHeight="1" s="311">
      <c r="A796" s="1" t="n"/>
      <c r="B796" s="1" t="n"/>
      <c r="C796" s="1" t="n"/>
      <c r="D796" s="1" t="n"/>
      <c r="E796" s="1" t="n"/>
      <c r="F796" s="1" t="n"/>
      <c r="G796" s="1" t="n"/>
      <c r="H796" s="1" t="n"/>
      <c r="I796" s="1" t="n"/>
      <c r="J796" s="1" t="n"/>
      <c r="K796" s="1" t="n"/>
      <c r="L796" s="1" t="n"/>
      <c r="M796" s="1" t="n"/>
      <c r="N796" s="1" t="n"/>
      <c r="O796" s="1" t="n"/>
      <c r="P796" s="1" t="n"/>
    </row>
    <row r="797" ht="15.75" customHeight="1" s="311">
      <c r="A797" s="1" t="n"/>
      <c r="B797" s="1" t="n"/>
      <c r="C797" s="1" t="n"/>
      <c r="D797" s="1" t="n"/>
      <c r="E797" s="1" t="n"/>
      <c r="F797" s="1" t="n"/>
      <c r="G797" s="1" t="n"/>
      <c r="H797" s="1" t="n"/>
      <c r="I797" s="1" t="n"/>
      <c r="J797" s="1" t="n"/>
      <c r="K797" s="1" t="n"/>
      <c r="L797" s="1" t="n"/>
      <c r="M797" s="1" t="n"/>
      <c r="N797" s="1" t="n"/>
      <c r="O797" s="1" t="n"/>
      <c r="P797" s="1" t="n"/>
    </row>
    <row r="798" ht="15.75" customHeight="1" s="311">
      <c r="A798" s="1" t="n"/>
      <c r="B798" s="1" t="n"/>
      <c r="C798" s="1" t="n"/>
      <c r="D798" s="1" t="n"/>
      <c r="E798" s="1" t="n"/>
      <c r="F798" s="1" t="n"/>
      <c r="G798" s="1" t="n"/>
      <c r="H798" s="1" t="n"/>
      <c r="I798" s="1" t="n"/>
      <c r="J798" s="1" t="n"/>
      <c r="K798" s="1" t="n"/>
      <c r="L798" s="1" t="n"/>
      <c r="M798" s="1" t="n"/>
      <c r="N798" s="1" t="n"/>
      <c r="O798" s="1" t="n"/>
      <c r="P798" s="1" t="n"/>
    </row>
    <row r="799" ht="15.75" customHeight="1" s="311">
      <c r="A799" s="1" t="n"/>
      <c r="B799" s="1" t="n"/>
      <c r="C799" s="1" t="n"/>
      <c r="D799" s="1" t="n"/>
      <c r="E799" s="1" t="n"/>
      <c r="F799" s="1" t="n"/>
      <c r="G799" s="1" t="n"/>
      <c r="H799" s="1" t="n"/>
      <c r="I799" s="1" t="n"/>
      <c r="J799" s="1" t="n"/>
      <c r="K799" s="1" t="n"/>
      <c r="L799" s="1" t="n"/>
      <c r="M799" s="1" t="n"/>
      <c r="N799" s="1" t="n"/>
      <c r="O799" s="1" t="n"/>
      <c r="P799" s="1" t="n"/>
    </row>
    <row r="800" ht="15.75" customHeight="1" s="311">
      <c r="A800" s="1" t="n"/>
      <c r="B800" s="1" t="n"/>
      <c r="C800" s="1" t="n"/>
      <c r="D800" s="1" t="n"/>
      <c r="E800" s="1" t="n"/>
      <c r="F800" s="1" t="n"/>
      <c r="G800" s="1" t="n"/>
      <c r="H800" s="1" t="n"/>
      <c r="I800" s="1" t="n"/>
      <c r="J800" s="1" t="n"/>
      <c r="K800" s="1" t="n"/>
      <c r="L800" s="1" t="n"/>
      <c r="M800" s="1" t="n"/>
      <c r="N800" s="1" t="n"/>
      <c r="O800" s="1" t="n"/>
      <c r="P800" s="1" t="n"/>
    </row>
    <row r="801" ht="15.75" customHeight="1" s="311">
      <c r="A801" s="1" t="n"/>
      <c r="B801" s="1" t="n"/>
      <c r="C801" s="1" t="n"/>
      <c r="D801" s="1" t="n"/>
      <c r="E801" s="1" t="n"/>
      <c r="F801" s="1" t="n"/>
      <c r="G801" s="1" t="n"/>
      <c r="H801" s="1" t="n"/>
      <c r="I801" s="1" t="n"/>
      <c r="J801" s="1" t="n"/>
      <c r="K801" s="1" t="n"/>
      <c r="L801" s="1" t="n"/>
      <c r="M801" s="1" t="n"/>
      <c r="N801" s="1" t="n"/>
      <c r="O801" s="1" t="n"/>
      <c r="P801" s="1" t="n"/>
    </row>
    <row r="802" ht="15.75" customHeight="1" s="311">
      <c r="A802" s="1" t="n"/>
      <c r="B802" s="1" t="n"/>
      <c r="C802" s="1" t="n"/>
      <c r="D802" s="1" t="n"/>
      <c r="E802" s="1" t="n"/>
      <c r="F802" s="1" t="n"/>
      <c r="G802" s="1" t="n"/>
      <c r="H802" s="1" t="n"/>
      <c r="I802" s="1" t="n"/>
      <c r="J802" s="1" t="n"/>
      <c r="K802" s="1" t="n"/>
      <c r="L802" s="1" t="n"/>
      <c r="M802" s="1" t="n"/>
      <c r="N802" s="1" t="n"/>
      <c r="O802" s="1" t="n"/>
      <c r="P802" s="1" t="n"/>
    </row>
    <row r="803" ht="15.75" customHeight="1" s="311">
      <c r="A803" s="1" t="n"/>
      <c r="B803" s="1" t="n"/>
      <c r="C803" s="1" t="n"/>
      <c r="D803" s="1" t="n"/>
      <c r="E803" s="1" t="n"/>
      <c r="F803" s="1" t="n"/>
      <c r="G803" s="1" t="n"/>
      <c r="H803" s="1" t="n"/>
      <c r="I803" s="1" t="n"/>
      <c r="J803" s="1" t="n"/>
      <c r="K803" s="1" t="n"/>
      <c r="L803" s="1" t="n"/>
      <c r="M803" s="1" t="n"/>
      <c r="N803" s="1" t="n"/>
      <c r="O803" s="1" t="n"/>
      <c r="P803" s="1" t="n"/>
    </row>
    <row r="804" ht="15.75" customHeight="1" s="311">
      <c r="A804" s="1" t="n"/>
      <c r="B804" s="1" t="n"/>
      <c r="C804" s="1" t="n"/>
      <c r="D804" s="1" t="n"/>
      <c r="E804" s="1" t="n"/>
      <c r="F804" s="1" t="n"/>
      <c r="G804" s="1" t="n"/>
      <c r="H804" s="1" t="n"/>
      <c r="I804" s="1" t="n"/>
      <c r="J804" s="1" t="n"/>
      <c r="K804" s="1" t="n"/>
      <c r="L804" s="1" t="n"/>
      <c r="M804" s="1" t="n"/>
      <c r="N804" s="1" t="n"/>
      <c r="O804" s="1" t="n"/>
      <c r="P804" s="1" t="n"/>
    </row>
    <row r="805" ht="15.75" customHeight="1" s="311">
      <c r="A805" s="1" t="n"/>
      <c r="B805" s="1" t="n"/>
      <c r="C805" s="1" t="n"/>
      <c r="D805" s="1" t="n"/>
      <c r="E805" s="1" t="n"/>
      <c r="F805" s="1" t="n"/>
      <c r="G805" s="1" t="n"/>
      <c r="H805" s="1" t="n"/>
      <c r="I805" s="1" t="n"/>
      <c r="J805" s="1" t="n"/>
      <c r="K805" s="1" t="n"/>
      <c r="L805" s="1" t="n"/>
      <c r="M805" s="1" t="n"/>
      <c r="N805" s="1" t="n"/>
      <c r="O805" s="1" t="n"/>
      <c r="P805" s="1" t="n"/>
    </row>
    <row r="806" ht="15.75" customHeight="1" s="311">
      <c r="A806" s="1" t="n"/>
      <c r="B806" s="1" t="n"/>
      <c r="C806" s="1" t="n"/>
      <c r="D806" s="1" t="n"/>
      <c r="E806" s="1" t="n"/>
      <c r="F806" s="1" t="n"/>
      <c r="G806" s="1" t="n"/>
      <c r="H806" s="1" t="n"/>
      <c r="I806" s="1" t="n"/>
      <c r="J806" s="1" t="n"/>
      <c r="K806" s="1" t="n"/>
      <c r="L806" s="1" t="n"/>
      <c r="M806" s="1" t="n"/>
      <c r="N806" s="1" t="n"/>
      <c r="O806" s="1" t="n"/>
      <c r="P806" s="1" t="n"/>
    </row>
    <row r="807" ht="15.75" customHeight="1" s="311">
      <c r="A807" s="1" t="n"/>
      <c r="B807" s="1" t="n"/>
      <c r="C807" s="1" t="n"/>
      <c r="D807" s="1" t="n"/>
      <c r="E807" s="1" t="n"/>
      <c r="F807" s="1" t="n"/>
      <c r="G807" s="1" t="n"/>
      <c r="H807" s="1" t="n"/>
      <c r="I807" s="1" t="n"/>
      <c r="J807" s="1" t="n"/>
      <c r="K807" s="1" t="n"/>
      <c r="L807" s="1" t="n"/>
      <c r="M807" s="1" t="n"/>
      <c r="N807" s="1" t="n"/>
      <c r="O807" s="1" t="n"/>
      <c r="P807" s="1" t="n"/>
    </row>
    <row r="808" ht="15.75" customHeight="1" s="311">
      <c r="A808" s="1" t="n"/>
      <c r="B808" s="1" t="n"/>
      <c r="C808" s="1" t="n"/>
      <c r="D808" s="1" t="n"/>
      <c r="E808" s="1" t="n"/>
      <c r="F808" s="1" t="n"/>
      <c r="G808" s="1" t="n"/>
      <c r="H808" s="1" t="n"/>
      <c r="I808" s="1" t="n"/>
      <c r="J808" s="1" t="n"/>
      <c r="K808" s="1" t="n"/>
      <c r="L808" s="1" t="n"/>
      <c r="M808" s="1" t="n"/>
      <c r="N808" s="1" t="n"/>
      <c r="O808" s="1" t="n"/>
      <c r="P808" s="1" t="n"/>
    </row>
    <row r="809" ht="15.75" customHeight="1" s="311">
      <c r="A809" s="1" t="n"/>
      <c r="B809" s="1" t="n"/>
      <c r="C809" s="1" t="n"/>
      <c r="D809" s="1" t="n"/>
      <c r="E809" s="1" t="n"/>
      <c r="F809" s="1" t="n"/>
      <c r="G809" s="1" t="n"/>
      <c r="H809" s="1" t="n"/>
      <c r="I809" s="1" t="n"/>
      <c r="J809" s="1" t="n"/>
      <c r="K809" s="1" t="n"/>
      <c r="L809" s="1" t="n"/>
      <c r="M809" s="1" t="n"/>
      <c r="N809" s="1" t="n"/>
      <c r="O809" s="1" t="n"/>
      <c r="P809" s="1" t="n"/>
    </row>
    <row r="810" ht="15.75" customHeight="1" s="311">
      <c r="A810" s="1" t="n"/>
      <c r="B810" s="1" t="n"/>
      <c r="C810" s="1" t="n"/>
      <c r="D810" s="1" t="n"/>
      <c r="E810" s="1" t="n"/>
      <c r="F810" s="1" t="n"/>
      <c r="G810" s="1" t="n"/>
      <c r="H810" s="1" t="n"/>
      <c r="I810" s="1" t="n"/>
      <c r="J810" s="1" t="n"/>
      <c r="K810" s="1" t="n"/>
      <c r="L810" s="1" t="n"/>
      <c r="M810" s="1" t="n"/>
      <c r="N810" s="1" t="n"/>
      <c r="O810" s="1" t="n"/>
      <c r="P810" s="1" t="n"/>
    </row>
    <row r="811" ht="15.75" customHeight="1" s="311">
      <c r="A811" s="1" t="n"/>
      <c r="B811" s="1" t="n"/>
      <c r="C811" s="1" t="n"/>
      <c r="D811" s="1" t="n"/>
      <c r="E811" s="1" t="n"/>
      <c r="F811" s="1" t="n"/>
      <c r="G811" s="1" t="n"/>
      <c r="H811" s="1" t="n"/>
      <c r="I811" s="1" t="n"/>
      <c r="J811" s="1" t="n"/>
      <c r="K811" s="1" t="n"/>
      <c r="L811" s="1" t="n"/>
      <c r="M811" s="1" t="n"/>
      <c r="N811" s="1" t="n"/>
      <c r="O811" s="1" t="n"/>
      <c r="P811" s="1" t="n"/>
    </row>
    <row r="812" ht="15.75" customHeight="1" s="311">
      <c r="A812" s="1" t="n"/>
      <c r="B812" s="1" t="n"/>
      <c r="C812" s="1" t="n"/>
      <c r="D812" s="1" t="n"/>
      <c r="E812" s="1" t="n"/>
      <c r="F812" s="1" t="n"/>
      <c r="G812" s="1" t="n"/>
      <c r="H812" s="1" t="n"/>
      <c r="I812" s="1" t="n"/>
      <c r="J812" s="1" t="n"/>
      <c r="K812" s="1" t="n"/>
      <c r="L812" s="1" t="n"/>
      <c r="M812" s="1" t="n"/>
      <c r="N812" s="1" t="n"/>
      <c r="O812" s="1" t="n"/>
      <c r="P812" s="1" t="n"/>
    </row>
    <row r="813" ht="15.75" customHeight="1" s="311">
      <c r="A813" s="1" t="n"/>
      <c r="B813" s="1" t="n"/>
      <c r="C813" s="1" t="n"/>
      <c r="D813" s="1" t="n"/>
      <c r="E813" s="1" t="n"/>
      <c r="F813" s="1" t="n"/>
      <c r="G813" s="1" t="n"/>
      <c r="H813" s="1" t="n"/>
      <c r="I813" s="1" t="n"/>
      <c r="J813" s="1" t="n"/>
      <c r="K813" s="1" t="n"/>
      <c r="L813" s="1" t="n"/>
      <c r="M813" s="1" t="n"/>
      <c r="N813" s="1" t="n"/>
      <c r="O813" s="1" t="n"/>
      <c r="P813" s="1" t="n"/>
    </row>
    <row r="814" ht="15.75" customHeight="1" s="311">
      <c r="A814" s="1" t="n"/>
      <c r="B814" s="1" t="n"/>
      <c r="C814" s="1" t="n"/>
      <c r="D814" s="1" t="n"/>
      <c r="E814" s="1" t="n"/>
      <c r="F814" s="1" t="n"/>
      <c r="G814" s="1" t="n"/>
      <c r="H814" s="1" t="n"/>
      <c r="I814" s="1" t="n"/>
      <c r="J814" s="1" t="n"/>
      <c r="K814" s="1" t="n"/>
      <c r="L814" s="1" t="n"/>
      <c r="M814" s="1" t="n"/>
      <c r="N814" s="1" t="n"/>
      <c r="O814" s="1" t="n"/>
      <c r="P814" s="1" t="n"/>
    </row>
    <row r="815" ht="15.75" customHeight="1" s="311">
      <c r="A815" s="1" t="n"/>
      <c r="B815" s="1" t="n"/>
      <c r="C815" s="1" t="n"/>
      <c r="D815" s="1" t="n"/>
      <c r="E815" s="1" t="n"/>
      <c r="F815" s="1" t="n"/>
      <c r="G815" s="1" t="n"/>
      <c r="H815" s="1" t="n"/>
      <c r="I815" s="1" t="n"/>
      <c r="J815" s="1" t="n"/>
      <c r="K815" s="1" t="n"/>
      <c r="L815" s="1" t="n"/>
      <c r="M815" s="1" t="n"/>
      <c r="N815" s="1" t="n"/>
      <c r="O815" s="1" t="n"/>
      <c r="P815" s="1" t="n"/>
    </row>
    <row r="816" ht="15.75" customHeight="1" s="311">
      <c r="A816" s="1" t="n"/>
      <c r="B816" s="1" t="n"/>
      <c r="C816" s="1" t="n"/>
      <c r="D816" s="1" t="n"/>
      <c r="E816" s="1" t="n"/>
      <c r="F816" s="1" t="n"/>
      <c r="G816" s="1" t="n"/>
      <c r="H816" s="1" t="n"/>
      <c r="I816" s="1" t="n"/>
      <c r="J816" s="1" t="n"/>
      <c r="K816" s="1" t="n"/>
      <c r="L816" s="1" t="n"/>
      <c r="M816" s="1" t="n"/>
      <c r="N816" s="1" t="n"/>
      <c r="O816" s="1" t="n"/>
      <c r="P816" s="1" t="n"/>
    </row>
    <row r="817" ht="15.75" customHeight="1" s="311">
      <c r="A817" s="1" t="n"/>
      <c r="B817" s="1" t="n"/>
      <c r="C817" s="1" t="n"/>
      <c r="D817" s="1" t="n"/>
      <c r="E817" s="1" t="n"/>
      <c r="F817" s="1" t="n"/>
      <c r="G817" s="1" t="n"/>
      <c r="H817" s="1" t="n"/>
      <c r="I817" s="1" t="n"/>
      <c r="J817" s="1" t="n"/>
      <c r="K817" s="1" t="n"/>
      <c r="L817" s="1" t="n"/>
      <c r="M817" s="1" t="n"/>
      <c r="N817" s="1" t="n"/>
      <c r="O817" s="1" t="n"/>
      <c r="P817" s="1" t="n"/>
    </row>
    <row r="818" ht="15.75" customHeight="1" s="311">
      <c r="A818" s="1" t="n"/>
      <c r="B818" s="1" t="n"/>
      <c r="C818" s="1" t="n"/>
      <c r="D818" s="1" t="n"/>
      <c r="E818" s="1" t="n"/>
      <c r="F818" s="1" t="n"/>
      <c r="G818" s="1" t="n"/>
      <c r="H818" s="1" t="n"/>
      <c r="I818" s="1" t="n"/>
      <c r="J818" s="1" t="n"/>
      <c r="K818" s="1" t="n"/>
      <c r="L818" s="1" t="n"/>
      <c r="M818" s="1" t="n"/>
      <c r="N818" s="1" t="n"/>
      <c r="O818" s="1" t="n"/>
      <c r="P818" s="1" t="n"/>
    </row>
    <row r="819" ht="15.75" customHeight="1" s="311">
      <c r="A819" s="1" t="n"/>
      <c r="B819" s="1" t="n"/>
      <c r="C819" s="1" t="n"/>
      <c r="D819" s="1" t="n"/>
      <c r="E819" s="1" t="n"/>
      <c r="F819" s="1" t="n"/>
      <c r="G819" s="1" t="n"/>
      <c r="H819" s="1" t="n"/>
      <c r="I819" s="1" t="n"/>
      <c r="J819" s="1" t="n"/>
      <c r="K819" s="1" t="n"/>
      <c r="L819" s="1" t="n"/>
      <c r="M819" s="1" t="n"/>
      <c r="N819" s="1" t="n"/>
      <c r="O819" s="1" t="n"/>
      <c r="P819" s="1" t="n"/>
    </row>
    <row r="820" ht="15.75" customHeight="1" s="311">
      <c r="A820" s="1" t="n"/>
      <c r="B820" s="1" t="n"/>
      <c r="C820" s="1" t="n"/>
      <c r="D820" s="1" t="n"/>
      <c r="E820" s="1" t="n"/>
      <c r="F820" s="1" t="n"/>
      <c r="G820" s="1" t="n"/>
      <c r="H820" s="1" t="n"/>
      <c r="I820" s="1" t="n"/>
      <c r="J820" s="1" t="n"/>
      <c r="K820" s="1" t="n"/>
      <c r="L820" s="1" t="n"/>
      <c r="M820" s="1" t="n"/>
      <c r="N820" s="1" t="n"/>
      <c r="O820" s="1" t="n"/>
      <c r="P820" s="1" t="n"/>
    </row>
    <row r="821" ht="15.75" customHeight="1" s="311">
      <c r="A821" s="1" t="n"/>
      <c r="B821" s="1" t="n"/>
      <c r="C821" s="1" t="n"/>
      <c r="D821" s="1" t="n"/>
      <c r="E821" s="1" t="n"/>
      <c r="F821" s="1" t="n"/>
      <c r="G821" s="1" t="n"/>
      <c r="H821" s="1" t="n"/>
      <c r="I821" s="1" t="n"/>
      <c r="J821" s="1" t="n"/>
      <c r="K821" s="1" t="n"/>
      <c r="L821" s="1" t="n"/>
      <c r="M821" s="1" t="n"/>
      <c r="N821" s="1" t="n"/>
      <c r="O821" s="1" t="n"/>
      <c r="P821" s="1" t="n"/>
    </row>
    <row r="822" ht="15.75" customHeight="1" s="311">
      <c r="A822" s="1" t="n"/>
      <c r="B822" s="1" t="n"/>
      <c r="C822" s="1" t="n"/>
      <c r="D822" s="1" t="n"/>
      <c r="E822" s="1" t="n"/>
      <c r="F822" s="1" t="n"/>
      <c r="G822" s="1" t="n"/>
      <c r="H822" s="1" t="n"/>
      <c r="I822" s="1" t="n"/>
      <c r="J822" s="1" t="n"/>
      <c r="K822" s="1" t="n"/>
      <c r="L822" s="1" t="n"/>
      <c r="M822" s="1" t="n"/>
      <c r="N822" s="1" t="n"/>
      <c r="O822" s="1" t="n"/>
      <c r="P822" s="1" t="n"/>
    </row>
    <row r="823" ht="15.75" customHeight="1" s="311">
      <c r="A823" s="1" t="n"/>
      <c r="B823" s="1" t="n"/>
      <c r="C823" s="1" t="n"/>
      <c r="D823" s="1" t="n"/>
      <c r="E823" s="1" t="n"/>
      <c r="F823" s="1" t="n"/>
      <c r="G823" s="1" t="n"/>
      <c r="H823" s="1" t="n"/>
      <c r="I823" s="1" t="n"/>
      <c r="J823" s="1" t="n"/>
      <c r="K823" s="1" t="n"/>
      <c r="L823" s="1" t="n"/>
      <c r="M823" s="1" t="n"/>
      <c r="N823" s="1" t="n"/>
      <c r="O823" s="1" t="n"/>
      <c r="P823" s="1" t="n"/>
    </row>
    <row r="824" ht="15.75" customHeight="1" s="311">
      <c r="A824" s="1" t="n"/>
      <c r="B824" s="1" t="n"/>
      <c r="C824" s="1" t="n"/>
      <c r="D824" s="1" t="n"/>
      <c r="E824" s="1" t="n"/>
      <c r="F824" s="1" t="n"/>
      <c r="G824" s="1" t="n"/>
      <c r="H824" s="1" t="n"/>
      <c r="I824" s="1" t="n"/>
      <c r="J824" s="1" t="n"/>
      <c r="K824" s="1" t="n"/>
      <c r="L824" s="1" t="n"/>
      <c r="M824" s="1" t="n"/>
      <c r="N824" s="1" t="n"/>
      <c r="O824" s="1" t="n"/>
      <c r="P824" s="1" t="n"/>
    </row>
    <row r="825" ht="15.75" customHeight="1" s="311">
      <c r="A825" s="1" t="n"/>
      <c r="B825" s="1" t="n"/>
      <c r="C825" s="1" t="n"/>
      <c r="D825" s="1" t="n"/>
      <c r="E825" s="1" t="n"/>
      <c r="F825" s="1" t="n"/>
      <c r="G825" s="1" t="n"/>
      <c r="H825" s="1" t="n"/>
      <c r="I825" s="1" t="n"/>
      <c r="J825" s="1" t="n"/>
      <c r="K825" s="1" t="n"/>
      <c r="L825" s="1" t="n"/>
      <c r="M825" s="1" t="n"/>
      <c r="N825" s="1" t="n"/>
      <c r="O825" s="1" t="n"/>
      <c r="P825" s="1" t="n"/>
    </row>
    <row r="826" ht="15.75" customHeight="1" s="311">
      <c r="A826" s="1" t="n"/>
      <c r="B826" s="1" t="n"/>
      <c r="C826" s="1" t="n"/>
      <c r="D826" s="1" t="n"/>
      <c r="E826" s="1" t="n"/>
      <c r="F826" s="1" t="n"/>
      <c r="G826" s="1" t="n"/>
      <c r="H826" s="1" t="n"/>
      <c r="I826" s="1" t="n"/>
      <c r="J826" s="1" t="n"/>
      <c r="K826" s="1" t="n"/>
      <c r="L826" s="1" t="n"/>
      <c r="M826" s="1" t="n"/>
      <c r="N826" s="1" t="n"/>
      <c r="O826" s="1" t="n"/>
      <c r="P826" s="1" t="n"/>
    </row>
    <row r="827" ht="15.75" customHeight="1" s="311">
      <c r="A827" s="1" t="n"/>
      <c r="B827" s="1" t="n"/>
      <c r="C827" s="1" t="n"/>
      <c r="D827" s="1" t="n"/>
      <c r="E827" s="1" t="n"/>
      <c r="F827" s="1" t="n"/>
      <c r="G827" s="1" t="n"/>
      <c r="H827" s="1" t="n"/>
      <c r="I827" s="1" t="n"/>
      <c r="J827" s="1" t="n"/>
      <c r="K827" s="1" t="n"/>
      <c r="L827" s="1" t="n"/>
      <c r="M827" s="1" t="n"/>
      <c r="N827" s="1" t="n"/>
      <c r="O827" s="1" t="n"/>
      <c r="P827" s="1" t="n"/>
    </row>
    <row r="828" ht="15.75" customHeight="1" s="311">
      <c r="A828" s="1" t="n"/>
      <c r="B828" s="1" t="n"/>
      <c r="C828" s="1" t="n"/>
      <c r="D828" s="1" t="n"/>
      <c r="E828" s="1" t="n"/>
      <c r="F828" s="1" t="n"/>
      <c r="G828" s="1" t="n"/>
      <c r="H828" s="1" t="n"/>
      <c r="I828" s="1" t="n"/>
      <c r="J828" s="1" t="n"/>
      <c r="K828" s="1" t="n"/>
      <c r="L828" s="1" t="n"/>
      <c r="M828" s="1" t="n"/>
      <c r="N828" s="1" t="n"/>
      <c r="O828" s="1" t="n"/>
      <c r="P828" s="1" t="n"/>
    </row>
    <row r="829" ht="15.75" customHeight="1" s="311">
      <c r="A829" s="1" t="n"/>
      <c r="B829" s="1" t="n"/>
      <c r="C829" s="1" t="n"/>
      <c r="D829" s="1" t="n"/>
      <c r="E829" s="1" t="n"/>
      <c r="F829" s="1" t="n"/>
      <c r="G829" s="1" t="n"/>
      <c r="H829" s="1" t="n"/>
      <c r="I829" s="1" t="n"/>
      <c r="J829" s="1" t="n"/>
      <c r="K829" s="1" t="n"/>
      <c r="L829" s="1" t="n"/>
      <c r="M829" s="1" t="n"/>
      <c r="N829" s="1" t="n"/>
      <c r="O829" s="1" t="n"/>
      <c r="P829" s="1" t="n"/>
    </row>
    <row r="830" ht="15.75" customHeight="1" s="311">
      <c r="A830" s="1" t="n"/>
      <c r="B830" s="1" t="n"/>
      <c r="C830" s="1" t="n"/>
      <c r="D830" s="1" t="n"/>
      <c r="E830" s="1" t="n"/>
      <c r="F830" s="1" t="n"/>
      <c r="G830" s="1" t="n"/>
      <c r="H830" s="1" t="n"/>
      <c r="I830" s="1" t="n"/>
      <c r="J830" s="1" t="n"/>
      <c r="K830" s="1" t="n"/>
      <c r="L830" s="1" t="n"/>
      <c r="M830" s="1" t="n"/>
      <c r="N830" s="1" t="n"/>
      <c r="O830" s="1" t="n"/>
      <c r="P830" s="1" t="n"/>
    </row>
    <row r="831" ht="15.75" customHeight="1" s="311">
      <c r="A831" s="1" t="n"/>
      <c r="B831" s="1" t="n"/>
      <c r="C831" s="1" t="n"/>
      <c r="D831" s="1" t="n"/>
      <c r="E831" s="1" t="n"/>
      <c r="F831" s="1" t="n"/>
      <c r="G831" s="1" t="n"/>
      <c r="H831" s="1" t="n"/>
      <c r="I831" s="1" t="n"/>
      <c r="J831" s="1" t="n"/>
      <c r="K831" s="1" t="n"/>
      <c r="L831" s="1" t="n"/>
      <c r="M831" s="1" t="n"/>
      <c r="N831" s="1" t="n"/>
      <c r="O831" s="1" t="n"/>
      <c r="P831" s="1" t="n"/>
    </row>
    <row r="832" ht="15.75" customHeight="1" s="311">
      <c r="A832" s="1" t="n"/>
      <c r="B832" s="1" t="n"/>
      <c r="C832" s="1" t="n"/>
      <c r="D832" s="1" t="n"/>
      <c r="E832" s="1" t="n"/>
      <c r="F832" s="1" t="n"/>
      <c r="G832" s="1" t="n"/>
      <c r="H832" s="1" t="n"/>
      <c r="I832" s="1" t="n"/>
      <c r="J832" s="1" t="n"/>
      <c r="K832" s="1" t="n"/>
      <c r="L832" s="1" t="n"/>
      <c r="M832" s="1" t="n"/>
      <c r="N832" s="1" t="n"/>
      <c r="O832" s="1" t="n"/>
      <c r="P832" s="1" t="n"/>
    </row>
    <row r="833" ht="15.75" customHeight="1" s="311">
      <c r="A833" s="1" t="n"/>
      <c r="B833" s="1" t="n"/>
      <c r="C833" s="1" t="n"/>
      <c r="D833" s="1" t="n"/>
      <c r="E833" s="1" t="n"/>
      <c r="F833" s="1" t="n"/>
      <c r="G833" s="1" t="n"/>
      <c r="H833" s="1" t="n"/>
      <c r="I833" s="1" t="n"/>
      <c r="J833" s="1" t="n"/>
      <c r="K833" s="1" t="n"/>
      <c r="L833" s="1" t="n"/>
      <c r="M833" s="1" t="n"/>
      <c r="N833" s="1" t="n"/>
      <c r="O833" s="1" t="n"/>
      <c r="P833" s="1" t="n"/>
    </row>
    <row r="834" ht="15.75" customHeight="1" s="311">
      <c r="A834" s="1" t="n"/>
      <c r="B834" s="1" t="n"/>
      <c r="C834" s="1" t="n"/>
      <c r="D834" s="1" t="n"/>
      <c r="E834" s="1" t="n"/>
      <c r="F834" s="1" t="n"/>
      <c r="G834" s="1" t="n"/>
      <c r="H834" s="1" t="n"/>
      <c r="I834" s="1" t="n"/>
      <c r="J834" s="1" t="n"/>
      <c r="K834" s="1" t="n"/>
      <c r="L834" s="1" t="n"/>
      <c r="M834" s="1" t="n"/>
      <c r="N834" s="1" t="n"/>
      <c r="O834" s="1" t="n"/>
      <c r="P834" s="1" t="n"/>
    </row>
    <row r="835" ht="15.75" customHeight="1" s="311">
      <c r="A835" s="1" t="n"/>
      <c r="B835" s="1" t="n"/>
      <c r="C835" s="1" t="n"/>
      <c r="D835" s="1" t="n"/>
      <c r="E835" s="1" t="n"/>
      <c r="F835" s="1" t="n"/>
      <c r="G835" s="1" t="n"/>
      <c r="H835" s="1" t="n"/>
      <c r="I835" s="1" t="n"/>
      <c r="J835" s="1" t="n"/>
      <c r="K835" s="1" t="n"/>
      <c r="L835" s="1" t="n"/>
      <c r="M835" s="1" t="n"/>
      <c r="N835" s="1" t="n"/>
      <c r="O835" s="1" t="n"/>
      <c r="P835" s="1" t="n"/>
    </row>
    <row r="836" ht="15.75" customHeight="1" s="311">
      <c r="A836" s="1" t="n"/>
      <c r="B836" s="1" t="n"/>
      <c r="C836" s="1" t="n"/>
      <c r="D836" s="1" t="n"/>
      <c r="E836" s="1" t="n"/>
      <c r="F836" s="1" t="n"/>
      <c r="G836" s="1" t="n"/>
      <c r="H836" s="1" t="n"/>
      <c r="I836" s="1" t="n"/>
      <c r="J836" s="1" t="n"/>
      <c r="K836" s="1" t="n"/>
      <c r="L836" s="1" t="n"/>
      <c r="M836" s="1" t="n"/>
      <c r="N836" s="1" t="n"/>
      <c r="O836" s="1" t="n"/>
      <c r="P836" s="1" t="n"/>
    </row>
    <row r="837" ht="15.75" customHeight="1" s="311">
      <c r="A837" s="1" t="n"/>
      <c r="B837" s="1" t="n"/>
      <c r="C837" s="1" t="n"/>
      <c r="D837" s="1" t="n"/>
      <c r="E837" s="1" t="n"/>
      <c r="F837" s="1" t="n"/>
      <c r="G837" s="1" t="n"/>
      <c r="H837" s="1" t="n"/>
      <c r="I837" s="1" t="n"/>
      <c r="J837" s="1" t="n"/>
      <c r="K837" s="1" t="n"/>
      <c r="L837" s="1" t="n"/>
      <c r="M837" s="1" t="n"/>
      <c r="N837" s="1" t="n"/>
      <c r="O837" s="1" t="n"/>
      <c r="P837" s="1" t="n"/>
    </row>
    <row r="838" ht="15.75" customHeight="1" s="311">
      <c r="A838" s="1" t="n"/>
      <c r="B838" s="1" t="n"/>
      <c r="C838" s="1" t="n"/>
      <c r="D838" s="1" t="n"/>
      <c r="E838" s="1" t="n"/>
      <c r="F838" s="1" t="n"/>
      <c r="G838" s="1" t="n"/>
      <c r="H838" s="1" t="n"/>
      <c r="I838" s="1" t="n"/>
      <c r="J838" s="1" t="n"/>
      <c r="K838" s="1" t="n"/>
      <c r="L838" s="1" t="n"/>
      <c r="M838" s="1" t="n"/>
      <c r="N838" s="1" t="n"/>
      <c r="O838" s="1" t="n"/>
      <c r="P838" s="1" t="n"/>
    </row>
    <row r="839" ht="15.75" customHeight="1" s="311">
      <c r="A839" s="1" t="n"/>
      <c r="B839" s="1" t="n"/>
      <c r="C839" s="1" t="n"/>
      <c r="D839" s="1" t="n"/>
      <c r="E839" s="1" t="n"/>
      <c r="F839" s="1" t="n"/>
      <c r="G839" s="1" t="n"/>
      <c r="H839" s="1" t="n"/>
      <c r="I839" s="1" t="n"/>
      <c r="J839" s="1" t="n"/>
      <c r="K839" s="1" t="n"/>
      <c r="L839" s="1" t="n"/>
      <c r="M839" s="1" t="n"/>
      <c r="N839" s="1" t="n"/>
      <c r="O839" s="1" t="n"/>
      <c r="P839" s="1" t="n"/>
    </row>
    <row r="840" ht="15.75" customHeight="1" s="311">
      <c r="A840" s="1" t="n"/>
      <c r="B840" s="1" t="n"/>
      <c r="C840" s="1" t="n"/>
      <c r="D840" s="1" t="n"/>
      <c r="E840" s="1" t="n"/>
      <c r="F840" s="1" t="n"/>
      <c r="G840" s="1" t="n"/>
      <c r="H840" s="1" t="n"/>
      <c r="I840" s="1" t="n"/>
      <c r="J840" s="1" t="n"/>
      <c r="K840" s="1" t="n"/>
      <c r="L840" s="1" t="n"/>
      <c r="M840" s="1" t="n"/>
      <c r="N840" s="1" t="n"/>
      <c r="O840" s="1" t="n"/>
      <c r="P840" s="1" t="n"/>
    </row>
    <row r="841" ht="15.75" customHeight="1" s="311">
      <c r="A841" s="1" t="n"/>
      <c r="B841" s="1" t="n"/>
      <c r="C841" s="1" t="n"/>
      <c r="D841" s="1" t="n"/>
      <c r="E841" s="1" t="n"/>
      <c r="F841" s="1" t="n"/>
      <c r="G841" s="1" t="n"/>
      <c r="H841" s="1" t="n"/>
      <c r="I841" s="1" t="n"/>
      <c r="J841" s="1" t="n"/>
      <c r="K841" s="1" t="n"/>
      <c r="L841" s="1" t="n"/>
      <c r="M841" s="1" t="n"/>
      <c r="N841" s="1" t="n"/>
      <c r="O841" s="1" t="n"/>
      <c r="P841" s="1" t="n"/>
    </row>
    <row r="842" ht="15.75" customHeight="1" s="311">
      <c r="A842" s="1" t="n"/>
      <c r="B842" s="1" t="n"/>
      <c r="C842" s="1" t="n"/>
      <c r="D842" s="1" t="n"/>
      <c r="E842" s="1" t="n"/>
      <c r="F842" s="1" t="n"/>
      <c r="G842" s="1" t="n"/>
      <c r="H842" s="1" t="n"/>
      <c r="I842" s="1" t="n"/>
      <c r="J842" s="1" t="n"/>
      <c r="K842" s="1" t="n"/>
      <c r="L842" s="1" t="n"/>
      <c r="M842" s="1" t="n"/>
      <c r="N842" s="1" t="n"/>
      <c r="O842" s="1" t="n"/>
      <c r="P842" s="1" t="n"/>
    </row>
    <row r="843" ht="15.75" customHeight="1" s="311">
      <c r="A843" s="1" t="n"/>
      <c r="B843" s="1" t="n"/>
      <c r="C843" s="1" t="n"/>
      <c r="D843" s="1" t="n"/>
      <c r="E843" s="1" t="n"/>
      <c r="F843" s="1" t="n"/>
      <c r="G843" s="1" t="n"/>
      <c r="H843" s="1" t="n"/>
      <c r="I843" s="1" t="n"/>
      <c r="J843" s="1" t="n"/>
      <c r="K843" s="1" t="n"/>
      <c r="L843" s="1" t="n"/>
      <c r="M843" s="1" t="n"/>
      <c r="N843" s="1" t="n"/>
      <c r="O843" s="1" t="n"/>
      <c r="P843" s="1" t="n"/>
    </row>
    <row r="844" ht="15.75" customHeight="1" s="311">
      <c r="A844" s="1" t="n"/>
      <c r="B844" s="1" t="n"/>
      <c r="C844" s="1" t="n"/>
      <c r="D844" s="1" t="n"/>
      <c r="E844" s="1" t="n"/>
      <c r="F844" s="1" t="n"/>
      <c r="G844" s="1" t="n"/>
      <c r="H844" s="1" t="n"/>
      <c r="I844" s="1" t="n"/>
      <c r="J844" s="1" t="n"/>
      <c r="K844" s="1" t="n"/>
      <c r="L844" s="1" t="n"/>
      <c r="M844" s="1" t="n"/>
      <c r="N844" s="1" t="n"/>
      <c r="O844" s="1" t="n"/>
      <c r="P844" s="1" t="n"/>
    </row>
    <row r="845" ht="15.75" customHeight="1" s="311">
      <c r="A845" s="1" t="n"/>
      <c r="B845" s="1" t="n"/>
      <c r="C845" s="1" t="n"/>
      <c r="D845" s="1" t="n"/>
      <c r="E845" s="1" t="n"/>
      <c r="F845" s="1" t="n"/>
      <c r="G845" s="1" t="n"/>
      <c r="H845" s="1" t="n"/>
      <c r="I845" s="1" t="n"/>
      <c r="J845" s="1" t="n"/>
      <c r="K845" s="1" t="n"/>
      <c r="L845" s="1" t="n"/>
      <c r="M845" s="1" t="n"/>
      <c r="N845" s="1" t="n"/>
      <c r="O845" s="1" t="n"/>
      <c r="P845" s="1" t="n"/>
    </row>
    <row r="846" ht="15.75" customHeight="1" s="311">
      <c r="A846" s="1" t="n"/>
      <c r="B846" s="1" t="n"/>
      <c r="C846" s="1" t="n"/>
      <c r="D846" s="1" t="n"/>
      <c r="E846" s="1" t="n"/>
      <c r="F846" s="1" t="n"/>
      <c r="G846" s="1" t="n"/>
      <c r="H846" s="1" t="n"/>
      <c r="I846" s="1" t="n"/>
      <c r="J846" s="1" t="n"/>
      <c r="K846" s="1" t="n"/>
      <c r="L846" s="1" t="n"/>
      <c r="M846" s="1" t="n"/>
      <c r="N846" s="1" t="n"/>
      <c r="O846" s="1" t="n"/>
      <c r="P846" s="1" t="n"/>
    </row>
    <row r="847" ht="15.75" customHeight="1" s="311">
      <c r="A847" s="1" t="n"/>
      <c r="B847" s="1" t="n"/>
      <c r="C847" s="1" t="n"/>
      <c r="D847" s="1" t="n"/>
      <c r="E847" s="1" t="n"/>
      <c r="F847" s="1" t="n"/>
      <c r="G847" s="1" t="n"/>
      <c r="H847" s="1" t="n"/>
      <c r="I847" s="1" t="n"/>
      <c r="J847" s="1" t="n"/>
      <c r="K847" s="1" t="n"/>
      <c r="L847" s="1" t="n"/>
      <c r="M847" s="1" t="n"/>
      <c r="N847" s="1" t="n"/>
      <c r="O847" s="1" t="n"/>
      <c r="P847" s="1" t="n"/>
    </row>
    <row r="848" ht="15.75" customHeight="1" s="311">
      <c r="A848" s="1" t="n"/>
      <c r="B848" s="1" t="n"/>
      <c r="C848" s="1" t="n"/>
      <c r="D848" s="1" t="n"/>
      <c r="E848" s="1" t="n"/>
      <c r="F848" s="1" t="n"/>
      <c r="G848" s="1" t="n"/>
      <c r="H848" s="1" t="n"/>
      <c r="I848" s="1" t="n"/>
      <c r="J848" s="1" t="n"/>
      <c r="K848" s="1" t="n"/>
      <c r="L848" s="1" t="n"/>
      <c r="M848" s="1" t="n"/>
      <c r="N848" s="1" t="n"/>
      <c r="O848" s="1" t="n"/>
      <c r="P848" s="1" t="n"/>
    </row>
    <row r="849" ht="15.75" customHeight="1" s="311">
      <c r="A849" s="1" t="n"/>
      <c r="B849" s="1" t="n"/>
      <c r="C849" s="1" t="n"/>
      <c r="D849" s="1" t="n"/>
      <c r="E849" s="1" t="n"/>
      <c r="F849" s="1" t="n"/>
      <c r="G849" s="1" t="n"/>
      <c r="H849" s="1" t="n"/>
      <c r="I849" s="1" t="n"/>
      <c r="J849" s="1" t="n"/>
      <c r="K849" s="1" t="n"/>
      <c r="L849" s="1" t="n"/>
      <c r="M849" s="1" t="n"/>
      <c r="N849" s="1" t="n"/>
      <c r="O849" s="1" t="n"/>
      <c r="P849" s="1" t="n"/>
    </row>
    <row r="850" ht="15.75" customHeight="1" s="311">
      <c r="A850" s="1" t="n"/>
      <c r="B850" s="1" t="n"/>
      <c r="C850" s="1" t="n"/>
      <c r="D850" s="1" t="n"/>
      <c r="E850" s="1" t="n"/>
      <c r="F850" s="1" t="n"/>
      <c r="G850" s="1" t="n"/>
      <c r="H850" s="1" t="n"/>
      <c r="I850" s="1" t="n"/>
      <c r="J850" s="1" t="n"/>
      <c r="K850" s="1" t="n"/>
      <c r="L850" s="1" t="n"/>
      <c r="M850" s="1" t="n"/>
      <c r="N850" s="1" t="n"/>
      <c r="O850" s="1" t="n"/>
      <c r="P850" s="1" t="n"/>
    </row>
    <row r="851" ht="15.75" customHeight="1" s="311">
      <c r="A851" s="1" t="n"/>
      <c r="B851" s="1" t="n"/>
      <c r="C851" s="1" t="n"/>
      <c r="D851" s="1" t="n"/>
      <c r="E851" s="1" t="n"/>
      <c r="F851" s="1" t="n"/>
      <c r="G851" s="1" t="n"/>
      <c r="H851" s="1" t="n"/>
      <c r="I851" s="1" t="n"/>
      <c r="J851" s="1" t="n"/>
      <c r="K851" s="1" t="n"/>
      <c r="L851" s="1" t="n"/>
      <c r="M851" s="1" t="n"/>
      <c r="N851" s="1" t="n"/>
      <c r="O851" s="1" t="n"/>
      <c r="P851" s="1" t="n"/>
    </row>
    <row r="852" ht="15.75" customHeight="1" s="311">
      <c r="A852" s="1" t="n"/>
      <c r="B852" s="1" t="n"/>
      <c r="C852" s="1" t="n"/>
      <c r="D852" s="1" t="n"/>
      <c r="E852" s="1" t="n"/>
      <c r="F852" s="1" t="n"/>
      <c r="G852" s="1" t="n"/>
      <c r="H852" s="1" t="n"/>
      <c r="I852" s="1" t="n"/>
      <c r="J852" s="1" t="n"/>
      <c r="K852" s="1" t="n"/>
      <c r="L852" s="1" t="n"/>
      <c r="M852" s="1" t="n"/>
      <c r="N852" s="1" t="n"/>
      <c r="O852" s="1" t="n"/>
      <c r="P852" s="1" t="n"/>
    </row>
    <row r="853" ht="15.75" customHeight="1" s="311">
      <c r="A853" s="1" t="n"/>
      <c r="B853" s="1" t="n"/>
      <c r="C853" s="1" t="n"/>
      <c r="D853" s="1" t="n"/>
      <c r="E853" s="1" t="n"/>
      <c r="F853" s="1" t="n"/>
      <c r="G853" s="1" t="n"/>
      <c r="H853" s="1" t="n"/>
      <c r="I853" s="1" t="n"/>
      <c r="J853" s="1" t="n"/>
      <c r="K853" s="1" t="n"/>
      <c r="L853" s="1" t="n"/>
      <c r="M853" s="1" t="n"/>
      <c r="N853" s="1" t="n"/>
      <c r="O853" s="1" t="n"/>
      <c r="P853" s="1" t="n"/>
    </row>
    <row r="854" ht="15.75" customHeight="1" s="311">
      <c r="A854" s="1" t="n"/>
      <c r="B854" s="1" t="n"/>
      <c r="C854" s="1" t="n"/>
      <c r="D854" s="1" t="n"/>
      <c r="E854" s="1" t="n"/>
      <c r="F854" s="1" t="n"/>
      <c r="G854" s="1" t="n"/>
      <c r="H854" s="1" t="n"/>
      <c r="I854" s="1" t="n"/>
      <c r="J854" s="1" t="n"/>
      <c r="K854" s="1" t="n"/>
      <c r="L854" s="1" t="n"/>
      <c r="M854" s="1" t="n"/>
      <c r="N854" s="1" t="n"/>
      <c r="O854" s="1" t="n"/>
      <c r="P854" s="1" t="n"/>
    </row>
    <row r="855" ht="15.75" customHeight="1" s="311">
      <c r="A855" s="1" t="n"/>
      <c r="B855" s="1" t="n"/>
      <c r="C855" s="1" t="n"/>
      <c r="D855" s="1" t="n"/>
      <c r="E855" s="1" t="n"/>
      <c r="F855" s="1" t="n"/>
      <c r="G855" s="1" t="n"/>
      <c r="H855" s="1" t="n"/>
      <c r="I855" s="1" t="n"/>
      <c r="J855" s="1" t="n"/>
      <c r="K855" s="1" t="n"/>
      <c r="L855" s="1" t="n"/>
      <c r="M855" s="1" t="n"/>
      <c r="N855" s="1" t="n"/>
      <c r="O855" s="1" t="n"/>
      <c r="P855" s="1" t="n"/>
    </row>
    <row r="856" ht="15.75" customHeight="1" s="311">
      <c r="A856" s="1" t="n"/>
      <c r="B856" s="1" t="n"/>
      <c r="C856" s="1" t="n"/>
      <c r="D856" s="1" t="n"/>
      <c r="E856" s="1" t="n"/>
      <c r="F856" s="1" t="n"/>
      <c r="G856" s="1" t="n"/>
      <c r="H856" s="1" t="n"/>
      <c r="I856" s="1" t="n"/>
      <c r="J856" s="1" t="n"/>
      <c r="K856" s="1" t="n"/>
      <c r="L856" s="1" t="n"/>
      <c r="M856" s="1" t="n"/>
      <c r="N856" s="1" t="n"/>
      <c r="O856" s="1" t="n"/>
      <c r="P856" s="1" t="n"/>
    </row>
    <row r="857" ht="15.75" customHeight="1" s="311">
      <c r="A857" s="1" t="n"/>
      <c r="B857" s="1" t="n"/>
      <c r="C857" s="1" t="n"/>
      <c r="D857" s="1" t="n"/>
      <c r="E857" s="1" t="n"/>
      <c r="F857" s="1" t="n"/>
      <c r="G857" s="1" t="n"/>
      <c r="H857" s="1" t="n"/>
      <c r="I857" s="1" t="n"/>
      <c r="J857" s="1" t="n"/>
      <c r="K857" s="1" t="n"/>
      <c r="L857" s="1" t="n"/>
      <c r="M857" s="1" t="n"/>
      <c r="N857" s="1" t="n"/>
      <c r="O857" s="1" t="n"/>
      <c r="P857" s="1" t="n"/>
    </row>
    <row r="858" ht="15.75" customHeight="1" s="311">
      <c r="A858" s="1" t="n"/>
      <c r="B858" s="1" t="n"/>
      <c r="C858" s="1" t="n"/>
      <c r="D858" s="1" t="n"/>
      <c r="E858" s="1" t="n"/>
      <c r="F858" s="1" t="n"/>
      <c r="G858" s="1" t="n"/>
      <c r="H858" s="1" t="n"/>
      <c r="I858" s="1" t="n"/>
      <c r="J858" s="1" t="n"/>
      <c r="K858" s="1" t="n"/>
      <c r="L858" s="1" t="n"/>
      <c r="M858" s="1" t="n"/>
      <c r="N858" s="1" t="n"/>
      <c r="O858" s="1" t="n"/>
      <c r="P858" s="1" t="n"/>
    </row>
    <row r="859" ht="15.75" customHeight="1" s="311">
      <c r="A859" s="1" t="n"/>
      <c r="B859" s="1" t="n"/>
      <c r="C859" s="1" t="n"/>
      <c r="D859" s="1" t="n"/>
      <c r="E859" s="1" t="n"/>
      <c r="F859" s="1" t="n"/>
      <c r="G859" s="1" t="n"/>
      <c r="H859" s="1" t="n"/>
      <c r="I859" s="1" t="n"/>
      <c r="J859" s="1" t="n"/>
      <c r="K859" s="1" t="n"/>
      <c r="L859" s="1" t="n"/>
      <c r="M859" s="1" t="n"/>
      <c r="N859" s="1" t="n"/>
      <c r="O859" s="1" t="n"/>
      <c r="P859" s="1" t="n"/>
    </row>
    <row r="860" ht="15.75" customHeight="1" s="311">
      <c r="A860" s="1" t="n"/>
      <c r="B860" s="1" t="n"/>
      <c r="C860" s="1" t="n"/>
      <c r="D860" s="1" t="n"/>
      <c r="E860" s="1" t="n"/>
      <c r="F860" s="1" t="n"/>
      <c r="G860" s="1" t="n"/>
      <c r="H860" s="1" t="n"/>
      <c r="I860" s="1" t="n"/>
      <c r="J860" s="1" t="n"/>
      <c r="K860" s="1" t="n"/>
      <c r="L860" s="1" t="n"/>
      <c r="M860" s="1" t="n"/>
      <c r="N860" s="1" t="n"/>
      <c r="O860" s="1" t="n"/>
      <c r="P860" s="1" t="n"/>
    </row>
    <row r="861" ht="15.75" customHeight="1" s="311">
      <c r="A861" s="1" t="n"/>
      <c r="B861" s="1" t="n"/>
      <c r="C861" s="1" t="n"/>
      <c r="D861" s="1" t="n"/>
      <c r="E861" s="1" t="n"/>
      <c r="F861" s="1" t="n"/>
      <c r="G861" s="1" t="n"/>
      <c r="H861" s="1" t="n"/>
      <c r="I861" s="1" t="n"/>
      <c r="J861" s="1" t="n"/>
      <c r="K861" s="1" t="n"/>
      <c r="L861" s="1" t="n"/>
      <c r="M861" s="1" t="n"/>
      <c r="N861" s="1" t="n"/>
      <c r="O861" s="1" t="n"/>
      <c r="P861" s="1" t="n"/>
    </row>
    <row r="862" ht="15.75" customHeight="1" s="311">
      <c r="A862" s="1" t="n"/>
      <c r="B862" s="1" t="n"/>
      <c r="C862" s="1" t="n"/>
      <c r="D862" s="1" t="n"/>
      <c r="E862" s="1" t="n"/>
      <c r="F862" s="1" t="n"/>
      <c r="G862" s="1" t="n"/>
      <c r="H862" s="1" t="n"/>
      <c r="I862" s="1" t="n"/>
      <c r="J862" s="1" t="n"/>
      <c r="K862" s="1" t="n"/>
      <c r="L862" s="1" t="n"/>
      <c r="M862" s="1" t="n"/>
      <c r="N862" s="1" t="n"/>
      <c r="O862" s="1" t="n"/>
      <c r="P862" s="1" t="n"/>
    </row>
    <row r="863" ht="15.75" customHeight="1" s="311">
      <c r="A863" s="1" t="n"/>
      <c r="B863" s="1" t="n"/>
      <c r="C863" s="1" t="n"/>
      <c r="D863" s="1" t="n"/>
      <c r="E863" s="1" t="n"/>
      <c r="F863" s="1" t="n"/>
      <c r="G863" s="1" t="n"/>
      <c r="H863" s="1" t="n"/>
      <c r="I863" s="1" t="n"/>
      <c r="J863" s="1" t="n"/>
      <c r="K863" s="1" t="n"/>
      <c r="L863" s="1" t="n"/>
      <c r="M863" s="1" t="n"/>
      <c r="N863" s="1" t="n"/>
      <c r="O863" s="1" t="n"/>
      <c r="P863" s="1" t="n"/>
    </row>
    <row r="864" ht="15.75" customHeight="1" s="311">
      <c r="A864" s="1" t="n"/>
      <c r="B864" s="1" t="n"/>
      <c r="C864" s="1" t="n"/>
      <c r="D864" s="1" t="n"/>
      <c r="E864" s="1" t="n"/>
      <c r="F864" s="1" t="n"/>
      <c r="G864" s="1" t="n"/>
      <c r="H864" s="1" t="n"/>
      <c r="I864" s="1" t="n"/>
      <c r="J864" s="1" t="n"/>
      <c r="K864" s="1" t="n"/>
      <c r="L864" s="1" t="n"/>
      <c r="M864" s="1" t="n"/>
      <c r="N864" s="1" t="n"/>
      <c r="O864" s="1" t="n"/>
      <c r="P864" s="1" t="n"/>
    </row>
    <row r="865" ht="15.75" customHeight="1" s="311">
      <c r="A865" s="1" t="n"/>
      <c r="B865" s="1" t="n"/>
      <c r="C865" s="1" t="n"/>
      <c r="D865" s="1" t="n"/>
      <c r="E865" s="1" t="n"/>
      <c r="F865" s="1" t="n"/>
      <c r="G865" s="1" t="n"/>
      <c r="H865" s="1" t="n"/>
      <c r="I865" s="1" t="n"/>
      <c r="J865" s="1" t="n"/>
      <c r="K865" s="1" t="n"/>
      <c r="L865" s="1" t="n"/>
      <c r="M865" s="1" t="n"/>
      <c r="N865" s="1" t="n"/>
      <c r="O865" s="1" t="n"/>
      <c r="P865" s="1" t="n"/>
    </row>
    <row r="866" ht="15.75" customHeight="1" s="311">
      <c r="A866" s="1" t="n"/>
      <c r="B866" s="1" t="n"/>
      <c r="C866" s="1" t="n"/>
      <c r="D866" s="1" t="n"/>
      <c r="E866" s="1" t="n"/>
      <c r="F866" s="1" t="n"/>
      <c r="G866" s="1" t="n"/>
      <c r="H866" s="1" t="n"/>
      <c r="I866" s="1" t="n"/>
      <c r="J866" s="1" t="n"/>
      <c r="K866" s="1" t="n"/>
      <c r="L866" s="1" t="n"/>
      <c r="M866" s="1" t="n"/>
      <c r="N866" s="1" t="n"/>
      <c r="O866" s="1" t="n"/>
      <c r="P866" s="1" t="n"/>
    </row>
    <row r="867" ht="15.75" customHeight="1" s="311">
      <c r="A867" s="1" t="n"/>
      <c r="B867" s="1" t="n"/>
      <c r="C867" s="1" t="n"/>
      <c r="D867" s="1" t="n"/>
      <c r="E867" s="1" t="n"/>
      <c r="F867" s="1" t="n"/>
      <c r="G867" s="1" t="n"/>
      <c r="H867" s="1" t="n"/>
      <c r="I867" s="1" t="n"/>
      <c r="J867" s="1" t="n"/>
      <c r="K867" s="1" t="n"/>
      <c r="L867" s="1" t="n"/>
      <c r="M867" s="1" t="n"/>
      <c r="N867" s="1" t="n"/>
      <c r="O867" s="1" t="n"/>
      <c r="P867" s="1" t="n"/>
    </row>
    <row r="868" ht="15.75" customHeight="1" s="311">
      <c r="A868" s="1" t="n"/>
      <c r="B868" s="1" t="n"/>
      <c r="C868" s="1" t="n"/>
      <c r="D868" s="1" t="n"/>
      <c r="E868" s="1" t="n"/>
      <c r="F868" s="1" t="n"/>
      <c r="G868" s="1" t="n"/>
      <c r="H868" s="1" t="n"/>
      <c r="I868" s="1" t="n"/>
      <c r="J868" s="1" t="n"/>
      <c r="K868" s="1" t="n"/>
      <c r="L868" s="1" t="n"/>
      <c r="M868" s="1" t="n"/>
      <c r="N868" s="1" t="n"/>
      <c r="O868" s="1" t="n"/>
      <c r="P868" s="1" t="n"/>
    </row>
    <row r="869" ht="15.75" customHeight="1" s="311">
      <c r="A869" s="1" t="n"/>
      <c r="B869" s="1" t="n"/>
      <c r="C869" s="1" t="n"/>
      <c r="D869" s="1" t="n"/>
      <c r="E869" s="1" t="n"/>
      <c r="F869" s="1" t="n"/>
      <c r="G869" s="1" t="n"/>
      <c r="H869" s="1" t="n"/>
      <c r="I869" s="1" t="n"/>
      <c r="J869" s="1" t="n"/>
      <c r="K869" s="1" t="n"/>
      <c r="L869" s="1" t="n"/>
      <c r="M869" s="1" t="n"/>
      <c r="N869" s="1" t="n"/>
      <c r="O869" s="1" t="n"/>
      <c r="P869" s="1" t="n"/>
    </row>
    <row r="870" ht="15.75" customHeight="1" s="311">
      <c r="A870" s="1" t="n"/>
      <c r="B870" s="1" t="n"/>
      <c r="C870" s="1" t="n"/>
      <c r="D870" s="1" t="n"/>
      <c r="E870" s="1" t="n"/>
      <c r="F870" s="1" t="n"/>
      <c r="G870" s="1" t="n"/>
      <c r="H870" s="1" t="n"/>
      <c r="I870" s="1" t="n"/>
      <c r="J870" s="1" t="n"/>
      <c r="K870" s="1" t="n"/>
      <c r="L870" s="1" t="n"/>
      <c r="M870" s="1" t="n"/>
      <c r="N870" s="1" t="n"/>
      <c r="O870" s="1" t="n"/>
      <c r="P870" s="1" t="n"/>
    </row>
    <row r="871" ht="15.75" customHeight="1" s="311">
      <c r="A871" s="1" t="n"/>
      <c r="B871" s="1" t="n"/>
      <c r="C871" s="1" t="n"/>
      <c r="D871" s="1" t="n"/>
      <c r="E871" s="1" t="n"/>
      <c r="F871" s="1" t="n"/>
      <c r="G871" s="1" t="n"/>
      <c r="H871" s="1" t="n"/>
      <c r="I871" s="1" t="n"/>
      <c r="J871" s="1" t="n"/>
      <c r="K871" s="1" t="n"/>
      <c r="L871" s="1" t="n"/>
      <c r="M871" s="1" t="n"/>
      <c r="N871" s="1" t="n"/>
      <c r="O871" s="1" t="n"/>
      <c r="P871" s="1" t="n"/>
    </row>
    <row r="872" ht="15.75" customHeight="1" s="311">
      <c r="A872" s="1" t="n"/>
      <c r="B872" s="1" t="n"/>
      <c r="C872" s="1" t="n"/>
      <c r="D872" s="1" t="n"/>
      <c r="E872" s="1" t="n"/>
      <c r="F872" s="1" t="n"/>
      <c r="G872" s="1" t="n"/>
      <c r="H872" s="1" t="n"/>
      <c r="I872" s="1" t="n"/>
      <c r="J872" s="1" t="n"/>
      <c r="K872" s="1" t="n"/>
      <c r="L872" s="1" t="n"/>
      <c r="M872" s="1" t="n"/>
      <c r="N872" s="1" t="n"/>
      <c r="O872" s="1" t="n"/>
      <c r="P872" s="1" t="n"/>
    </row>
    <row r="873" ht="15.75" customHeight="1" s="311">
      <c r="A873" s="1" t="n"/>
      <c r="B873" s="1" t="n"/>
      <c r="C873" s="1" t="n"/>
      <c r="D873" s="1" t="n"/>
      <c r="E873" s="1" t="n"/>
      <c r="F873" s="1" t="n"/>
      <c r="G873" s="1" t="n"/>
      <c r="H873" s="1" t="n"/>
      <c r="I873" s="1" t="n"/>
      <c r="J873" s="1" t="n"/>
      <c r="K873" s="1" t="n"/>
      <c r="L873" s="1" t="n"/>
      <c r="M873" s="1" t="n"/>
      <c r="N873" s="1" t="n"/>
      <c r="O873" s="1" t="n"/>
      <c r="P873" s="1" t="n"/>
    </row>
    <row r="874" ht="15.75" customHeight="1" s="311">
      <c r="A874" s="1" t="n"/>
      <c r="B874" s="1" t="n"/>
      <c r="C874" s="1" t="n"/>
      <c r="D874" s="1" t="n"/>
      <c r="E874" s="1" t="n"/>
      <c r="F874" s="1" t="n"/>
      <c r="G874" s="1" t="n"/>
      <c r="H874" s="1" t="n"/>
      <c r="I874" s="1" t="n"/>
      <c r="J874" s="1" t="n"/>
      <c r="K874" s="1" t="n"/>
      <c r="L874" s="1" t="n"/>
      <c r="M874" s="1" t="n"/>
      <c r="N874" s="1" t="n"/>
      <c r="O874" s="1" t="n"/>
      <c r="P874" s="1" t="n"/>
    </row>
    <row r="875" ht="15.75" customHeight="1" s="311">
      <c r="A875" s="1" t="n"/>
      <c r="B875" s="1" t="n"/>
      <c r="C875" s="1" t="n"/>
      <c r="D875" s="1" t="n"/>
      <c r="E875" s="1" t="n"/>
      <c r="F875" s="1" t="n"/>
      <c r="G875" s="1" t="n"/>
      <c r="H875" s="1" t="n"/>
      <c r="I875" s="1" t="n"/>
      <c r="J875" s="1" t="n"/>
      <c r="K875" s="1" t="n"/>
      <c r="L875" s="1" t="n"/>
      <c r="M875" s="1" t="n"/>
      <c r="N875" s="1" t="n"/>
      <c r="O875" s="1" t="n"/>
      <c r="P875" s="1" t="n"/>
    </row>
    <row r="876" ht="15.75" customHeight="1" s="311">
      <c r="A876" s="1" t="n"/>
      <c r="B876" s="1" t="n"/>
      <c r="C876" s="1" t="n"/>
      <c r="D876" s="1" t="n"/>
      <c r="E876" s="1" t="n"/>
      <c r="F876" s="1" t="n"/>
      <c r="G876" s="1" t="n"/>
      <c r="H876" s="1" t="n"/>
      <c r="I876" s="1" t="n"/>
      <c r="J876" s="1" t="n"/>
      <c r="K876" s="1" t="n"/>
      <c r="L876" s="1" t="n"/>
      <c r="M876" s="1" t="n"/>
      <c r="N876" s="1" t="n"/>
      <c r="O876" s="1" t="n"/>
      <c r="P876" s="1" t="n"/>
    </row>
    <row r="877" ht="15.75" customHeight="1" s="311">
      <c r="A877" s="1" t="n"/>
      <c r="B877" s="1" t="n"/>
      <c r="C877" s="1" t="n"/>
      <c r="D877" s="1" t="n"/>
      <c r="E877" s="1" t="n"/>
      <c r="F877" s="1" t="n"/>
      <c r="G877" s="1" t="n"/>
      <c r="H877" s="1" t="n"/>
      <c r="I877" s="1" t="n"/>
      <c r="J877" s="1" t="n"/>
      <c r="K877" s="1" t="n"/>
      <c r="L877" s="1" t="n"/>
      <c r="M877" s="1" t="n"/>
      <c r="N877" s="1" t="n"/>
      <c r="O877" s="1" t="n"/>
      <c r="P877" s="1" t="n"/>
    </row>
    <row r="878" ht="15.75" customHeight="1" s="311">
      <c r="A878" s="1" t="n"/>
      <c r="B878" s="1" t="n"/>
      <c r="C878" s="1" t="n"/>
      <c r="D878" s="1" t="n"/>
      <c r="E878" s="1" t="n"/>
      <c r="F878" s="1" t="n"/>
      <c r="G878" s="1" t="n"/>
      <c r="H878" s="1" t="n"/>
      <c r="I878" s="1" t="n"/>
      <c r="J878" s="1" t="n"/>
      <c r="K878" s="1" t="n"/>
      <c r="L878" s="1" t="n"/>
      <c r="M878" s="1" t="n"/>
      <c r="N878" s="1" t="n"/>
      <c r="O878" s="1" t="n"/>
      <c r="P878" s="1" t="n"/>
    </row>
    <row r="879" ht="15.75" customHeight="1" s="311">
      <c r="A879" s="1" t="n"/>
      <c r="B879" s="1" t="n"/>
      <c r="C879" s="1" t="n"/>
      <c r="D879" s="1" t="n"/>
      <c r="E879" s="1" t="n"/>
      <c r="F879" s="1" t="n"/>
      <c r="G879" s="1" t="n"/>
      <c r="H879" s="1" t="n"/>
      <c r="I879" s="1" t="n"/>
      <c r="J879" s="1" t="n"/>
      <c r="K879" s="1" t="n"/>
      <c r="L879" s="1" t="n"/>
      <c r="M879" s="1" t="n"/>
      <c r="N879" s="1" t="n"/>
      <c r="O879" s="1" t="n"/>
      <c r="P879" s="1" t="n"/>
    </row>
    <row r="880" ht="15.75" customHeight="1" s="311">
      <c r="A880" s="1" t="n"/>
      <c r="B880" s="1" t="n"/>
      <c r="C880" s="1" t="n"/>
      <c r="D880" s="1" t="n"/>
      <c r="E880" s="1" t="n"/>
      <c r="F880" s="1" t="n"/>
      <c r="G880" s="1" t="n"/>
      <c r="H880" s="1" t="n"/>
      <c r="I880" s="1" t="n"/>
      <c r="J880" s="1" t="n"/>
      <c r="K880" s="1" t="n"/>
      <c r="L880" s="1" t="n"/>
      <c r="M880" s="1" t="n"/>
      <c r="N880" s="1" t="n"/>
      <c r="O880" s="1" t="n"/>
      <c r="P880" s="1" t="n"/>
    </row>
    <row r="881" ht="15.75" customHeight="1" s="311">
      <c r="A881" s="1" t="n"/>
      <c r="B881" s="1" t="n"/>
      <c r="C881" s="1" t="n"/>
      <c r="D881" s="1" t="n"/>
      <c r="E881" s="1" t="n"/>
      <c r="F881" s="1" t="n"/>
      <c r="G881" s="1" t="n"/>
      <c r="H881" s="1" t="n"/>
      <c r="I881" s="1" t="n"/>
      <c r="J881" s="1" t="n"/>
      <c r="K881" s="1" t="n"/>
      <c r="L881" s="1" t="n"/>
      <c r="M881" s="1" t="n"/>
      <c r="N881" s="1" t="n"/>
      <c r="O881" s="1" t="n"/>
      <c r="P881" s="1" t="n"/>
    </row>
    <row r="882" ht="15.75" customHeight="1" s="311">
      <c r="A882" s="1" t="n"/>
      <c r="B882" s="1" t="n"/>
      <c r="C882" s="1" t="n"/>
      <c r="D882" s="1" t="n"/>
      <c r="E882" s="1" t="n"/>
      <c r="F882" s="1" t="n"/>
      <c r="G882" s="1" t="n"/>
      <c r="H882" s="1" t="n"/>
      <c r="I882" s="1" t="n"/>
      <c r="J882" s="1" t="n"/>
      <c r="K882" s="1" t="n"/>
      <c r="L882" s="1" t="n"/>
      <c r="M882" s="1" t="n"/>
      <c r="N882" s="1" t="n"/>
      <c r="O882" s="1" t="n"/>
      <c r="P882" s="1" t="n"/>
    </row>
    <row r="883" ht="15.75" customHeight="1" s="311">
      <c r="A883" s="1" t="n"/>
      <c r="B883" s="1" t="n"/>
      <c r="C883" s="1" t="n"/>
      <c r="D883" s="1" t="n"/>
      <c r="E883" s="1" t="n"/>
      <c r="F883" s="1" t="n"/>
      <c r="G883" s="1" t="n"/>
      <c r="H883" s="1" t="n"/>
      <c r="I883" s="1" t="n"/>
      <c r="J883" s="1" t="n"/>
      <c r="K883" s="1" t="n"/>
      <c r="L883" s="1" t="n"/>
      <c r="M883" s="1" t="n"/>
      <c r="N883" s="1" t="n"/>
      <c r="O883" s="1" t="n"/>
      <c r="P883" s="1" t="n"/>
    </row>
    <row r="884" ht="15.75" customHeight="1" s="311">
      <c r="A884" s="1" t="n"/>
      <c r="B884" s="1" t="n"/>
      <c r="C884" s="1" t="n"/>
      <c r="D884" s="1" t="n"/>
      <c r="E884" s="1" t="n"/>
      <c r="F884" s="1" t="n"/>
      <c r="G884" s="1" t="n"/>
      <c r="H884" s="1" t="n"/>
      <c r="I884" s="1" t="n"/>
      <c r="J884" s="1" t="n"/>
      <c r="K884" s="1" t="n"/>
      <c r="L884" s="1" t="n"/>
      <c r="M884" s="1" t="n"/>
      <c r="N884" s="1" t="n"/>
      <c r="O884" s="1" t="n"/>
      <c r="P884" s="1" t="n"/>
    </row>
    <row r="885" ht="15.75" customHeight="1" s="311">
      <c r="A885" s="1" t="n"/>
      <c r="B885" s="1" t="n"/>
      <c r="C885" s="1" t="n"/>
      <c r="D885" s="1" t="n"/>
      <c r="E885" s="1" t="n"/>
      <c r="F885" s="1" t="n"/>
      <c r="G885" s="1" t="n"/>
      <c r="H885" s="1" t="n"/>
      <c r="I885" s="1" t="n"/>
      <c r="J885" s="1" t="n"/>
      <c r="K885" s="1" t="n"/>
      <c r="L885" s="1" t="n"/>
      <c r="M885" s="1" t="n"/>
      <c r="N885" s="1" t="n"/>
      <c r="O885" s="1" t="n"/>
      <c r="P885" s="1" t="n"/>
    </row>
    <row r="886" ht="15.75" customHeight="1" s="311">
      <c r="A886" s="1" t="n"/>
      <c r="B886" s="1" t="n"/>
      <c r="C886" s="1" t="n"/>
      <c r="D886" s="1" t="n"/>
      <c r="E886" s="1" t="n"/>
      <c r="F886" s="1" t="n"/>
      <c r="G886" s="1" t="n"/>
      <c r="H886" s="1" t="n"/>
      <c r="I886" s="1" t="n"/>
      <c r="J886" s="1" t="n"/>
      <c r="K886" s="1" t="n"/>
      <c r="L886" s="1" t="n"/>
      <c r="M886" s="1" t="n"/>
      <c r="N886" s="1" t="n"/>
      <c r="O886" s="1" t="n"/>
      <c r="P886" s="1" t="n"/>
    </row>
    <row r="887" ht="15.75" customHeight="1" s="311">
      <c r="A887" s="1" t="n"/>
      <c r="B887" s="1" t="n"/>
      <c r="C887" s="1" t="n"/>
      <c r="D887" s="1" t="n"/>
      <c r="E887" s="1" t="n"/>
      <c r="F887" s="1" t="n"/>
      <c r="G887" s="1" t="n"/>
      <c r="H887" s="1" t="n"/>
      <c r="I887" s="1" t="n"/>
      <c r="J887" s="1" t="n"/>
      <c r="K887" s="1" t="n"/>
      <c r="L887" s="1" t="n"/>
      <c r="M887" s="1" t="n"/>
      <c r="N887" s="1" t="n"/>
      <c r="O887" s="1" t="n"/>
      <c r="P887" s="1" t="n"/>
    </row>
    <row r="888" ht="15.75" customHeight="1" s="311">
      <c r="A888" s="1" t="n"/>
      <c r="B888" s="1" t="n"/>
      <c r="C888" s="1" t="n"/>
      <c r="D888" s="1" t="n"/>
      <c r="E888" s="1" t="n"/>
      <c r="F888" s="1" t="n"/>
      <c r="G888" s="1" t="n"/>
      <c r="H888" s="1" t="n"/>
      <c r="I888" s="1" t="n"/>
      <c r="J888" s="1" t="n"/>
      <c r="K888" s="1" t="n"/>
      <c r="L888" s="1" t="n"/>
      <c r="M888" s="1" t="n"/>
      <c r="N888" s="1" t="n"/>
      <c r="O888" s="1" t="n"/>
      <c r="P888" s="1" t="n"/>
    </row>
    <row r="889" ht="15.75" customHeight="1" s="311">
      <c r="A889" s="1" t="n"/>
      <c r="B889" s="1" t="n"/>
      <c r="C889" s="1" t="n"/>
      <c r="D889" s="1" t="n"/>
      <c r="E889" s="1" t="n"/>
      <c r="F889" s="1" t="n"/>
      <c r="G889" s="1" t="n"/>
      <c r="H889" s="1" t="n"/>
      <c r="I889" s="1" t="n"/>
      <c r="J889" s="1" t="n"/>
      <c r="K889" s="1" t="n"/>
      <c r="L889" s="1" t="n"/>
      <c r="M889" s="1" t="n"/>
      <c r="N889" s="1" t="n"/>
      <c r="O889" s="1" t="n"/>
      <c r="P889" s="1" t="n"/>
    </row>
    <row r="890" ht="15.75" customHeight="1" s="311">
      <c r="A890" s="1" t="n"/>
      <c r="B890" s="1" t="n"/>
      <c r="C890" s="1" t="n"/>
      <c r="D890" s="1" t="n"/>
      <c r="E890" s="1" t="n"/>
      <c r="F890" s="1" t="n"/>
      <c r="G890" s="1" t="n"/>
      <c r="H890" s="1" t="n"/>
      <c r="I890" s="1" t="n"/>
      <c r="J890" s="1" t="n"/>
      <c r="K890" s="1" t="n"/>
      <c r="L890" s="1" t="n"/>
      <c r="M890" s="1" t="n"/>
      <c r="N890" s="1" t="n"/>
      <c r="O890" s="1" t="n"/>
      <c r="P890" s="1" t="n"/>
    </row>
    <row r="891" ht="15.75" customHeight="1" s="311">
      <c r="A891" s="1" t="n"/>
      <c r="B891" s="1" t="n"/>
      <c r="C891" s="1" t="n"/>
      <c r="D891" s="1" t="n"/>
      <c r="E891" s="1" t="n"/>
      <c r="F891" s="1" t="n"/>
      <c r="G891" s="1" t="n"/>
      <c r="H891" s="1" t="n"/>
      <c r="I891" s="1" t="n"/>
      <c r="J891" s="1" t="n"/>
      <c r="K891" s="1" t="n"/>
      <c r="L891" s="1" t="n"/>
      <c r="M891" s="1" t="n"/>
      <c r="N891" s="1" t="n"/>
      <c r="O891" s="1" t="n"/>
      <c r="P891" s="1" t="n"/>
    </row>
    <row r="892" ht="15.75" customHeight="1" s="311">
      <c r="A892" s="1" t="n"/>
      <c r="B892" s="1" t="n"/>
      <c r="C892" s="1" t="n"/>
      <c r="D892" s="1" t="n"/>
      <c r="E892" s="1" t="n"/>
      <c r="F892" s="1" t="n"/>
      <c r="G892" s="1" t="n"/>
      <c r="H892" s="1" t="n"/>
      <c r="I892" s="1" t="n"/>
      <c r="J892" s="1" t="n"/>
      <c r="K892" s="1" t="n"/>
      <c r="L892" s="1" t="n"/>
      <c r="M892" s="1" t="n"/>
      <c r="N892" s="1" t="n"/>
      <c r="O892" s="1" t="n"/>
      <c r="P892" s="1" t="n"/>
    </row>
    <row r="893" ht="15.75" customHeight="1" s="311">
      <c r="A893" s="1" t="n"/>
      <c r="B893" s="1" t="n"/>
      <c r="C893" s="1" t="n"/>
      <c r="D893" s="1" t="n"/>
      <c r="E893" s="1" t="n"/>
      <c r="F893" s="1" t="n"/>
      <c r="G893" s="1" t="n"/>
      <c r="H893" s="1" t="n"/>
      <c r="I893" s="1" t="n"/>
      <c r="J893" s="1" t="n"/>
      <c r="K893" s="1" t="n"/>
      <c r="L893" s="1" t="n"/>
      <c r="M893" s="1" t="n"/>
      <c r="N893" s="1" t="n"/>
      <c r="O893" s="1" t="n"/>
      <c r="P893" s="1" t="n"/>
    </row>
    <row r="894" ht="15.75" customHeight="1" s="311">
      <c r="A894" s="1" t="n"/>
      <c r="B894" s="1" t="n"/>
      <c r="C894" s="1" t="n"/>
      <c r="D894" s="1" t="n"/>
      <c r="E894" s="1" t="n"/>
      <c r="F894" s="1" t="n"/>
      <c r="G894" s="1" t="n"/>
      <c r="H894" s="1" t="n"/>
      <c r="I894" s="1" t="n"/>
      <c r="J894" s="1" t="n"/>
      <c r="K894" s="1" t="n"/>
      <c r="L894" s="1" t="n"/>
      <c r="M894" s="1" t="n"/>
      <c r="N894" s="1" t="n"/>
      <c r="O894" s="1" t="n"/>
      <c r="P894" s="1" t="n"/>
    </row>
    <row r="895" ht="15.75" customHeight="1" s="311">
      <c r="A895" s="1" t="n"/>
      <c r="B895" s="1" t="n"/>
      <c r="C895" s="1" t="n"/>
      <c r="D895" s="1" t="n"/>
      <c r="E895" s="1" t="n"/>
      <c r="F895" s="1" t="n"/>
      <c r="G895" s="1" t="n"/>
      <c r="H895" s="1" t="n"/>
      <c r="I895" s="1" t="n"/>
      <c r="J895" s="1" t="n"/>
      <c r="K895" s="1" t="n"/>
      <c r="L895" s="1" t="n"/>
      <c r="M895" s="1" t="n"/>
      <c r="N895" s="1" t="n"/>
      <c r="O895" s="1" t="n"/>
      <c r="P895" s="1" t="n"/>
    </row>
    <row r="896" ht="15.75" customHeight="1" s="311">
      <c r="A896" s="1" t="n"/>
      <c r="B896" s="1" t="n"/>
      <c r="C896" s="1" t="n"/>
      <c r="D896" s="1" t="n"/>
      <c r="E896" s="1" t="n"/>
      <c r="F896" s="1" t="n"/>
      <c r="G896" s="1" t="n"/>
      <c r="H896" s="1" t="n"/>
      <c r="I896" s="1" t="n"/>
      <c r="J896" s="1" t="n"/>
      <c r="K896" s="1" t="n"/>
      <c r="L896" s="1" t="n"/>
      <c r="M896" s="1" t="n"/>
      <c r="N896" s="1" t="n"/>
      <c r="O896" s="1" t="n"/>
      <c r="P896" s="1" t="n"/>
    </row>
    <row r="897" ht="15.75" customHeight="1" s="311">
      <c r="A897" s="1" t="n"/>
      <c r="B897" s="1" t="n"/>
      <c r="C897" s="1" t="n"/>
      <c r="D897" s="1" t="n"/>
      <c r="E897" s="1" t="n"/>
      <c r="F897" s="1" t="n"/>
      <c r="G897" s="1" t="n"/>
      <c r="H897" s="1" t="n"/>
      <c r="I897" s="1" t="n"/>
      <c r="J897" s="1" t="n"/>
      <c r="K897" s="1" t="n"/>
      <c r="L897" s="1" t="n"/>
      <c r="M897" s="1" t="n"/>
      <c r="N897" s="1" t="n"/>
      <c r="O897" s="1" t="n"/>
      <c r="P897" s="1" t="n"/>
    </row>
    <row r="898" ht="15.75" customHeight="1" s="311">
      <c r="A898" s="1" t="n"/>
      <c r="B898" s="1" t="n"/>
      <c r="C898" s="1" t="n"/>
      <c r="D898" s="1" t="n"/>
      <c r="E898" s="1" t="n"/>
      <c r="F898" s="1" t="n"/>
      <c r="G898" s="1" t="n"/>
      <c r="H898" s="1" t="n"/>
      <c r="I898" s="1" t="n"/>
      <c r="J898" s="1" t="n"/>
      <c r="K898" s="1" t="n"/>
      <c r="L898" s="1" t="n"/>
      <c r="M898" s="1" t="n"/>
      <c r="N898" s="1" t="n"/>
      <c r="O898" s="1" t="n"/>
      <c r="P898" s="1" t="n"/>
    </row>
    <row r="899" ht="15.75" customHeight="1" s="311">
      <c r="A899" s="1" t="n"/>
      <c r="B899" s="1" t="n"/>
      <c r="C899" s="1" t="n"/>
      <c r="D899" s="1" t="n"/>
      <c r="E899" s="1" t="n"/>
      <c r="F899" s="1" t="n"/>
      <c r="G899" s="1" t="n"/>
      <c r="H899" s="1" t="n"/>
      <c r="I899" s="1" t="n"/>
      <c r="J899" s="1" t="n"/>
      <c r="K899" s="1" t="n"/>
      <c r="L899" s="1" t="n"/>
      <c r="M899" s="1" t="n"/>
      <c r="N899" s="1" t="n"/>
      <c r="O899" s="1" t="n"/>
      <c r="P899" s="1" t="n"/>
    </row>
    <row r="900" ht="15.75" customHeight="1" s="311">
      <c r="A900" s="1" t="n"/>
      <c r="B900" s="1" t="n"/>
      <c r="C900" s="1" t="n"/>
      <c r="D900" s="1" t="n"/>
      <c r="E900" s="1" t="n"/>
      <c r="F900" s="1" t="n"/>
      <c r="G900" s="1" t="n"/>
      <c r="H900" s="1" t="n"/>
      <c r="I900" s="1" t="n"/>
      <c r="J900" s="1" t="n"/>
      <c r="K900" s="1" t="n"/>
      <c r="L900" s="1" t="n"/>
      <c r="M900" s="1" t="n"/>
      <c r="N900" s="1" t="n"/>
      <c r="O900" s="1" t="n"/>
      <c r="P900" s="1" t="n"/>
    </row>
    <row r="901" ht="15.75" customHeight="1" s="311">
      <c r="A901" s="1" t="n"/>
      <c r="B901" s="1" t="n"/>
      <c r="C901" s="1" t="n"/>
      <c r="D901" s="1" t="n"/>
      <c r="E901" s="1" t="n"/>
      <c r="F901" s="1" t="n"/>
      <c r="G901" s="1" t="n"/>
      <c r="H901" s="1" t="n"/>
      <c r="I901" s="1" t="n"/>
      <c r="J901" s="1" t="n"/>
      <c r="K901" s="1" t="n"/>
      <c r="L901" s="1" t="n"/>
      <c r="M901" s="1" t="n"/>
      <c r="N901" s="1" t="n"/>
      <c r="O901" s="1" t="n"/>
      <c r="P901" s="1" t="n"/>
    </row>
    <row r="902" ht="15.75" customHeight="1" s="311">
      <c r="A902" s="1" t="n"/>
      <c r="B902" s="1" t="n"/>
      <c r="C902" s="1" t="n"/>
      <c r="D902" s="1" t="n"/>
      <c r="E902" s="1" t="n"/>
      <c r="F902" s="1" t="n"/>
      <c r="G902" s="1" t="n"/>
      <c r="H902" s="1" t="n"/>
      <c r="I902" s="1" t="n"/>
      <c r="J902" s="1" t="n"/>
      <c r="K902" s="1" t="n"/>
      <c r="L902" s="1" t="n"/>
      <c r="M902" s="1" t="n"/>
      <c r="N902" s="1" t="n"/>
      <c r="O902" s="1" t="n"/>
      <c r="P902" s="1" t="n"/>
    </row>
    <row r="903" ht="15.75" customHeight="1" s="311">
      <c r="A903" s="1" t="n"/>
      <c r="B903" s="1" t="n"/>
      <c r="C903" s="1" t="n"/>
      <c r="D903" s="1" t="n"/>
      <c r="E903" s="1" t="n"/>
      <c r="F903" s="1" t="n"/>
      <c r="G903" s="1" t="n"/>
      <c r="H903" s="1" t="n"/>
      <c r="I903" s="1" t="n"/>
      <c r="J903" s="1" t="n"/>
      <c r="K903" s="1" t="n"/>
      <c r="L903" s="1" t="n"/>
      <c r="M903" s="1" t="n"/>
      <c r="N903" s="1" t="n"/>
      <c r="O903" s="1" t="n"/>
      <c r="P903" s="1" t="n"/>
    </row>
    <row r="904" ht="15.75" customHeight="1" s="311">
      <c r="A904" s="1" t="n"/>
      <c r="B904" s="1" t="n"/>
      <c r="C904" s="1" t="n"/>
      <c r="D904" s="1" t="n"/>
      <c r="E904" s="1" t="n"/>
      <c r="F904" s="1" t="n"/>
      <c r="G904" s="1" t="n"/>
      <c r="H904" s="1" t="n"/>
      <c r="I904" s="1" t="n"/>
      <c r="J904" s="1" t="n"/>
      <c r="K904" s="1" t="n"/>
      <c r="L904" s="1" t="n"/>
      <c r="M904" s="1" t="n"/>
      <c r="N904" s="1" t="n"/>
      <c r="O904" s="1" t="n"/>
      <c r="P904" s="1" t="n"/>
    </row>
    <row r="905" ht="15.75" customHeight="1" s="311">
      <c r="A905" s="1" t="n"/>
      <c r="B905" s="1" t="n"/>
      <c r="C905" s="1" t="n"/>
      <c r="D905" s="1" t="n"/>
      <c r="E905" s="1" t="n"/>
      <c r="F905" s="1" t="n"/>
      <c r="G905" s="1" t="n"/>
      <c r="H905" s="1" t="n"/>
      <c r="I905" s="1" t="n"/>
      <c r="J905" s="1" t="n"/>
      <c r="K905" s="1" t="n"/>
      <c r="L905" s="1" t="n"/>
      <c r="M905" s="1" t="n"/>
      <c r="N905" s="1" t="n"/>
      <c r="O905" s="1" t="n"/>
      <c r="P905" s="1" t="n"/>
    </row>
    <row r="906" ht="15.75" customHeight="1" s="311">
      <c r="A906" s="1" t="n"/>
      <c r="B906" s="1" t="n"/>
      <c r="C906" s="1" t="n"/>
      <c r="D906" s="1" t="n"/>
      <c r="E906" s="1" t="n"/>
      <c r="F906" s="1" t="n"/>
      <c r="G906" s="1" t="n"/>
      <c r="H906" s="1" t="n"/>
      <c r="I906" s="1" t="n"/>
      <c r="J906" s="1" t="n"/>
      <c r="K906" s="1" t="n"/>
      <c r="L906" s="1" t="n"/>
      <c r="M906" s="1" t="n"/>
      <c r="N906" s="1" t="n"/>
      <c r="O906" s="1" t="n"/>
      <c r="P906" s="1" t="n"/>
    </row>
    <row r="907" ht="15.75" customHeight="1" s="311">
      <c r="A907" s="1" t="n"/>
      <c r="B907" s="1" t="n"/>
      <c r="C907" s="1" t="n"/>
      <c r="D907" s="1" t="n"/>
      <c r="E907" s="1" t="n"/>
      <c r="F907" s="1" t="n"/>
      <c r="G907" s="1" t="n"/>
      <c r="H907" s="1" t="n"/>
      <c r="I907" s="1" t="n"/>
      <c r="J907" s="1" t="n"/>
      <c r="K907" s="1" t="n"/>
      <c r="L907" s="1" t="n"/>
      <c r="M907" s="1" t="n"/>
      <c r="N907" s="1" t="n"/>
      <c r="O907" s="1" t="n"/>
      <c r="P907" s="1" t="n"/>
    </row>
    <row r="908" ht="15.75" customHeight="1" s="311">
      <c r="A908" s="1" t="n"/>
      <c r="B908" s="1" t="n"/>
      <c r="C908" s="1" t="n"/>
      <c r="D908" s="1" t="n"/>
      <c r="E908" s="1" t="n"/>
      <c r="F908" s="1" t="n"/>
      <c r="G908" s="1" t="n"/>
      <c r="H908" s="1" t="n"/>
      <c r="I908" s="1" t="n"/>
      <c r="J908" s="1" t="n"/>
      <c r="K908" s="1" t="n"/>
      <c r="L908" s="1" t="n"/>
      <c r="M908" s="1" t="n"/>
      <c r="N908" s="1" t="n"/>
      <c r="O908" s="1" t="n"/>
      <c r="P908" s="1" t="n"/>
    </row>
    <row r="909" ht="15.75" customHeight="1" s="311">
      <c r="A909" s="1" t="n"/>
      <c r="B909" s="1" t="n"/>
      <c r="C909" s="1" t="n"/>
      <c r="D909" s="1" t="n"/>
      <c r="E909" s="1" t="n"/>
      <c r="F909" s="1" t="n"/>
      <c r="G909" s="1" t="n"/>
      <c r="H909" s="1" t="n"/>
      <c r="I909" s="1" t="n"/>
      <c r="J909" s="1" t="n"/>
      <c r="K909" s="1" t="n"/>
      <c r="L909" s="1" t="n"/>
      <c r="M909" s="1" t="n"/>
      <c r="N909" s="1" t="n"/>
      <c r="O909" s="1" t="n"/>
      <c r="P909" s="1" t="n"/>
    </row>
    <row r="910" ht="15.75" customHeight="1" s="311">
      <c r="A910" s="1" t="n"/>
      <c r="B910" s="1" t="n"/>
      <c r="C910" s="1" t="n"/>
      <c r="D910" s="1" t="n"/>
      <c r="E910" s="1" t="n"/>
      <c r="F910" s="1" t="n"/>
      <c r="G910" s="1" t="n"/>
      <c r="H910" s="1" t="n"/>
      <c r="I910" s="1" t="n"/>
      <c r="J910" s="1" t="n"/>
      <c r="K910" s="1" t="n"/>
      <c r="L910" s="1" t="n"/>
      <c r="M910" s="1" t="n"/>
      <c r="N910" s="1" t="n"/>
      <c r="O910" s="1" t="n"/>
      <c r="P910" s="1" t="n"/>
    </row>
    <row r="911" ht="15.75" customHeight="1" s="311">
      <c r="A911" s="1" t="n"/>
      <c r="B911" s="1" t="n"/>
      <c r="C911" s="1" t="n"/>
      <c r="D911" s="1" t="n"/>
      <c r="E911" s="1" t="n"/>
      <c r="F911" s="1" t="n"/>
      <c r="G911" s="1" t="n"/>
      <c r="H911" s="1" t="n"/>
      <c r="I911" s="1" t="n"/>
      <c r="J911" s="1" t="n"/>
      <c r="K911" s="1" t="n"/>
      <c r="L911" s="1" t="n"/>
      <c r="M911" s="1" t="n"/>
      <c r="N911" s="1" t="n"/>
      <c r="O911" s="1" t="n"/>
      <c r="P911" s="1" t="n"/>
    </row>
    <row r="912" ht="15.75" customHeight="1" s="311">
      <c r="A912" s="1" t="n"/>
      <c r="B912" s="1" t="n"/>
      <c r="C912" s="1" t="n"/>
      <c r="D912" s="1" t="n"/>
      <c r="E912" s="1" t="n"/>
      <c r="F912" s="1" t="n"/>
      <c r="G912" s="1" t="n"/>
      <c r="H912" s="1" t="n"/>
      <c r="I912" s="1" t="n"/>
      <c r="J912" s="1" t="n"/>
      <c r="K912" s="1" t="n"/>
      <c r="L912" s="1" t="n"/>
      <c r="M912" s="1" t="n"/>
      <c r="N912" s="1" t="n"/>
      <c r="O912" s="1" t="n"/>
      <c r="P912" s="1" t="n"/>
    </row>
    <row r="913" ht="15.75" customHeight="1" s="311">
      <c r="A913" s="1" t="n"/>
      <c r="B913" s="1" t="n"/>
      <c r="C913" s="1" t="n"/>
      <c r="D913" s="1" t="n"/>
      <c r="E913" s="1" t="n"/>
      <c r="F913" s="1" t="n"/>
      <c r="G913" s="1" t="n"/>
      <c r="H913" s="1" t="n"/>
      <c r="I913" s="1" t="n"/>
      <c r="J913" s="1" t="n"/>
      <c r="K913" s="1" t="n"/>
      <c r="L913" s="1" t="n"/>
      <c r="M913" s="1" t="n"/>
      <c r="N913" s="1" t="n"/>
      <c r="O913" s="1" t="n"/>
      <c r="P913" s="1" t="n"/>
    </row>
    <row r="914" ht="15.75" customHeight="1" s="311">
      <c r="A914" s="1" t="n"/>
      <c r="B914" s="1" t="n"/>
      <c r="C914" s="1" t="n"/>
      <c r="D914" s="1" t="n"/>
      <c r="E914" s="1" t="n"/>
      <c r="F914" s="1" t="n"/>
      <c r="G914" s="1" t="n"/>
      <c r="H914" s="1" t="n"/>
      <c r="I914" s="1" t="n"/>
      <c r="J914" s="1" t="n"/>
      <c r="K914" s="1" t="n"/>
      <c r="L914" s="1" t="n"/>
      <c r="M914" s="1" t="n"/>
      <c r="N914" s="1" t="n"/>
      <c r="O914" s="1" t="n"/>
      <c r="P914" s="1" t="n"/>
    </row>
    <row r="915" ht="15.75" customHeight="1" s="311">
      <c r="A915" s="1" t="n"/>
      <c r="B915" s="1" t="n"/>
      <c r="C915" s="1" t="n"/>
      <c r="D915" s="1" t="n"/>
      <c r="E915" s="1" t="n"/>
      <c r="F915" s="1" t="n"/>
      <c r="G915" s="1" t="n"/>
      <c r="H915" s="1" t="n"/>
      <c r="I915" s="1" t="n"/>
      <c r="J915" s="1" t="n"/>
      <c r="K915" s="1" t="n"/>
      <c r="L915" s="1" t="n"/>
      <c r="M915" s="1" t="n"/>
      <c r="N915" s="1" t="n"/>
      <c r="O915" s="1" t="n"/>
      <c r="P915" s="1" t="n"/>
    </row>
    <row r="916" ht="15.75" customHeight="1" s="311">
      <c r="A916" s="1" t="n"/>
      <c r="B916" s="1" t="n"/>
      <c r="C916" s="1" t="n"/>
      <c r="D916" s="1" t="n"/>
      <c r="E916" s="1" t="n"/>
      <c r="F916" s="1" t="n"/>
      <c r="G916" s="1" t="n"/>
      <c r="H916" s="1" t="n"/>
      <c r="I916" s="1" t="n"/>
      <c r="J916" s="1" t="n"/>
      <c r="K916" s="1" t="n"/>
      <c r="L916" s="1" t="n"/>
      <c r="M916" s="1" t="n"/>
      <c r="N916" s="1" t="n"/>
      <c r="O916" s="1" t="n"/>
      <c r="P916" s="1" t="n"/>
    </row>
    <row r="917" ht="15.75" customHeight="1" s="311">
      <c r="A917" s="1" t="n"/>
      <c r="B917" s="1" t="n"/>
      <c r="C917" s="1" t="n"/>
      <c r="D917" s="1" t="n"/>
      <c r="E917" s="1" t="n"/>
      <c r="F917" s="1" t="n"/>
      <c r="G917" s="1" t="n"/>
      <c r="H917" s="1" t="n"/>
      <c r="I917" s="1" t="n"/>
      <c r="J917" s="1" t="n"/>
      <c r="K917" s="1" t="n"/>
      <c r="L917" s="1" t="n"/>
      <c r="M917" s="1" t="n"/>
      <c r="N917" s="1" t="n"/>
      <c r="O917" s="1" t="n"/>
      <c r="P917" s="1" t="n"/>
    </row>
    <row r="918" ht="15.75" customHeight="1" s="311">
      <c r="A918" s="1" t="n"/>
      <c r="B918" s="1" t="n"/>
      <c r="C918" s="1" t="n"/>
      <c r="D918" s="1" t="n"/>
      <c r="E918" s="1" t="n"/>
      <c r="F918" s="1" t="n"/>
      <c r="G918" s="1" t="n"/>
      <c r="H918" s="1" t="n"/>
      <c r="I918" s="1" t="n"/>
      <c r="J918" s="1" t="n"/>
      <c r="K918" s="1" t="n"/>
      <c r="L918" s="1" t="n"/>
      <c r="M918" s="1" t="n"/>
      <c r="N918" s="1" t="n"/>
      <c r="O918" s="1" t="n"/>
      <c r="P918" s="1" t="n"/>
    </row>
    <row r="919" ht="15.75" customHeight="1" s="311">
      <c r="A919" s="1" t="n"/>
      <c r="B919" s="1" t="n"/>
      <c r="C919" s="1" t="n"/>
      <c r="D919" s="1" t="n"/>
      <c r="E919" s="1" t="n"/>
      <c r="F919" s="1" t="n"/>
      <c r="G919" s="1" t="n"/>
      <c r="H919" s="1" t="n"/>
      <c r="I919" s="1" t="n"/>
      <c r="J919" s="1" t="n"/>
      <c r="K919" s="1" t="n"/>
      <c r="L919" s="1" t="n"/>
      <c r="M919" s="1" t="n"/>
      <c r="N919" s="1" t="n"/>
      <c r="O919" s="1" t="n"/>
      <c r="P919" s="1" t="n"/>
    </row>
    <row r="920" ht="15.75" customHeight="1" s="311">
      <c r="A920" s="1" t="n"/>
      <c r="B920" s="1" t="n"/>
      <c r="C920" s="1" t="n"/>
      <c r="D920" s="1" t="n"/>
      <c r="E920" s="1" t="n"/>
      <c r="F920" s="1" t="n"/>
      <c r="G920" s="1" t="n"/>
      <c r="H920" s="1" t="n"/>
      <c r="I920" s="1" t="n"/>
      <c r="J920" s="1" t="n"/>
      <c r="K920" s="1" t="n"/>
      <c r="L920" s="1" t="n"/>
      <c r="M920" s="1" t="n"/>
      <c r="N920" s="1" t="n"/>
      <c r="O920" s="1" t="n"/>
      <c r="P920" s="1" t="n"/>
    </row>
    <row r="921" ht="15.75" customHeight="1" s="311">
      <c r="A921" s="1" t="n"/>
      <c r="B921" s="1" t="n"/>
      <c r="C921" s="1" t="n"/>
      <c r="D921" s="1" t="n"/>
      <c r="E921" s="1" t="n"/>
      <c r="F921" s="1" t="n"/>
      <c r="G921" s="1" t="n"/>
      <c r="H921" s="1" t="n"/>
      <c r="I921" s="1" t="n"/>
      <c r="J921" s="1" t="n"/>
      <c r="K921" s="1" t="n"/>
      <c r="L921" s="1" t="n"/>
      <c r="M921" s="1" t="n"/>
      <c r="N921" s="1" t="n"/>
      <c r="O921" s="1" t="n"/>
      <c r="P921" s="1" t="n"/>
    </row>
    <row r="922" ht="15.75" customHeight="1" s="311">
      <c r="A922" s="1" t="n"/>
      <c r="B922" s="1" t="n"/>
      <c r="C922" s="1" t="n"/>
      <c r="D922" s="1" t="n"/>
      <c r="E922" s="1" t="n"/>
      <c r="F922" s="1" t="n"/>
      <c r="G922" s="1" t="n"/>
      <c r="H922" s="1" t="n"/>
      <c r="I922" s="1" t="n"/>
      <c r="J922" s="1" t="n"/>
      <c r="K922" s="1" t="n"/>
      <c r="L922" s="1" t="n"/>
      <c r="M922" s="1" t="n"/>
      <c r="N922" s="1" t="n"/>
      <c r="O922" s="1" t="n"/>
      <c r="P922" s="1" t="n"/>
    </row>
    <row r="923" ht="15.75" customHeight="1" s="311">
      <c r="A923" s="1" t="n"/>
      <c r="B923" s="1" t="n"/>
      <c r="C923" s="1" t="n"/>
      <c r="D923" s="1" t="n"/>
      <c r="E923" s="1" t="n"/>
      <c r="F923" s="1" t="n"/>
      <c r="G923" s="1" t="n"/>
      <c r="H923" s="1" t="n"/>
      <c r="I923" s="1" t="n"/>
      <c r="J923" s="1" t="n"/>
      <c r="K923" s="1" t="n"/>
      <c r="L923" s="1" t="n"/>
      <c r="M923" s="1" t="n"/>
      <c r="N923" s="1" t="n"/>
      <c r="O923" s="1" t="n"/>
      <c r="P923" s="1" t="n"/>
    </row>
    <row r="924" ht="15.75" customHeight="1" s="311">
      <c r="A924" s="1" t="n"/>
      <c r="B924" s="1" t="n"/>
      <c r="C924" s="1" t="n"/>
      <c r="D924" s="1" t="n"/>
      <c r="E924" s="1" t="n"/>
      <c r="F924" s="1" t="n"/>
      <c r="G924" s="1" t="n"/>
      <c r="H924" s="1" t="n"/>
      <c r="I924" s="1" t="n"/>
      <c r="J924" s="1" t="n"/>
      <c r="K924" s="1" t="n"/>
      <c r="L924" s="1" t="n"/>
      <c r="M924" s="1" t="n"/>
      <c r="N924" s="1" t="n"/>
      <c r="O924" s="1" t="n"/>
      <c r="P924" s="1" t="n"/>
    </row>
    <row r="925" ht="15.75" customHeight="1" s="311">
      <c r="A925" s="1" t="n"/>
      <c r="B925" s="1" t="n"/>
      <c r="C925" s="1" t="n"/>
      <c r="D925" s="1" t="n"/>
      <c r="E925" s="1" t="n"/>
      <c r="F925" s="1" t="n"/>
      <c r="G925" s="1" t="n"/>
      <c r="H925" s="1" t="n"/>
      <c r="I925" s="1" t="n"/>
      <c r="J925" s="1" t="n"/>
      <c r="K925" s="1" t="n"/>
      <c r="L925" s="1" t="n"/>
      <c r="M925" s="1" t="n"/>
      <c r="N925" s="1" t="n"/>
      <c r="O925" s="1" t="n"/>
      <c r="P925" s="1" t="n"/>
    </row>
    <row r="926" ht="15.75" customHeight="1" s="311">
      <c r="A926" s="1" t="n"/>
      <c r="B926" s="1" t="n"/>
      <c r="C926" s="1" t="n"/>
      <c r="D926" s="1" t="n"/>
      <c r="E926" s="1" t="n"/>
      <c r="F926" s="1" t="n"/>
      <c r="G926" s="1" t="n"/>
      <c r="H926" s="1" t="n"/>
      <c r="I926" s="1" t="n"/>
      <c r="J926" s="1" t="n"/>
      <c r="K926" s="1" t="n"/>
      <c r="L926" s="1" t="n"/>
      <c r="M926" s="1" t="n"/>
      <c r="N926" s="1" t="n"/>
      <c r="O926" s="1" t="n"/>
      <c r="P926" s="1" t="n"/>
    </row>
    <row r="927" ht="15.75" customHeight="1" s="311">
      <c r="A927" s="1" t="n"/>
      <c r="B927" s="1" t="n"/>
      <c r="C927" s="1" t="n"/>
      <c r="D927" s="1" t="n"/>
      <c r="E927" s="1" t="n"/>
      <c r="F927" s="1" t="n"/>
      <c r="G927" s="1" t="n"/>
      <c r="H927" s="1" t="n"/>
      <c r="I927" s="1" t="n"/>
      <c r="J927" s="1" t="n"/>
      <c r="K927" s="1" t="n"/>
      <c r="L927" s="1" t="n"/>
      <c r="M927" s="1" t="n"/>
      <c r="N927" s="1" t="n"/>
      <c r="O927" s="1" t="n"/>
      <c r="P927" s="1" t="n"/>
    </row>
    <row r="928" ht="15.75" customHeight="1" s="311">
      <c r="A928" s="1" t="n"/>
      <c r="B928" s="1" t="n"/>
      <c r="C928" s="1" t="n"/>
      <c r="D928" s="1" t="n"/>
      <c r="E928" s="1" t="n"/>
      <c r="F928" s="1" t="n"/>
      <c r="G928" s="1" t="n"/>
      <c r="H928" s="1" t="n"/>
      <c r="I928" s="1" t="n"/>
      <c r="J928" s="1" t="n"/>
      <c r="K928" s="1" t="n"/>
      <c r="L928" s="1" t="n"/>
      <c r="M928" s="1" t="n"/>
      <c r="N928" s="1" t="n"/>
      <c r="O928" s="1" t="n"/>
      <c r="P928" s="1" t="n"/>
    </row>
    <row r="929" ht="15.75" customHeight="1" s="311">
      <c r="A929" s="1" t="n"/>
      <c r="B929" s="1" t="n"/>
      <c r="C929" s="1" t="n"/>
      <c r="D929" s="1" t="n"/>
      <c r="E929" s="1" t="n"/>
      <c r="F929" s="1" t="n"/>
      <c r="G929" s="1" t="n"/>
      <c r="H929" s="1" t="n"/>
      <c r="I929" s="1" t="n"/>
      <c r="J929" s="1" t="n"/>
      <c r="K929" s="1" t="n"/>
      <c r="L929" s="1" t="n"/>
      <c r="M929" s="1" t="n"/>
      <c r="N929" s="1" t="n"/>
      <c r="O929" s="1" t="n"/>
      <c r="P929" s="1" t="n"/>
    </row>
    <row r="930" ht="15.75" customHeight="1" s="311">
      <c r="A930" s="1" t="n"/>
      <c r="B930" s="1" t="n"/>
      <c r="C930" s="1" t="n"/>
      <c r="D930" s="1" t="n"/>
      <c r="E930" s="1" t="n"/>
      <c r="F930" s="1" t="n"/>
      <c r="G930" s="1" t="n"/>
      <c r="H930" s="1" t="n"/>
      <c r="I930" s="1" t="n"/>
      <c r="J930" s="1" t="n"/>
      <c r="K930" s="1" t="n"/>
      <c r="L930" s="1" t="n"/>
      <c r="M930" s="1" t="n"/>
      <c r="N930" s="1" t="n"/>
      <c r="O930" s="1" t="n"/>
      <c r="P930" s="1" t="n"/>
    </row>
    <row r="931" ht="15.75" customHeight="1" s="311">
      <c r="A931" s="1" t="n"/>
      <c r="B931" s="1" t="n"/>
      <c r="C931" s="1" t="n"/>
      <c r="D931" s="1" t="n"/>
      <c r="E931" s="1" t="n"/>
      <c r="F931" s="1" t="n"/>
      <c r="G931" s="1" t="n"/>
      <c r="H931" s="1" t="n"/>
      <c r="I931" s="1" t="n"/>
      <c r="J931" s="1" t="n"/>
      <c r="K931" s="1" t="n"/>
      <c r="L931" s="1" t="n"/>
      <c r="M931" s="1" t="n"/>
      <c r="N931" s="1" t="n"/>
      <c r="O931" s="1" t="n"/>
      <c r="P931" s="1" t="n"/>
    </row>
    <row r="932" ht="15.75" customHeight="1" s="311">
      <c r="A932" s="1" t="n"/>
      <c r="B932" s="1" t="n"/>
      <c r="C932" s="1" t="n"/>
      <c r="D932" s="1" t="n"/>
      <c r="E932" s="1" t="n"/>
      <c r="F932" s="1" t="n"/>
      <c r="G932" s="1" t="n"/>
      <c r="H932" s="1" t="n"/>
      <c r="I932" s="1" t="n"/>
      <c r="J932" s="1" t="n"/>
      <c r="K932" s="1" t="n"/>
      <c r="L932" s="1" t="n"/>
      <c r="M932" s="1" t="n"/>
      <c r="N932" s="1" t="n"/>
      <c r="O932" s="1" t="n"/>
      <c r="P932" s="1" t="n"/>
    </row>
    <row r="933" ht="15.75" customHeight="1" s="311">
      <c r="A933" s="1" t="n"/>
      <c r="B933" s="1" t="n"/>
      <c r="C933" s="1" t="n"/>
      <c r="D933" s="1" t="n"/>
      <c r="E933" s="1" t="n"/>
      <c r="F933" s="1" t="n"/>
      <c r="G933" s="1" t="n"/>
      <c r="H933" s="1" t="n"/>
      <c r="I933" s="1" t="n"/>
      <c r="J933" s="1" t="n"/>
      <c r="K933" s="1" t="n"/>
      <c r="L933" s="1" t="n"/>
      <c r="M933" s="1" t="n"/>
      <c r="N933" s="1" t="n"/>
      <c r="O933" s="1" t="n"/>
      <c r="P933" s="1" t="n"/>
    </row>
    <row r="934" ht="15.75" customHeight="1" s="311">
      <c r="A934" s="1" t="n"/>
      <c r="B934" s="1" t="n"/>
      <c r="C934" s="1" t="n"/>
      <c r="D934" s="1" t="n"/>
      <c r="E934" s="1" t="n"/>
      <c r="F934" s="1" t="n"/>
      <c r="G934" s="1" t="n"/>
      <c r="H934" s="1" t="n"/>
      <c r="I934" s="1" t="n"/>
      <c r="J934" s="1" t="n"/>
      <c r="K934" s="1" t="n"/>
      <c r="L934" s="1" t="n"/>
      <c r="M934" s="1" t="n"/>
      <c r="N934" s="1" t="n"/>
      <c r="O934" s="1" t="n"/>
      <c r="P934" s="1" t="n"/>
    </row>
    <row r="935" ht="15.75" customHeight="1" s="311">
      <c r="A935" s="1" t="n"/>
      <c r="B935" s="1" t="n"/>
      <c r="C935" s="1" t="n"/>
      <c r="D935" s="1" t="n"/>
      <c r="E935" s="1" t="n"/>
      <c r="F935" s="1" t="n"/>
      <c r="G935" s="1" t="n"/>
      <c r="H935" s="1" t="n"/>
      <c r="I935" s="1" t="n"/>
      <c r="J935" s="1" t="n"/>
      <c r="K935" s="1" t="n"/>
      <c r="L935" s="1" t="n"/>
      <c r="M935" s="1" t="n"/>
      <c r="N935" s="1" t="n"/>
      <c r="O935" s="1" t="n"/>
      <c r="P935" s="1" t="n"/>
    </row>
    <row r="936" ht="15.75" customHeight="1" s="311">
      <c r="A936" s="1" t="n"/>
      <c r="B936" s="1" t="n"/>
      <c r="C936" s="1" t="n"/>
      <c r="D936" s="1" t="n"/>
      <c r="E936" s="1" t="n"/>
      <c r="F936" s="1" t="n"/>
      <c r="G936" s="1" t="n"/>
      <c r="H936" s="1" t="n"/>
      <c r="I936" s="1" t="n"/>
      <c r="J936" s="1" t="n"/>
      <c r="K936" s="1" t="n"/>
      <c r="L936" s="1" t="n"/>
      <c r="M936" s="1" t="n"/>
      <c r="N936" s="1" t="n"/>
      <c r="O936" s="1" t="n"/>
      <c r="P936" s="1" t="n"/>
    </row>
    <row r="937" ht="15.75" customHeight="1" s="311">
      <c r="A937" s="1" t="n"/>
      <c r="B937" s="1" t="n"/>
      <c r="C937" s="1" t="n"/>
      <c r="D937" s="1" t="n"/>
      <c r="E937" s="1" t="n"/>
      <c r="F937" s="1" t="n"/>
      <c r="G937" s="1" t="n"/>
      <c r="H937" s="1" t="n"/>
      <c r="I937" s="1" t="n"/>
      <c r="J937" s="1" t="n"/>
      <c r="K937" s="1" t="n"/>
      <c r="L937" s="1" t="n"/>
      <c r="M937" s="1" t="n"/>
      <c r="N937" s="1" t="n"/>
      <c r="O937" s="1" t="n"/>
      <c r="P937" s="1" t="n"/>
    </row>
    <row r="938" ht="15.75" customHeight="1" s="311">
      <c r="A938" s="1" t="n"/>
      <c r="B938" s="1" t="n"/>
      <c r="C938" s="1" t="n"/>
      <c r="D938" s="1" t="n"/>
      <c r="E938" s="1" t="n"/>
      <c r="F938" s="1" t="n"/>
      <c r="G938" s="1" t="n"/>
      <c r="H938" s="1" t="n"/>
      <c r="I938" s="1" t="n"/>
      <c r="J938" s="1" t="n"/>
      <c r="K938" s="1" t="n"/>
      <c r="L938" s="1" t="n"/>
      <c r="M938" s="1" t="n"/>
      <c r="N938" s="1" t="n"/>
      <c r="O938" s="1" t="n"/>
      <c r="P938" s="1" t="n"/>
    </row>
    <row r="939" ht="15.75" customHeight="1" s="311">
      <c r="A939" s="1" t="n"/>
      <c r="B939" s="1" t="n"/>
      <c r="C939" s="1" t="n"/>
      <c r="D939" s="1" t="n"/>
      <c r="E939" s="1" t="n"/>
      <c r="F939" s="1" t="n"/>
      <c r="G939" s="1" t="n"/>
      <c r="H939" s="1" t="n"/>
      <c r="I939" s="1" t="n"/>
      <c r="J939" s="1" t="n"/>
      <c r="K939" s="1" t="n"/>
      <c r="L939" s="1" t="n"/>
      <c r="M939" s="1" t="n"/>
      <c r="N939" s="1" t="n"/>
      <c r="O939" s="1" t="n"/>
      <c r="P939" s="1" t="n"/>
    </row>
    <row r="940" ht="15.75" customHeight="1" s="311">
      <c r="A940" s="1" t="n"/>
      <c r="B940" s="1" t="n"/>
      <c r="C940" s="1" t="n"/>
      <c r="D940" s="1" t="n"/>
      <c r="E940" s="1" t="n"/>
      <c r="F940" s="1" t="n"/>
      <c r="G940" s="1" t="n"/>
      <c r="H940" s="1" t="n"/>
      <c r="I940" s="1" t="n"/>
      <c r="J940" s="1" t="n"/>
      <c r="K940" s="1" t="n"/>
      <c r="L940" s="1" t="n"/>
      <c r="M940" s="1" t="n"/>
      <c r="N940" s="1" t="n"/>
      <c r="O940" s="1" t="n"/>
      <c r="P940" s="1" t="n"/>
    </row>
    <row r="941" ht="15.75" customHeight="1" s="311">
      <c r="A941" s="1" t="n"/>
      <c r="B941" s="1" t="n"/>
      <c r="C941" s="1" t="n"/>
      <c r="D941" s="1" t="n"/>
      <c r="E941" s="1" t="n"/>
      <c r="F941" s="1" t="n"/>
      <c r="G941" s="1" t="n"/>
      <c r="H941" s="1" t="n"/>
      <c r="I941" s="1" t="n"/>
      <c r="J941" s="1" t="n"/>
      <c r="K941" s="1" t="n"/>
      <c r="L941" s="1" t="n"/>
      <c r="M941" s="1" t="n"/>
      <c r="N941" s="1" t="n"/>
      <c r="O941" s="1" t="n"/>
      <c r="P941" s="1" t="n"/>
    </row>
    <row r="942" ht="15.75" customHeight="1" s="311">
      <c r="A942" s="1" t="n"/>
      <c r="B942" s="1" t="n"/>
      <c r="C942" s="1" t="n"/>
      <c r="D942" s="1" t="n"/>
      <c r="E942" s="1" t="n"/>
      <c r="F942" s="1" t="n"/>
      <c r="G942" s="1" t="n"/>
      <c r="H942" s="1" t="n"/>
      <c r="I942" s="1" t="n"/>
      <c r="J942" s="1" t="n"/>
      <c r="K942" s="1" t="n"/>
      <c r="L942" s="1" t="n"/>
      <c r="M942" s="1" t="n"/>
      <c r="N942" s="1" t="n"/>
      <c r="O942" s="1" t="n"/>
      <c r="P942" s="1" t="n"/>
    </row>
    <row r="943" ht="15.75" customHeight="1" s="311">
      <c r="A943" s="1" t="n"/>
      <c r="B943" s="1" t="n"/>
      <c r="C943" s="1" t="n"/>
      <c r="D943" s="1" t="n"/>
      <c r="E943" s="1" t="n"/>
      <c r="F943" s="1" t="n"/>
      <c r="G943" s="1" t="n"/>
      <c r="H943" s="1" t="n"/>
      <c r="I943" s="1" t="n"/>
      <c r="J943" s="1" t="n"/>
      <c r="K943" s="1" t="n"/>
      <c r="L943" s="1" t="n"/>
      <c r="M943" s="1" t="n"/>
      <c r="N943" s="1" t="n"/>
      <c r="O943" s="1" t="n"/>
      <c r="P943" s="1" t="n"/>
    </row>
    <row r="944" ht="15.75" customHeight="1" s="311">
      <c r="A944" s="1" t="n"/>
      <c r="B944" s="1" t="n"/>
      <c r="C944" s="1" t="n"/>
      <c r="D944" s="1" t="n"/>
      <c r="E944" s="1" t="n"/>
      <c r="F944" s="1" t="n"/>
      <c r="G944" s="1" t="n"/>
      <c r="H944" s="1" t="n"/>
      <c r="I944" s="1" t="n"/>
      <c r="J944" s="1" t="n"/>
      <c r="K944" s="1" t="n"/>
      <c r="L944" s="1" t="n"/>
      <c r="M944" s="1" t="n"/>
      <c r="N944" s="1" t="n"/>
      <c r="O944" s="1" t="n"/>
      <c r="P944" s="1" t="n"/>
    </row>
    <row r="945" ht="15.75" customHeight="1" s="311">
      <c r="A945" s="1" t="n"/>
      <c r="B945" s="1" t="n"/>
      <c r="C945" s="1" t="n"/>
      <c r="D945" s="1" t="n"/>
      <c r="E945" s="1" t="n"/>
      <c r="F945" s="1" t="n"/>
      <c r="G945" s="1" t="n"/>
      <c r="H945" s="1" t="n"/>
      <c r="I945" s="1" t="n"/>
      <c r="J945" s="1" t="n"/>
      <c r="K945" s="1" t="n"/>
      <c r="L945" s="1" t="n"/>
      <c r="M945" s="1" t="n"/>
      <c r="N945" s="1" t="n"/>
      <c r="O945" s="1" t="n"/>
      <c r="P945" s="1" t="n"/>
    </row>
    <row r="946" ht="15.75" customHeight="1" s="311">
      <c r="A946" s="1" t="n"/>
      <c r="B946" s="1" t="n"/>
      <c r="C946" s="1" t="n"/>
      <c r="D946" s="1" t="n"/>
      <c r="E946" s="1" t="n"/>
      <c r="F946" s="1" t="n"/>
      <c r="G946" s="1" t="n"/>
      <c r="H946" s="1" t="n"/>
      <c r="I946" s="1" t="n"/>
      <c r="J946" s="1" t="n"/>
      <c r="K946" s="1" t="n"/>
      <c r="L946" s="1" t="n"/>
      <c r="M946" s="1" t="n"/>
      <c r="N946" s="1" t="n"/>
      <c r="O946" s="1" t="n"/>
      <c r="P946" s="1" t="n"/>
    </row>
    <row r="947" ht="15.75" customHeight="1" s="311">
      <c r="A947" s="1" t="n"/>
      <c r="B947" s="1" t="n"/>
      <c r="C947" s="1" t="n"/>
      <c r="D947" s="1" t="n"/>
      <c r="E947" s="1" t="n"/>
      <c r="F947" s="1" t="n"/>
      <c r="G947" s="1" t="n"/>
      <c r="H947" s="1" t="n"/>
      <c r="I947" s="1" t="n"/>
      <c r="J947" s="1" t="n"/>
      <c r="K947" s="1" t="n"/>
      <c r="L947" s="1" t="n"/>
      <c r="M947" s="1" t="n"/>
      <c r="N947" s="1" t="n"/>
      <c r="O947" s="1" t="n"/>
      <c r="P947" s="1" t="n"/>
    </row>
    <row r="948" ht="15.75" customHeight="1" s="311">
      <c r="A948" s="1" t="n"/>
      <c r="B948" s="1" t="n"/>
      <c r="C948" s="1" t="n"/>
      <c r="D948" s="1" t="n"/>
      <c r="E948" s="1" t="n"/>
      <c r="F948" s="1" t="n"/>
      <c r="G948" s="1" t="n"/>
      <c r="H948" s="1" t="n"/>
      <c r="I948" s="1" t="n"/>
      <c r="J948" s="1" t="n"/>
      <c r="K948" s="1" t="n"/>
      <c r="L948" s="1" t="n"/>
      <c r="M948" s="1" t="n"/>
      <c r="N948" s="1" t="n"/>
      <c r="O948" s="1" t="n"/>
      <c r="P948" s="1" t="n"/>
    </row>
    <row r="949" ht="15.75" customHeight="1" s="311">
      <c r="A949" s="1" t="n"/>
      <c r="B949" s="1" t="n"/>
      <c r="C949" s="1" t="n"/>
      <c r="D949" s="1" t="n"/>
      <c r="E949" s="1" t="n"/>
      <c r="F949" s="1" t="n"/>
      <c r="G949" s="1" t="n"/>
      <c r="H949" s="1" t="n"/>
      <c r="I949" s="1" t="n"/>
      <c r="J949" s="1" t="n"/>
      <c r="K949" s="1" t="n"/>
      <c r="L949" s="1" t="n"/>
      <c r="M949" s="1" t="n"/>
      <c r="N949" s="1" t="n"/>
      <c r="O949" s="1" t="n"/>
      <c r="P949" s="1" t="n"/>
    </row>
    <row r="950" ht="15.75" customHeight="1" s="311">
      <c r="A950" s="1" t="n"/>
      <c r="B950" s="1" t="n"/>
      <c r="C950" s="1" t="n"/>
      <c r="D950" s="1" t="n"/>
      <c r="E950" s="1" t="n"/>
      <c r="F950" s="1" t="n"/>
      <c r="G950" s="1" t="n"/>
      <c r="H950" s="1" t="n"/>
      <c r="I950" s="1" t="n"/>
      <c r="J950" s="1" t="n"/>
      <c r="K950" s="1" t="n"/>
      <c r="L950" s="1" t="n"/>
      <c r="M950" s="1" t="n"/>
      <c r="N950" s="1" t="n"/>
      <c r="O950" s="1" t="n"/>
      <c r="P950" s="1" t="n"/>
    </row>
    <row r="951" ht="15.75" customHeight="1" s="311">
      <c r="A951" s="1" t="n"/>
      <c r="B951" s="1" t="n"/>
      <c r="C951" s="1" t="n"/>
      <c r="D951" s="1" t="n"/>
      <c r="E951" s="1" t="n"/>
      <c r="F951" s="1" t="n"/>
      <c r="G951" s="1" t="n"/>
      <c r="H951" s="1" t="n"/>
      <c r="I951" s="1" t="n"/>
      <c r="J951" s="1" t="n"/>
      <c r="K951" s="1" t="n"/>
      <c r="L951" s="1" t="n"/>
      <c r="M951" s="1" t="n"/>
      <c r="N951" s="1" t="n"/>
      <c r="O951" s="1" t="n"/>
      <c r="P951" s="1" t="n"/>
    </row>
    <row r="952" ht="15.75" customHeight="1" s="311">
      <c r="A952" s="1" t="n"/>
      <c r="B952" s="1" t="n"/>
      <c r="C952" s="1" t="n"/>
      <c r="D952" s="1" t="n"/>
      <c r="E952" s="1" t="n"/>
      <c r="F952" s="1" t="n"/>
      <c r="G952" s="1" t="n"/>
      <c r="H952" s="1" t="n"/>
      <c r="I952" s="1" t="n"/>
      <c r="J952" s="1" t="n"/>
      <c r="K952" s="1" t="n"/>
      <c r="L952" s="1" t="n"/>
      <c r="M952" s="1" t="n"/>
      <c r="N952" s="1" t="n"/>
      <c r="O952" s="1" t="n"/>
      <c r="P952" s="1" t="n"/>
    </row>
    <row r="953" ht="15.75" customHeight="1" s="311">
      <c r="A953" s="1" t="n"/>
      <c r="B953" s="1" t="n"/>
      <c r="C953" s="1" t="n"/>
      <c r="D953" s="1" t="n"/>
      <c r="E953" s="1" t="n"/>
      <c r="F953" s="1" t="n"/>
      <c r="G953" s="1" t="n"/>
      <c r="H953" s="1" t="n"/>
      <c r="I953" s="1" t="n"/>
      <c r="J953" s="1" t="n"/>
      <c r="K953" s="1" t="n"/>
      <c r="L953" s="1" t="n"/>
      <c r="M953" s="1" t="n"/>
      <c r="N953" s="1" t="n"/>
      <c r="O953" s="1" t="n"/>
      <c r="P953" s="1" t="n"/>
    </row>
    <row r="954" ht="15.75" customHeight="1" s="311">
      <c r="A954" s="1" t="n"/>
      <c r="B954" s="1" t="n"/>
      <c r="C954" s="1" t="n"/>
      <c r="D954" s="1" t="n"/>
      <c r="E954" s="1" t="n"/>
      <c r="F954" s="1" t="n"/>
      <c r="G954" s="1" t="n"/>
      <c r="H954" s="1" t="n"/>
      <c r="I954" s="1" t="n"/>
      <c r="J954" s="1" t="n"/>
      <c r="K954" s="1" t="n"/>
      <c r="L954" s="1" t="n"/>
      <c r="M954" s="1" t="n"/>
      <c r="N954" s="1" t="n"/>
      <c r="O954" s="1" t="n"/>
      <c r="P954" s="1" t="n"/>
    </row>
    <row r="955" ht="15.75" customHeight="1" s="311">
      <c r="A955" s="1" t="n"/>
      <c r="B955" s="1" t="n"/>
      <c r="C955" s="1" t="n"/>
      <c r="D955" s="1" t="n"/>
      <c r="E955" s="1" t="n"/>
      <c r="F955" s="1" t="n"/>
      <c r="G955" s="1" t="n"/>
      <c r="H955" s="1" t="n"/>
      <c r="I955" s="1" t="n"/>
      <c r="J955" s="1" t="n"/>
      <c r="K955" s="1" t="n"/>
      <c r="L955" s="1" t="n"/>
      <c r="M955" s="1" t="n"/>
      <c r="N955" s="1" t="n"/>
      <c r="O955" s="1" t="n"/>
      <c r="P955" s="1" t="n"/>
    </row>
    <row r="956" ht="15.75" customHeight="1" s="311">
      <c r="A956" s="1" t="n"/>
      <c r="B956" s="1" t="n"/>
      <c r="C956" s="1" t="n"/>
      <c r="D956" s="1" t="n"/>
      <c r="E956" s="1" t="n"/>
      <c r="F956" s="1" t="n"/>
      <c r="G956" s="1" t="n"/>
      <c r="H956" s="1" t="n"/>
      <c r="I956" s="1" t="n"/>
      <c r="J956" s="1" t="n"/>
      <c r="K956" s="1" t="n"/>
      <c r="L956" s="1" t="n"/>
      <c r="M956" s="1" t="n"/>
      <c r="N956" s="1" t="n"/>
      <c r="O956" s="1" t="n"/>
      <c r="P956" s="1" t="n"/>
    </row>
    <row r="957" ht="15.75" customHeight="1" s="311">
      <c r="A957" s="1" t="n"/>
      <c r="B957" s="1" t="n"/>
      <c r="C957" s="1" t="n"/>
      <c r="D957" s="1" t="n"/>
      <c r="E957" s="1" t="n"/>
      <c r="F957" s="1" t="n"/>
      <c r="G957" s="1" t="n"/>
      <c r="H957" s="1" t="n"/>
      <c r="I957" s="1" t="n"/>
      <c r="J957" s="1" t="n"/>
      <c r="K957" s="1" t="n"/>
      <c r="L957" s="1" t="n"/>
      <c r="M957" s="1" t="n"/>
      <c r="N957" s="1" t="n"/>
      <c r="O957" s="1" t="n"/>
      <c r="P957" s="1" t="n"/>
    </row>
    <row r="958" ht="15.75" customHeight="1" s="311">
      <c r="A958" s="1" t="n"/>
      <c r="B958" s="1" t="n"/>
      <c r="C958" s="1" t="n"/>
      <c r="D958" s="1" t="n"/>
      <c r="E958" s="1" t="n"/>
      <c r="F958" s="1" t="n"/>
      <c r="G958" s="1" t="n"/>
      <c r="H958" s="1" t="n"/>
      <c r="I958" s="1" t="n"/>
      <c r="J958" s="1" t="n"/>
      <c r="K958" s="1" t="n"/>
      <c r="L958" s="1" t="n"/>
      <c r="M958" s="1" t="n"/>
      <c r="N958" s="1" t="n"/>
      <c r="O958" s="1" t="n"/>
      <c r="P958" s="1" t="n"/>
    </row>
    <row r="959" ht="15.75" customHeight="1" s="311">
      <c r="A959" s="1" t="n"/>
      <c r="B959" s="1" t="n"/>
      <c r="C959" s="1" t="n"/>
      <c r="D959" s="1" t="n"/>
      <c r="E959" s="1" t="n"/>
      <c r="F959" s="1" t="n"/>
      <c r="G959" s="1" t="n"/>
      <c r="H959" s="1" t="n"/>
      <c r="I959" s="1" t="n"/>
      <c r="J959" s="1" t="n"/>
      <c r="K959" s="1" t="n"/>
      <c r="L959" s="1" t="n"/>
      <c r="M959" s="1" t="n"/>
      <c r="N959" s="1" t="n"/>
      <c r="O959" s="1" t="n"/>
      <c r="P959" s="1" t="n"/>
    </row>
    <row r="960" ht="15.75" customHeight="1" s="311">
      <c r="A960" s="1" t="n"/>
      <c r="B960" s="1" t="n"/>
      <c r="C960" s="1" t="n"/>
      <c r="D960" s="1" t="n"/>
      <c r="E960" s="1" t="n"/>
      <c r="F960" s="1" t="n"/>
      <c r="G960" s="1" t="n"/>
      <c r="H960" s="1" t="n"/>
      <c r="I960" s="1" t="n"/>
      <c r="J960" s="1" t="n"/>
      <c r="K960" s="1" t="n"/>
      <c r="L960" s="1" t="n"/>
      <c r="M960" s="1" t="n"/>
      <c r="N960" s="1" t="n"/>
      <c r="O960" s="1" t="n"/>
      <c r="P960" s="1" t="n"/>
    </row>
    <row r="961" ht="15.75" customHeight="1" s="311">
      <c r="A961" s="1" t="n"/>
      <c r="B961" s="1" t="n"/>
      <c r="C961" s="1" t="n"/>
      <c r="D961" s="1" t="n"/>
      <c r="E961" s="1" t="n"/>
      <c r="F961" s="1" t="n"/>
      <c r="G961" s="1" t="n"/>
      <c r="H961" s="1" t="n"/>
      <c r="I961" s="1" t="n"/>
      <c r="J961" s="1" t="n"/>
      <c r="K961" s="1" t="n"/>
      <c r="L961" s="1" t="n"/>
      <c r="M961" s="1" t="n"/>
      <c r="N961" s="1" t="n"/>
      <c r="O961" s="1" t="n"/>
      <c r="P961" s="1" t="n"/>
    </row>
    <row r="962" ht="15.75" customHeight="1" s="311">
      <c r="A962" s="1" t="n"/>
      <c r="B962" s="1" t="n"/>
      <c r="C962" s="1" t="n"/>
      <c r="D962" s="1" t="n"/>
      <c r="E962" s="1" t="n"/>
      <c r="F962" s="1" t="n"/>
      <c r="G962" s="1" t="n"/>
      <c r="H962" s="1" t="n"/>
      <c r="I962" s="1" t="n"/>
      <c r="J962" s="1" t="n"/>
      <c r="K962" s="1" t="n"/>
      <c r="L962" s="1" t="n"/>
      <c r="M962" s="1" t="n"/>
      <c r="N962" s="1" t="n"/>
      <c r="O962" s="1" t="n"/>
      <c r="P962" s="1" t="n"/>
    </row>
    <row r="963" ht="15.75" customHeight="1" s="311">
      <c r="A963" s="1" t="n"/>
      <c r="B963" s="1" t="n"/>
      <c r="C963" s="1" t="n"/>
      <c r="D963" s="1" t="n"/>
      <c r="E963" s="1" t="n"/>
      <c r="F963" s="1" t="n"/>
      <c r="G963" s="1" t="n"/>
      <c r="H963" s="1" t="n"/>
      <c r="I963" s="1" t="n"/>
      <c r="J963" s="1" t="n"/>
      <c r="K963" s="1" t="n"/>
      <c r="L963" s="1" t="n"/>
      <c r="M963" s="1" t="n"/>
      <c r="N963" s="1" t="n"/>
      <c r="O963" s="1" t="n"/>
      <c r="P963" s="1" t="n"/>
    </row>
    <row r="964" ht="15.75" customHeight="1" s="311">
      <c r="A964" s="1" t="n"/>
      <c r="B964" s="1" t="n"/>
      <c r="C964" s="1" t="n"/>
      <c r="D964" s="1" t="n"/>
      <c r="E964" s="1" t="n"/>
      <c r="F964" s="1" t="n"/>
      <c r="G964" s="1" t="n"/>
      <c r="H964" s="1" t="n"/>
      <c r="I964" s="1" t="n"/>
      <c r="J964" s="1" t="n"/>
      <c r="K964" s="1" t="n"/>
      <c r="L964" s="1" t="n"/>
      <c r="M964" s="1" t="n"/>
      <c r="N964" s="1" t="n"/>
      <c r="O964" s="1" t="n"/>
      <c r="P964" s="1" t="n"/>
    </row>
    <row r="965" ht="15.75" customHeight="1" s="311">
      <c r="A965" s="1" t="n"/>
      <c r="B965" s="1" t="n"/>
      <c r="C965" s="1" t="n"/>
      <c r="D965" s="1" t="n"/>
      <c r="E965" s="1" t="n"/>
      <c r="F965" s="1" t="n"/>
      <c r="G965" s="1" t="n"/>
      <c r="H965" s="1" t="n"/>
      <c r="I965" s="1" t="n"/>
      <c r="J965" s="1" t="n"/>
      <c r="K965" s="1" t="n"/>
      <c r="L965" s="1" t="n"/>
      <c r="M965" s="1" t="n"/>
      <c r="N965" s="1" t="n"/>
      <c r="O965" s="1" t="n"/>
      <c r="P965" s="1" t="n"/>
    </row>
    <row r="966" ht="15.75" customHeight="1" s="311">
      <c r="A966" s="1" t="n"/>
      <c r="B966" s="1" t="n"/>
      <c r="C966" s="1" t="n"/>
      <c r="D966" s="1" t="n"/>
      <c r="E966" s="1" t="n"/>
      <c r="F966" s="1" t="n"/>
      <c r="G966" s="1" t="n"/>
      <c r="H966" s="1" t="n"/>
      <c r="I966" s="1" t="n"/>
      <c r="J966" s="1" t="n"/>
      <c r="K966" s="1" t="n"/>
      <c r="L966" s="1" t="n"/>
      <c r="M966" s="1" t="n"/>
      <c r="N966" s="1" t="n"/>
      <c r="O966" s="1" t="n"/>
      <c r="P966" s="1" t="n"/>
    </row>
    <row r="967" ht="15.75" customHeight="1" s="311">
      <c r="A967" s="1" t="n"/>
      <c r="B967" s="1" t="n"/>
      <c r="C967" s="1" t="n"/>
      <c r="D967" s="1" t="n"/>
      <c r="E967" s="1" t="n"/>
      <c r="F967" s="1" t="n"/>
      <c r="G967" s="1" t="n"/>
      <c r="H967" s="1" t="n"/>
      <c r="I967" s="1" t="n"/>
      <c r="J967" s="1" t="n"/>
      <c r="K967" s="1" t="n"/>
      <c r="L967" s="1" t="n"/>
      <c r="M967" s="1" t="n"/>
      <c r="N967" s="1" t="n"/>
      <c r="O967" s="1" t="n"/>
      <c r="P967" s="1" t="n"/>
    </row>
    <row r="968" ht="15.75" customHeight="1" s="311">
      <c r="A968" s="1" t="n"/>
      <c r="B968" s="1" t="n"/>
      <c r="C968" s="1" t="n"/>
      <c r="D968" s="1" t="n"/>
      <c r="E968" s="1" t="n"/>
      <c r="F968" s="1" t="n"/>
      <c r="G968" s="1" t="n"/>
      <c r="H968" s="1" t="n"/>
      <c r="I968" s="1" t="n"/>
      <c r="J968" s="1" t="n"/>
      <c r="K968" s="1" t="n"/>
      <c r="L968" s="1" t="n"/>
      <c r="M968" s="1" t="n"/>
      <c r="N968" s="1" t="n"/>
      <c r="O968" s="1" t="n"/>
      <c r="P968" s="1" t="n"/>
    </row>
    <row r="969" ht="15.75" customHeight="1" s="311">
      <c r="A969" s="1" t="n"/>
      <c r="B969" s="1" t="n"/>
      <c r="C969" s="1" t="n"/>
      <c r="D969" s="1" t="n"/>
      <c r="E969" s="1" t="n"/>
      <c r="F969" s="1" t="n"/>
      <c r="G969" s="1" t="n"/>
      <c r="H969" s="1" t="n"/>
      <c r="I969" s="1" t="n"/>
      <c r="J969" s="1" t="n"/>
      <c r="K969" s="1" t="n"/>
      <c r="L969" s="1" t="n"/>
      <c r="M969" s="1" t="n"/>
      <c r="N969" s="1" t="n"/>
      <c r="O969" s="1" t="n"/>
      <c r="P969" s="1" t="n"/>
    </row>
    <row r="970" ht="15.75" customHeight="1" s="311">
      <c r="A970" s="1" t="n"/>
      <c r="B970" s="1" t="n"/>
      <c r="C970" s="1" t="n"/>
      <c r="D970" s="1" t="n"/>
      <c r="E970" s="1" t="n"/>
      <c r="F970" s="1" t="n"/>
      <c r="G970" s="1" t="n"/>
      <c r="H970" s="1" t="n"/>
      <c r="I970" s="1" t="n"/>
      <c r="J970" s="1" t="n"/>
      <c r="K970" s="1" t="n"/>
      <c r="L970" s="1" t="n"/>
      <c r="M970" s="1" t="n"/>
      <c r="N970" s="1" t="n"/>
      <c r="O970" s="1" t="n"/>
      <c r="P970" s="1" t="n"/>
    </row>
    <row r="971" ht="15.75" customHeight="1" s="311">
      <c r="A971" s="1" t="n"/>
      <c r="B971" s="1" t="n"/>
      <c r="C971" s="1" t="n"/>
      <c r="D971" s="1" t="n"/>
      <c r="E971" s="1" t="n"/>
      <c r="F971" s="1" t="n"/>
      <c r="G971" s="1" t="n"/>
      <c r="H971" s="1" t="n"/>
      <c r="I971" s="1" t="n"/>
      <c r="J971" s="1" t="n"/>
      <c r="K971" s="1" t="n"/>
      <c r="L971" s="1" t="n"/>
      <c r="M971" s="1" t="n"/>
      <c r="N971" s="1" t="n"/>
      <c r="O971" s="1" t="n"/>
      <c r="P971" s="1" t="n"/>
    </row>
    <row r="972" ht="15.75" customHeight="1" s="311">
      <c r="A972" s="1" t="n"/>
      <c r="B972" s="1" t="n"/>
      <c r="C972" s="1" t="n"/>
      <c r="D972" s="1" t="n"/>
      <c r="E972" s="1" t="n"/>
      <c r="F972" s="1" t="n"/>
      <c r="G972" s="1" t="n"/>
      <c r="H972" s="1" t="n"/>
      <c r="I972" s="1" t="n"/>
      <c r="J972" s="1" t="n"/>
      <c r="K972" s="1" t="n"/>
      <c r="L972" s="1" t="n"/>
      <c r="M972" s="1" t="n"/>
      <c r="N972" s="1" t="n"/>
      <c r="O972" s="1" t="n"/>
      <c r="P972" s="1" t="n"/>
    </row>
    <row r="973" ht="15.75" customHeight="1" s="311">
      <c r="A973" s="1" t="n"/>
      <c r="B973" s="1" t="n"/>
      <c r="C973" s="1" t="n"/>
      <c r="D973" s="1" t="n"/>
      <c r="E973" s="1" t="n"/>
      <c r="F973" s="1" t="n"/>
      <c r="G973" s="1" t="n"/>
      <c r="H973" s="1" t="n"/>
      <c r="I973" s="1" t="n"/>
      <c r="J973" s="1" t="n"/>
      <c r="K973" s="1" t="n"/>
      <c r="L973" s="1" t="n"/>
      <c r="M973" s="1" t="n"/>
      <c r="N973" s="1" t="n"/>
      <c r="O973" s="1" t="n"/>
      <c r="P973" s="1" t="n"/>
    </row>
    <row r="974" ht="15.75" customHeight="1" s="311">
      <c r="A974" s="1" t="n"/>
      <c r="B974" s="1" t="n"/>
      <c r="C974" s="1" t="n"/>
      <c r="D974" s="1" t="n"/>
      <c r="E974" s="1" t="n"/>
      <c r="F974" s="1" t="n"/>
      <c r="G974" s="1" t="n"/>
      <c r="H974" s="1" t="n"/>
      <c r="I974" s="1" t="n"/>
      <c r="J974" s="1" t="n"/>
      <c r="K974" s="1" t="n"/>
      <c r="L974" s="1" t="n"/>
      <c r="M974" s="1" t="n"/>
      <c r="N974" s="1" t="n"/>
      <c r="O974" s="1" t="n"/>
      <c r="P974" s="1" t="n"/>
    </row>
    <row r="975" ht="15.75" customHeight="1" s="311">
      <c r="A975" s="1" t="n"/>
      <c r="B975" s="1" t="n"/>
      <c r="C975" s="1" t="n"/>
      <c r="D975" s="1" t="n"/>
      <c r="E975" s="1" t="n"/>
      <c r="F975" s="1" t="n"/>
      <c r="G975" s="1" t="n"/>
      <c r="H975" s="1" t="n"/>
      <c r="I975" s="1" t="n"/>
      <c r="J975" s="1" t="n"/>
      <c r="K975" s="1" t="n"/>
      <c r="L975" s="1" t="n"/>
      <c r="M975" s="1" t="n"/>
      <c r="N975" s="1" t="n"/>
      <c r="O975" s="1" t="n"/>
      <c r="P975" s="1" t="n"/>
    </row>
    <row r="976" ht="15.75" customHeight="1" s="311">
      <c r="A976" s="1" t="n"/>
      <c r="B976" s="1" t="n"/>
      <c r="C976" s="1" t="n"/>
      <c r="D976" s="1" t="n"/>
      <c r="E976" s="1" t="n"/>
      <c r="F976" s="1" t="n"/>
      <c r="G976" s="1" t="n"/>
      <c r="H976" s="1" t="n"/>
      <c r="I976" s="1" t="n"/>
      <c r="J976" s="1" t="n"/>
      <c r="K976" s="1" t="n"/>
      <c r="L976" s="1" t="n"/>
      <c r="M976" s="1" t="n"/>
      <c r="N976" s="1" t="n"/>
      <c r="O976" s="1" t="n"/>
      <c r="P976" s="1" t="n"/>
    </row>
    <row r="977" ht="15.75" customHeight="1" s="311">
      <c r="A977" s="1" t="n"/>
      <c r="B977" s="1" t="n"/>
      <c r="C977" s="1" t="n"/>
      <c r="D977" s="1" t="n"/>
      <c r="E977" s="1" t="n"/>
      <c r="F977" s="1" t="n"/>
      <c r="G977" s="1" t="n"/>
      <c r="H977" s="1" t="n"/>
      <c r="I977" s="1" t="n"/>
      <c r="J977" s="1" t="n"/>
      <c r="K977" s="1" t="n"/>
      <c r="L977" s="1" t="n"/>
      <c r="M977" s="1" t="n"/>
      <c r="N977" s="1" t="n"/>
      <c r="O977" s="1" t="n"/>
      <c r="P977" s="1" t="n"/>
    </row>
    <row r="978" ht="15.75" customHeight="1" s="311">
      <c r="A978" s="1" t="n"/>
      <c r="B978" s="1" t="n"/>
      <c r="C978" s="1" t="n"/>
      <c r="D978" s="1" t="n"/>
      <c r="E978" s="1" t="n"/>
      <c r="F978" s="1" t="n"/>
      <c r="G978" s="1" t="n"/>
      <c r="H978" s="1" t="n"/>
      <c r="I978" s="1" t="n"/>
      <c r="J978" s="1" t="n"/>
      <c r="K978" s="1" t="n"/>
      <c r="L978" s="1" t="n"/>
      <c r="M978" s="1" t="n"/>
      <c r="N978" s="1" t="n"/>
      <c r="O978" s="1" t="n"/>
      <c r="P978" s="1" t="n"/>
    </row>
    <row r="979" ht="15.75" customHeight="1" s="311">
      <c r="A979" s="1" t="n"/>
      <c r="B979" s="1" t="n"/>
      <c r="C979" s="1" t="n"/>
      <c r="D979" s="1" t="n"/>
      <c r="E979" s="1" t="n"/>
      <c r="F979" s="1" t="n"/>
      <c r="G979" s="1" t="n"/>
      <c r="H979" s="1" t="n"/>
      <c r="I979" s="1" t="n"/>
      <c r="J979" s="1" t="n"/>
      <c r="K979" s="1" t="n"/>
      <c r="L979" s="1" t="n"/>
      <c r="M979" s="1" t="n"/>
      <c r="N979" s="1" t="n"/>
      <c r="O979" s="1" t="n"/>
      <c r="P979" s="1" t="n"/>
    </row>
    <row r="980" ht="15.75" customHeight="1" s="311">
      <c r="A980" s="1" t="n"/>
      <c r="B980" s="1" t="n"/>
      <c r="C980" s="1" t="n"/>
      <c r="D980" s="1" t="n"/>
      <c r="E980" s="1" t="n"/>
      <c r="F980" s="1" t="n"/>
      <c r="G980" s="1" t="n"/>
      <c r="H980" s="1" t="n"/>
      <c r="I980" s="1" t="n"/>
      <c r="J980" s="1" t="n"/>
      <c r="K980" s="1" t="n"/>
      <c r="L980" s="1" t="n"/>
      <c r="M980" s="1" t="n"/>
      <c r="N980" s="1" t="n"/>
      <c r="O980" s="1" t="n"/>
      <c r="P980" s="1" t="n"/>
    </row>
    <row r="981" ht="15.75" customHeight="1" s="311">
      <c r="A981" s="1" t="n"/>
      <c r="B981" s="1" t="n"/>
      <c r="C981" s="1" t="n"/>
      <c r="D981" s="1" t="n"/>
      <c r="E981" s="1" t="n"/>
      <c r="F981" s="1" t="n"/>
      <c r="G981" s="1" t="n"/>
      <c r="H981" s="1" t="n"/>
      <c r="I981" s="1" t="n"/>
      <c r="J981" s="1" t="n"/>
      <c r="K981" s="1" t="n"/>
      <c r="L981" s="1" t="n"/>
      <c r="M981" s="1" t="n"/>
      <c r="N981" s="1" t="n"/>
      <c r="O981" s="1" t="n"/>
      <c r="P981" s="1" t="n"/>
    </row>
    <row r="982" ht="15.75" customHeight="1" s="311">
      <c r="A982" s="1" t="n"/>
      <c r="B982" s="1" t="n"/>
      <c r="C982" s="1" t="n"/>
      <c r="D982" s="1" t="n"/>
      <c r="E982" s="1" t="n"/>
      <c r="F982" s="1" t="n"/>
      <c r="G982" s="1" t="n"/>
      <c r="H982" s="1" t="n"/>
      <c r="I982" s="1" t="n"/>
      <c r="J982" s="1" t="n"/>
      <c r="K982" s="1" t="n"/>
      <c r="L982" s="1" t="n"/>
      <c r="M982" s="1" t="n"/>
      <c r="N982" s="1" t="n"/>
      <c r="O982" s="1" t="n"/>
      <c r="P982" s="1" t="n"/>
    </row>
    <row r="983" ht="15.75" customHeight="1" s="311">
      <c r="A983" s="1" t="n"/>
      <c r="B983" s="1" t="n"/>
      <c r="C983" s="1" t="n"/>
      <c r="D983" s="1" t="n"/>
      <c r="E983" s="1" t="n"/>
      <c r="F983" s="1" t="n"/>
      <c r="G983" s="1" t="n"/>
      <c r="H983" s="1" t="n"/>
      <c r="I983" s="1" t="n"/>
      <c r="J983" s="1" t="n"/>
      <c r="K983" s="1" t="n"/>
      <c r="L983" s="1" t="n"/>
      <c r="M983" s="1" t="n"/>
      <c r="N983" s="1" t="n"/>
      <c r="O983" s="1" t="n"/>
      <c r="P983" s="1" t="n"/>
    </row>
    <row r="984" ht="15.75" customHeight="1" s="311">
      <c r="A984" s="1" t="n"/>
      <c r="B984" s="1" t="n"/>
      <c r="C984" s="1" t="n"/>
      <c r="D984" s="1" t="n"/>
      <c r="E984" s="1" t="n"/>
      <c r="F984" s="1" t="n"/>
      <c r="G984" s="1" t="n"/>
      <c r="H984" s="1" t="n"/>
      <c r="I984" s="1" t="n"/>
      <c r="J984" s="1" t="n"/>
      <c r="K984" s="1" t="n"/>
      <c r="L984" s="1" t="n"/>
      <c r="M984" s="1" t="n"/>
      <c r="N984" s="1" t="n"/>
      <c r="O984" s="1" t="n"/>
      <c r="P984" s="1" t="n"/>
    </row>
    <row r="985" ht="15.75" customHeight="1" s="311">
      <c r="A985" s="1" t="n"/>
      <c r="B985" s="1" t="n"/>
      <c r="C985" s="1" t="n"/>
      <c r="D985" s="1" t="n"/>
      <c r="E985" s="1" t="n"/>
      <c r="F985" s="1" t="n"/>
      <c r="G985" s="1" t="n"/>
      <c r="H985" s="1" t="n"/>
      <c r="I985" s="1" t="n"/>
      <c r="J985" s="1" t="n"/>
      <c r="K985" s="1" t="n"/>
      <c r="L985" s="1" t="n"/>
      <c r="M985" s="1" t="n"/>
      <c r="N985" s="1" t="n"/>
      <c r="O985" s="1" t="n"/>
      <c r="P985" s="1" t="n"/>
    </row>
    <row r="986" ht="15.75" customHeight="1" s="311">
      <c r="A986" s="1" t="n"/>
      <c r="B986" s="1" t="n"/>
      <c r="C986" s="1" t="n"/>
      <c r="D986" s="1" t="n"/>
      <c r="E986" s="1" t="n"/>
      <c r="F986" s="1" t="n"/>
      <c r="G986" s="1" t="n"/>
      <c r="H986" s="1" t="n"/>
      <c r="I986" s="1" t="n"/>
      <c r="J986" s="1" t="n"/>
      <c r="K986" s="1" t="n"/>
      <c r="L986" s="1" t="n"/>
      <c r="M986" s="1" t="n"/>
      <c r="N986" s="1" t="n"/>
      <c r="O986" s="1" t="n"/>
      <c r="P986" s="1" t="n"/>
    </row>
    <row r="987" ht="15.75" customHeight="1" s="311">
      <c r="A987" s="1" t="n"/>
      <c r="B987" s="1" t="n"/>
      <c r="C987" s="1" t="n"/>
      <c r="D987" s="1" t="n"/>
      <c r="E987" s="1" t="n"/>
      <c r="F987" s="1" t="n"/>
      <c r="G987" s="1" t="n"/>
      <c r="H987" s="1" t="n"/>
      <c r="I987" s="1" t="n"/>
      <c r="J987" s="1" t="n"/>
      <c r="K987" s="1" t="n"/>
      <c r="L987" s="1" t="n"/>
      <c r="M987" s="1" t="n"/>
      <c r="N987" s="1" t="n"/>
      <c r="O987" s="1" t="n"/>
      <c r="P987" s="1" t="n"/>
    </row>
    <row r="988" ht="15.75" customHeight="1" s="311">
      <c r="A988" s="1" t="n"/>
      <c r="B988" s="1" t="n"/>
      <c r="C988" s="1" t="n"/>
      <c r="D988" s="1" t="n"/>
      <c r="E988" s="1" t="n"/>
      <c r="F988" s="1" t="n"/>
      <c r="G988" s="1" t="n"/>
      <c r="H988" s="1" t="n"/>
      <c r="I988" s="1" t="n"/>
      <c r="J988" s="1" t="n"/>
      <c r="K988" s="1" t="n"/>
      <c r="L988" s="1" t="n"/>
      <c r="M988" s="1" t="n"/>
      <c r="N988" s="1" t="n"/>
      <c r="O988" s="1" t="n"/>
      <c r="P988" s="1" t="n"/>
    </row>
    <row r="989" ht="15.75" customHeight="1" s="311">
      <c r="A989" s="1" t="n"/>
      <c r="B989" s="1" t="n"/>
      <c r="C989" s="1" t="n"/>
      <c r="D989" s="1" t="n"/>
      <c r="E989" s="1" t="n"/>
      <c r="F989" s="1" t="n"/>
      <c r="G989" s="1" t="n"/>
      <c r="H989" s="1" t="n"/>
      <c r="I989" s="1" t="n"/>
      <c r="J989" s="1" t="n"/>
      <c r="K989" s="1" t="n"/>
      <c r="L989" s="1" t="n"/>
      <c r="M989" s="1" t="n"/>
      <c r="N989" s="1" t="n"/>
      <c r="O989" s="1" t="n"/>
      <c r="P989" s="1" t="n"/>
    </row>
    <row r="990" ht="15.75" customHeight="1" s="311">
      <c r="A990" s="1" t="n"/>
      <c r="B990" s="1" t="n"/>
      <c r="C990" s="1" t="n"/>
      <c r="D990" s="1" t="n"/>
      <c r="E990" s="1" t="n"/>
      <c r="F990" s="1" t="n"/>
      <c r="G990" s="1" t="n"/>
      <c r="H990" s="1" t="n"/>
      <c r="I990" s="1" t="n"/>
      <c r="J990" s="1" t="n"/>
      <c r="K990" s="1" t="n"/>
      <c r="L990" s="1" t="n"/>
      <c r="M990" s="1" t="n"/>
      <c r="N990" s="1" t="n"/>
      <c r="O990" s="1" t="n"/>
      <c r="P990" s="1" t="n"/>
    </row>
    <row r="991" ht="15.75" customHeight="1" s="311">
      <c r="A991" s="1" t="n"/>
      <c r="B991" s="1" t="n"/>
      <c r="C991" s="1" t="n"/>
      <c r="D991" s="1" t="n"/>
      <c r="E991" s="1" t="n"/>
      <c r="F991" s="1" t="n"/>
      <c r="G991" s="1" t="n"/>
      <c r="H991" s="1" t="n"/>
      <c r="I991" s="1" t="n"/>
      <c r="J991" s="1" t="n"/>
      <c r="K991" s="1" t="n"/>
      <c r="L991" s="1" t="n"/>
      <c r="M991" s="1" t="n"/>
      <c r="N991" s="1" t="n"/>
      <c r="O991" s="1" t="n"/>
      <c r="P991" s="1" t="n"/>
    </row>
    <row r="992" ht="15.75" customHeight="1" s="311">
      <c r="A992" s="1" t="n"/>
      <c r="B992" s="1" t="n"/>
      <c r="C992" s="1" t="n"/>
      <c r="D992" s="1" t="n"/>
      <c r="E992" s="1" t="n"/>
      <c r="F992" s="1" t="n"/>
      <c r="G992" s="1" t="n"/>
      <c r="H992" s="1" t="n"/>
      <c r="I992" s="1" t="n"/>
      <c r="J992" s="1" t="n"/>
      <c r="K992" s="1" t="n"/>
      <c r="L992" s="1" t="n"/>
      <c r="M992" s="1" t="n"/>
      <c r="N992" s="1" t="n"/>
      <c r="O992" s="1" t="n"/>
      <c r="P992" s="1" t="n"/>
    </row>
    <row r="993" ht="15.75" customHeight="1" s="311">
      <c r="A993" s="1" t="n"/>
      <c r="B993" s="1" t="n"/>
      <c r="C993" s="1" t="n"/>
      <c r="D993" s="1" t="n"/>
      <c r="E993" s="1" t="n"/>
      <c r="F993" s="1" t="n"/>
      <c r="G993" s="1" t="n"/>
      <c r="H993" s="1" t="n"/>
      <c r="I993" s="1" t="n"/>
      <c r="J993" s="1" t="n"/>
      <c r="K993" s="1" t="n"/>
      <c r="L993" s="1" t="n"/>
      <c r="M993" s="1" t="n"/>
      <c r="N993" s="1" t="n"/>
      <c r="O993" s="1" t="n"/>
      <c r="P993" s="1" t="n"/>
    </row>
    <row r="994" ht="15.75" customHeight="1" s="311">
      <c r="A994" s="1" t="n"/>
      <c r="B994" s="1" t="n"/>
      <c r="C994" s="1" t="n"/>
      <c r="D994" s="1" t="n"/>
      <c r="E994" s="1" t="n"/>
      <c r="F994" s="1" t="n"/>
      <c r="G994" s="1" t="n"/>
      <c r="H994" s="1" t="n"/>
      <c r="I994" s="1" t="n"/>
      <c r="J994" s="1" t="n"/>
      <c r="K994" s="1" t="n"/>
      <c r="L994" s="1" t="n"/>
      <c r="M994" s="1" t="n"/>
      <c r="N994" s="1" t="n"/>
      <c r="O994" s="1" t="n"/>
      <c r="P994" s="1" t="n"/>
    </row>
    <row r="995" ht="15.75" customHeight="1" s="311">
      <c r="A995" s="1" t="n"/>
      <c r="B995" s="1" t="n"/>
      <c r="C995" s="1" t="n"/>
      <c r="D995" s="1" t="n"/>
      <c r="E995" s="1" t="n"/>
      <c r="F995" s="1" t="n"/>
      <c r="G995" s="1" t="n"/>
      <c r="H995" s="1" t="n"/>
      <c r="I995" s="1" t="n"/>
      <c r="J995" s="1" t="n"/>
      <c r="K995" s="1" t="n"/>
      <c r="L995" s="1" t="n"/>
      <c r="M995" s="1" t="n"/>
      <c r="N995" s="1" t="n"/>
      <c r="O995" s="1" t="n"/>
      <c r="P995" s="1" t="n"/>
    </row>
    <row r="996" ht="15.75" customHeight="1" s="311">
      <c r="A996" s="1" t="n"/>
      <c r="B996" s="1" t="n"/>
      <c r="C996" s="1" t="n"/>
      <c r="D996" s="1" t="n"/>
      <c r="E996" s="1" t="n"/>
      <c r="F996" s="1" t="n"/>
      <c r="G996" s="1" t="n"/>
      <c r="H996" s="1" t="n"/>
      <c r="I996" s="1" t="n"/>
      <c r="J996" s="1" t="n"/>
      <c r="K996" s="1" t="n"/>
      <c r="L996" s="1" t="n"/>
      <c r="M996" s="1" t="n"/>
      <c r="N996" s="1" t="n"/>
      <c r="O996" s="1" t="n"/>
      <c r="P996" s="1" t="n"/>
    </row>
    <row r="997" ht="15.75" customHeight="1" s="311">
      <c r="A997" s="1" t="n"/>
      <c r="B997" s="1" t="n"/>
      <c r="C997" s="1" t="n"/>
      <c r="D997" s="1" t="n"/>
      <c r="E997" s="1" t="n"/>
      <c r="F997" s="1" t="n"/>
      <c r="G997" s="1" t="n"/>
      <c r="H997" s="1" t="n"/>
      <c r="I997" s="1" t="n"/>
      <c r="J997" s="1" t="n"/>
      <c r="K997" s="1" t="n"/>
      <c r="L997" s="1" t="n"/>
      <c r="M997" s="1" t="n"/>
      <c r="N997" s="1" t="n"/>
      <c r="O997" s="1" t="n"/>
      <c r="P997" s="1" t="n"/>
    </row>
    <row r="998" ht="15.75" customHeight="1" s="311">
      <c r="A998" s="1" t="n"/>
      <c r="B998" s="1" t="n"/>
      <c r="C998" s="1" t="n"/>
      <c r="D998" s="1" t="n"/>
      <c r="E998" s="1" t="n"/>
      <c r="F998" s="1" t="n"/>
      <c r="G998" s="1" t="n"/>
      <c r="H998" s="1" t="n"/>
      <c r="I998" s="1" t="n"/>
      <c r="J998" s="1" t="n"/>
      <c r="K998" s="1" t="n"/>
      <c r="L998" s="1" t="n"/>
      <c r="M998" s="1" t="n"/>
      <c r="N998" s="1" t="n"/>
      <c r="O998" s="1" t="n"/>
      <c r="P998" s="1" t="n"/>
    </row>
    <row r="999" ht="15.75" customHeight="1" s="311">
      <c r="A999" s="1" t="n"/>
      <c r="B999" s="1" t="n"/>
      <c r="C999" s="1" t="n"/>
      <c r="D999" s="1" t="n"/>
      <c r="E999" s="1" t="n"/>
      <c r="F999" s="1" t="n"/>
      <c r="G999" s="1" t="n"/>
      <c r="H999" s="1" t="n"/>
      <c r="I999" s="1" t="n"/>
      <c r="J999" s="1" t="n"/>
      <c r="K999" s="1" t="n"/>
      <c r="L999" s="1" t="n"/>
      <c r="M999" s="1" t="n"/>
      <c r="N999" s="1" t="n"/>
      <c r="O999" s="1" t="n"/>
      <c r="P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row>
  </sheetData>
  <mergeCells count="20">
    <mergeCell ref="L7:M7"/>
    <mergeCell ref="B7:C7"/>
    <mergeCell ref="J5:K5"/>
    <mergeCell ref="C9:H9"/>
    <mergeCell ref="F6:G6"/>
    <mergeCell ref="D46:H46"/>
    <mergeCell ref="F7:G7"/>
    <mergeCell ref="D6:E6"/>
    <mergeCell ref="H6:I6"/>
    <mergeCell ref="J6:K6"/>
    <mergeCell ref="F5:G5"/>
    <mergeCell ref="L5:M5"/>
    <mergeCell ref="D7:E7"/>
    <mergeCell ref="H7:I7"/>
    <mergeCell ref="J7:K7"/>
    <mergeCell ref="B6:C6"/>
    <mergeCell ref="L6:M6"/>
    <mergeCell ref="B5:C5"/>
    <mergeCell ref="D5:E5"/>
    <mergeCell ref="H5:I5"/>
  </mergeCells>
  <conditionalFormatting sqref="A13:O42">
    <cfRule type="expression" priority="1" dxfId="7">
      <formula>$B13="1 · Urgente"</formula>
    </cfRule>
    <cfRule type="expression" priority="2" dxfId="8">
      <formula>AND($I13&lt;&gt;"",$I13&lt;0)</formula>
    </cfRule>
  </conditionalFormatting>
  <conditionalFormatting sqref="N45">
    <cfRule type="cellIs" priority="3" operator="notEqual" dxfId="3">
      <formula>0</formula>
    </cfRule>
  </conditionalFormatting>
  <pageMargins left="0.75" right="0.75" top="1" bottom="1" header="0" footer="0"/>
  <pageSetup orientation="portrait" paperSize="9"/>
  <drawing xmlns:r="http://schemas.openxmlformats.org/officeDocument/2006/relationships" r:id="rId1"/>
</worksheet>
</file>

<file path=xl/worksheets/sheet7.xml><?xml version="1.0" encoding="utf-8"?>
<worksheet xmlns="http://schemas.openxmlformats.org/spreadsheetml/2006/main">
  <sheetPr>
    <tabColor rgb="FF12B5A5"/>
    <outlinePr summaryBelow="1" summaryRight="1"/>
    <pageSetUpPr/>
  </sheetPr>
  <dimension ref="A1:Z1000"/>
  <sheetViews>
    <sheetView showGridLines="0" workbookViewId="0">
      <pane ySplit="5" topLeftCell="A6" activePane="bottomLeft" state="frozen"/>
      <selection pane="bottomLeft" activeCell="B7" sqref="B7"/>
    </sheetView>
  </sheetViews>
  <sheetFormatPr baseColWidth="8" defaultColWidth="14.43" defaultRowHeight="15" customHeight="1"/>
  <cols>
    <col width="5" customWidth="1" style="311" min="1" max="1"/>
    <col width="32" customWidth="1" style="311" min="2" max="2"/>
    <col width="19" customWidth="1" style="311" min="3" max="3"/>
    <col width="9" customWidth="1" style="311" min="4" max="4"/>
    <col width="17.71" customWidth="1" style="311" min="5" max="5"/>
    <col width="9" customWidth="1" style="311" min="6" max="6"/>
    <col width="14" customWidth="1" style="311" min="7" max="7"/>
    <col width="13" customWidth="1" style="311" min="8" max="8"/>
    <col width="14" customWidth="1" style="311" min="9" max="9"/>
    <col width="17" customWidth="1" style="311" min="10" max="10"/>
    <col width="50" customWidth="1" style="311" min="11" max="11"/>
    <col width="3" customWidth="1" style="311" min="12" max="12"/>
    <col width="10" customWidth="1" style="311" min="13" max="13"/>
    <col width="12" customWidth="1" style="311" min="14" max="14"/>
    <col width="15" customWidth="1" style="311" min="15" max="20"/>
  </cols>
  <sheetData>
    <row r="1" ht="21.75" customHeight="1" s="311">
      <c r="A1" s="145" t="n"/>
      <c r="B1" s="19" t="inlineStr">
        <is>
          <t>REPORTE DE DISPONIBILIDAD BANCARIA</t>
        </is>
      </c>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row>
    <row r="2" ht="37.5" customHeight="1" s="311">
      <c r="A2" s="145" t="n"/>
      <c r="B2" s="20" t="inlineStr">
        <is>
          <t>Responde a una pregunta concreta: de todo el dinero que aparece en tus cuentas, ¿cuánto puedes usar HOY y cuánto te queda después de pagar las facturas pendientes? El crédito disponible se muestra aparte porque no es tu dinero.</t>
        </is>
      </c>
      <c r="H2" s="145" t="n"/>
      <c r="I2" s="145" t="n"/>
      <c r="J2" s="145" t="n"/>
      <c r="K2" s="145" t="n"/>
      <c r="L2" s="145" t="n"/>
      <c r="M2" s="145" t="n"/>
      <c r="N2" s="145" t="n"/>
      <c r="O2" s="145" t="n"/>
      <c r="P2" s="145" t="n"/>
      <c r="Q2" s="145" t="n"/>
      <c r="R2" s="145" t="n"/>
      <c r="S2" s="145" t="n"/>
      <c r="T2" s="145" t="n"/>
      <c r="U2" s="145" t="n"/>
      <c r="V2" s="145" t="n"/>
      <c r="W2" s="145" t="n"/>
      <c r="X2" s="145" t="n"/>
      <c r="Y2" s="145" t="n"/>
      <c r="Z2" s="145" t="n"/>
    </row>
    <row r="3" ht="21" customHeight="1" s="311">
      <c r="A3" s="145" t="n"/>
      <c r="B3" s="145" t="n"/>
      <c r="C3" s="145" t="n"/>
      <c r="D3" s="145" t="n"/>
      <c r="E3" s="145" t="n"/>
      <c r="F3" s="145" t="n"/>
      <c r="G3" s="145" t="n"/>
      <c r="H3" s="145" t="n"/>
      <c r="I3" s="145" t="n"/>
      <c r="J3" s="145" t="n"/>
      <c r="K3" s="145" t="n"/>
      <c r="L3" s="145" t="n"/>
      <c r="M3" s="145" t="n"/>
      <c r="N3" s="145" t="n"/>
      <c r="O3" s="20" t="inlineStr">
        <is>
          <t>Reparto entre tu economía y la del hogar de España. Lo he asignado por lógica: cámbialo si no es así. Los tres estados financieros lo usan para separar las columnas.</t>
        </is>
      </c>
      <c r="P3" s="20" t="inlineStr">
        <is>
          <t>MOTOR DEL SALDO: escribe SOLO el saldo de apertura (columna E, en la moneda de la cuenta). Los Depósitos y los Retiros se leen solos del libro de Caja, y el SALDO ACTUAL de la columna G se recalcula con cada cobro o cada pago que registres. En "Saldo real del banco" pega lo que ves en tu banca online: si no coincide, es que falta algún apunte en Caja.</t>
        </is>
      </c>
      <c r="Q3" s="145" t="n"/>
      <c r="R3" s="145" t="n"/>
      <c r="S3" s="145" t="n"/>
      <c r="T3" s="145" t="n"/>
      <c r="U3" s="145" t="n"/>
      <c r="V3" s="145" t="n"/>
      <c r="W3" s="145" t="n"/>
      <c r="X3" s="145" t="n"/>
      <c r="Y3" s="145" t="n"/>
      <c r="Z3" s="145" t="n"/>
    </row>
    <row r="4" ht="21.75" customHeight="1" s="311">
      <c r="A4" s="21" t="inlineStr">
        <is>
          <t>1.  CUENTAS Y SALDOS   —   saldo de apertura + depósitos − retiros</t>
        </is>
      </c>
      <c r="B4" s="22" t="n"/>
      <c r="C4" s="22" t="n"/>
      <c r="D4" s="22" t="n"/>
      <c r="E4" s="22" t="n"/>
      <c r="F4" s="22" t="n"/>
      <c r="G4" s="22" t="n"/>
      <c r="H4" s="22" t="n"/>
      <c r="I4" s="22" t="n"/>
      <c r="J4" s="22" t="n"/>
      <c r="K4" s="22" t="n"/>
      <c r="L4" s="145" t="n"/>
      <c r="M4" s="38" t="inlineStr">
        <is>
          <t>Tipos de cambio</t>
        </is>
      </c>
      <c r="N4" s="39" t="n"/>
      <c r="O4" s="145" t="n"/>
      <c r="P4" s="145" t="n"/>
      <c r="Q4" s="145" t="n"/>
      <c r="R4" s="145" t="n"/>
      <c r="S4" s="145" t="n"/>
      <c r="T4" s="145" t="n"/>
      <c r="U4" s="145" t="n"/>
      <c r="V4" s="145" t="n"/>
      <c r="W4" s="145" t="n"/>
      <c r="X4" s="145" t="n"/>
      <c r="Y4" s="145" t="n"/>
      <c r="Z4" s="145" t="n"/>
    </row>
    <row r="5" ht="39" customHeight="1" s="311">
      <c r="A5" s="33" t="inlineStr">
        <is>
          <t>#</t>
        </is>
      </c>
      <c r="B5" s="33" t="inlineStr">
        <is>
          <t>Banco / Cuenta</t>
        </is>
      </c>
      <c r="C5" s="33" t="inlineStr">
        <is>
          <t>Tipo</t>
        </is>
      </c>
      <c r="D5" s="33" t="inlineStr">
        <is>
          <t>Moneda</t>
        </is>
      </c>
      <c r="E5" s="33" t="inlineStr">
        <is>
          <t>Saldo de APERTURA
(en su moneda)</t>
        </is>
      </c>
      <c r="F5" s="33" t="inlineStr">
        <is>
          <t>T.C.</t>
        </is>
      </c>
      <c r="G5" s="33" t="inlineStr">
        <is>
          <t>SALDO ACTUAL (€)
apertura + dep. − ret.</t>
        </is>
      </c>
      <c r="H5" s="33" t="inlineStr">
        <is>
          <t>¿Disponible
ya?</t>
        </is>
      </c>
      <c r="I5" s="33" t="inlineStr">
        <is>
          <t>Retenido o
bloqueado (€)</t>
        </is>
      </c>
      <c r="J5" s="33" t="inlineStr">
        <is>
          <t>DISPONIBLE
NETO (€)</t>
        </is>
      </c>
      <c r="K5" s="33" t="inlineStr">
        <is>
          <t>Notas</t>
        </is>
      </c>
      <c r="L5" s="145" t="n"/>
      <c r="M5" s="33" t="inlineStr">
        <is>
          <t>Moneda</t>
        </is>
      </c>
      <c r="N5" s="33" t="inlineStr">
        <is>
          <t>a EUR</t>
        </is>
      </c>
      <c r="O5" s="154" t="inlineStr">
        <is>
          <t>Ámbito</t>
        </is>
      </c>
      <c r="P5" s="33" t="inlineStr">
        <is>
          <t>Apertura (€)</t>
        </is>
      </c>
      <c r="Q5" s="33" t="inlineStr">
        <is>
          <t>DEPÓSITOS
(cobros en Caja, €)</t>
        </is>
      </c>
      <c r="R5" s="33" t="inlineStr">
        <is>
          <t>RETIROS
(pagos en Caja, €)</t>
        </is>
      </c>
      <c r="S5" s="33" t="inlineStr">
        <is>
          <t>Saldo real del
banco (€)</t>
        </is>
      </c>
      <c r="T5" s="33" t="inlineStr">
        <is>
          <t>Conciliación</t>
        </is>
      </c>
      <c r="U5" s="145" t="n"/>
      <c r="V5" s="145" t="n"/>
      <c r="W5" s="145" t="n"/>
      <c r="X5" s="145" t="n"/>
      <c r="Y5" s="145" t="n"/>
      <c r="Z5" s="145" t="n"/>
    </row>
    <row r="6" ht="15" customHeight="1" s="311">
      <c r="A6" s="41">
        <f>IF($B6="","",ROW()-5)</f>
        <v/>
      </c>
      <c r="B6" s="146" t="inlineStr">
        <is>
          <t>Efectivo</t>
        </is>
      </c>
      <c r="C6" s="83" t="inlineStr">
        <is>
          <t>Efectivo</t>
        </is>
      </c>
      <c r="D6" s="83" t="inlineStr">
        <is>
          <t>EUR</t>
        </is>
      </c>
      <c r="E6" s="162" t="n">
        <v>0</v>
      </c>
      <c r="F6" s="120">
        <f>IF($D6="","",IFERROR(INDEX($N$6:$N$9,MATCH($D6,$M$6:$M$9,0)),1))</f>
        <v/>
      </c>
      <c r="G6" s="42">
        <f>IF($B6="","",N($P6)+N($Q6)-N($R6))</f>
        <v/>
      </c>
      <c r="H6" s="83" t="inlineStr">
        <is>
          <t>Sí</t>
        </is>
      </c>
      <c r="I6" s="76" t="n">
        <v>0</v>
      </c>
      <c r="J6" s="57">
        <f>IF($B6="","",IF($H6="Sí",MAX(0,$G6-$I6),0))</f>
        <v/>
      </c>
      <c r="K6" s="20" t="n"/>
      <c r="L6" s="145" t="n"/>
      <c r="M6" s="83" t="inlineStr">
        <is>
          <t>EUR</t>
        </is>
      </c>
      <c r="N6" s="156" t="n">
        <v>1</v>
      </c>
      <c r="O6" s="83" t="inlineStr">
        <is>
          <t>Tú</t>
        </is>
      </c>
      <c r="P6" s="157">
        <f>IF($B6="","",N($E6)*N($F6))</f>
        <v/>
      </c>
      <c r="Q6" s="158">
        <f>IF($B6="","",SUMIFS(Caja!$H$6:$H$505,Caja!$F$6:$F$505,$B6,Caja!$C$6:$C$505,"Cobro"))</f>
        <v/>
      </c>
      <c r="R6" s="159">
        <f>IF($B6="","",SUMIFS(Caja!$H$6:$H$505,Caja!$F$6:$F$505,$B6,Caja!$C$6:$C$505,"Pago"))</f>
        <v/>
      </c>
      <c r="S6" s="160" t="n"/>
      <c r="T6" s="161">
        <f>IF($B6="","",IF($S6="","— sin saldo real cargado",IF(ROUND(N($S6)-N($G6),2)=0,"✅ Cuadra","🔴 Descuadre de "&amp;TEXT(N($S6)-N($G6),"#,##0.00")&amp;" €")))</f>
        <v/>
      </c>
      <c r="U6" s="145" t="n"/>
      <c r="V6" s="145" t="n"/>
      <c r="W6" s="145" t="n"/>
      <c r="X6" s="145" t="n"/>
      <c r="Y6" s="145" t="n"/>
      <c r="Z6" s="145" t="n"/>
    </row>
    <row r="7" ht="21.75" customHeight="1" s="311">
      <c r="A7" s="41">
        <f>IF($B7="","",ROW()-5)</f>
        <v/>
      </c>
      <c r="B7" s="146" t="inlineStr">
        <is>
          <t>CaixaBank (corriente 9914)</t>
        </is>
      </c>
      <c r="C7" s="83" t="inlineStr">
        <is>
          <t>Cuenta corriente</t>
        </is>
      </c>
      <c r="D7" s="83" t="inlineStr">
        <is>
          <t>EUR</t>
        </is>
      </c>
      <c r="E7" s="162" t="n">
        <v>0</v>
      </c>
      <c r="F7" s="120">
        <f>IF($D7="","",IFERROR(INDEX($N$6:$N$9,MATCH($D7,$M$6:$M$9,0)),1))</f>
        <v/>
      </c>
      <c r="G7" s="42">
        <f>IF($B7="","",N($P7)+N($Q7)-N($R7))</f>
        <v/>
      </c>
      <c r="H7" s="83" t="inlineStr">
        <is>
          <t>Sí</t>
        </is>
      </c>
      <c r="I7" s="76" t="n">
        <v>0</v>
      </c>
      <c r="J7" s="57">
        <f>IF($B7="","",IF($H7="Sí",MAX(0,$G7-$I7),0))</f>
        <v/>
      </c>
      <c r="K7" s="20" t="inlineStr">
        <is>
          <t>Es la cuenta desde la que se pagan casi todas las facturas y tiene 1,81 €. Actualiza el saldo real antes de fiarte del diagnóstico.</t>
        </is>
      </c>
      <c r="L7" s="145" t="n"/>
      <c r="M7" s="83" t="inlineStr">
        <is>
          <t>USD</t>
        </is>
      </c>
      <c r="N7" s="156" t="n">
        <v>0.92</v>
      </c>
      <c r="O7" s="83" t="inlineStr">
        <is>
          <t>Hogar</t>
        </is>
      </c>
      <c r="P7" s="157">
        <f>IF($B7="","",N($E7)*N($F7))</f>
        <v/>
      </c>
      <c r="Q7" s="158">
        <f>IF($B7="","",SUMIFS(Caja!$H$6:$H$505,Caja!$F$6:$F$505,$B7,Caja!$C$6:$C$505,"Cobro"))</f>
        <v/>
      </c>
      <c r="R7" s="159">
        <f>IF($B7="","",SUMIFS(Caja!$H$6:$H$505,Caja!$F$6:$F$505,$B7,Caja!$C$6:$C$505,"Pago"))</f>
        <v/>
      </c>
      <c r="S7" s="160" t="n"/>
      <c r="T7" s="161">
        <f>IF($B7="","",IF($S7="","— sin saldo real cargado",IF(ROUND(N($S7)-N($G7),2)=0,"✅ Cuadra","🔴 Descuadre de "&amp;TEXT(N($S7)-N($G7),"#,##0.00")&amp;" €")))</f>
        <v/>
      </c>
      <c r="U7" s="145" t="n"/>
      <c r="V7" s="145" t="n"/>
      <c r="W7" s="145" t="n"/>
      <c r="X7" s="145" t="n"/>
      <c r="Y7" s="145" t="n"/>
      <c r="Z7" s="145" t="n"/>
    </row>
    <row r="8" ht="15" customHeight="1" s="311">
      <c r="A8" s="41">
        <f>IF($B8="","",ROW()-5)</f>
        <v/>
      </c>
      <c r="B8" s="146" t="inlineStr">
        <is>
          <t>CaixaBank (ahorro - mi hucha)</t>
        </is>
      </c>
      <c r="C8" s="83" t="inlineStr">
        <is>
          <t>Cuenta de ahorro</t>
        </is>
      </c>
      <c r="D8" s="83" t="inlineStr">
        <is>
          <t>EUR</t>
        </is>
      </c>
      <c r="E8" s="162" t="n">
        <v>0</v>
      </c>
      <c r="F8" s="120">
        <f>IF($D8="","",IFERROR(INDEX($N$6:$N$9,MATCH($D8,$M$6:$M$9,0)),1))</f>
        <v/>
      </c>
      <c r="G8" s="42">
        <f>IF($B8="","",N($P8)+N($Q8)-N($R8))</f>
        <v/>
      </c>
      <c r="H8" s="83" t="inlineStr">
        <is>
          <t>Sí</t>
        </is>
      </c>
      <c r="I8" s="76" t="n">
        <v>0</v>
      </c>
      <c r="J8" s="57">
        <f>IF($B8="","",IF($H8="Sí",MAX(0,$G8-$I8),0))</f>
        <v/>
      </c>
      <c r="K8" s="20" t="n"/>
      <c r="L8" s="145" t="n"/>
      <c r="M8" s="83" t="inlineStr">
        <is>
          <t>DOP</t>
        </is>
      </c>
      <c r="N8" s="156" t="n">
        <v>0.0155</v>
      </c>
      <c r="O8" s="83" t="inlineStr">
        <is>
          <t>Hogar</t>
        </is>
      </c>
      <c r="P8" s="157">
        <f>IF($B8="","",N($E8)*N($F8))</f>
        <v/>
      </c>
      <c r="Q8" s="158">
        <f>IF($B8="","",SUMIFS(Caja!$H$6:$H$505,Caja!$F$6:$F$505,$B8,Caja!$C$6:$C$505,"Cobro"))</f>
        <v/>
      </c>
      <c r="R8" s="159">
        <f>IF($B8="","",SUMIFS(Caja!$H$6:$H$505,Caja!$F$6:$F$505,$B8,Caja!$C$6:$C$505,"Pago"))</f>
        <v/>
      </c>
      <c r="S8" s="160" t="n"/>
      <c r="T8" s="161">
        <f>IF($B8="","",IF($S8="","— sin saldo real cargado",IF(ROUND(N($S8)-N($G8),2)=0,"✅ Cuadra","🔴 Descuadre de "&amp;TEXT(N($S8)-N($G8),"#,##0.00")&amp;" €")))</f>
        <v/>
      </c>
      <c r="U8" s="145" t="n"/>
      <c r="V8" s="145" t="n"/>
      <c r="W8" s="145" t="n"/>
      <c r="X8" s="145" t="n"/>
      <c r="Y8" s="145" t="n"/>
      <c r="Z8" s="145" t="n"/>
    </row>
    <row r="9" ht="33" customHeight="1" s="311">
      <c r="A9" s="41">
        <f>IF($B9="","",ROW()-5)</f>
        <v/>
      </c>
      <c r="B9" s="146" t="inlineStr">
        <is>
          <t>Revolut (corriente)</t>
        </is>
      </c>
      <c r="C9" s="83" t="inlineStr">
        <is>
          <t>Cuenta corriente</t>
        </is>
      </c>
      <c r="D9" s="83" t="inlineStr">
        <is>
          <t>EUR</t>
        </is>
      </c>
      <c r="E9" s="162" t="n">
        <v>23.65</v>
      </c>
      <c r="F9" s="120">
        <f>IF($D9="","",IFERROR(INDEX($N$6:$N$9,MATCH($D9,$M$6:$M$9,0)),1))</f>
        <v/>
      </c>
      <c r="G9" s="42">
        <f>IF($B9="","",N($P9)+N($Q9)-N($R9))</f>
        <v/>
      </c>
      <c r="H9" s="83" t="inlineStr">
        <is>
          <t>Sí</t>
        </is>
      </c>
      <c r="I9" s="76" t="n">
        <v>0</v>
      </c>
      <c r="J9" s="57">
        <f>IF($B9="","",IF($H9="Sí",MAX(0,$G9-$I9),0))</f>
        <v/>
      </c>
      <c r="K9" s="20" t="inlineStr">
        <is>
          <t>⚠️ Sale en negativo: el saldo de apertura (0,56 €) es el de HOY, pero en Caja hay movimientos del 01-02/08 que ya estaban descontados. Pon como apertura el saldo que tenías ANTES de esos apuntes y cuadrará.</t>
        </is>
      </c>
      <c r="L9" s="145" t="n"/>
      <c r="M9" s="83" t="inlineStr">
        <is>
          <t>GBP</t>
        </is>
      </c>
      <c r="N9" s="156" t="n">
        <v>1.17</v>
      </c>
      <c r="O9" s="83" t="inlineStr">
        <is>
          <t>Tú</t>
        </is>
      </c>
      <c r="P9" s="157">
        <f>IF($B9="","",N($E9)*N($F9))</f>
        <v/>
      </c>
      <c r="Q9" s="158">
        <f>IF($B9="","",SUMIFS(Caja!$H$6:$H$505,Caja!$F$6:$F$505,$B9,Caja!$C$6:$C$505,"Cobro"))</f>
        <v/>
      </c>
      <c r="R9" s="159">
        <f>IF($B9="","",SUMIFS(Caja!$H$6:$H$505,Caja!$F$6:$F$505,$B9,Caja!$C$6:$C$505,"Pago"))</f>
        <v/>
      </c>
      <c r="S9" s="160" t="n"/>
      <c r="T9" s="161">
        <f>IF($B9="","",IF($S9="","— sin saldo real cargado",IF(ROUND(N($S9)-N($G9),2)=0,"✅ Cuadra","🔴 Descuadre de "&amp;TEXT(N($S9)-N($G9),"#,##0.00")&amp;" €")))</f>
        <v/>
      </c>
      <c r="U9" s="145" t="n"/>
      <c r="V9" s="145" t="n"/>
      <c r="W9" s="145" t="n"/>
      <c r="X9" s="145" t="n"/>
      <c r="Y9" s="145" t="n"/>
      <c r="Z9" s="145" t="n"/>
    </row>
    <row r="10" ht="15" customHeight="1" s="311">
      <c r="A10" s="41">
        <f>IF($B10="","",ROW()-5)</f>
        <v/>
      </c>
      <c r="B10" s="146" t="inlineStr">
        <is>
          <t>Bank of Ireland (nómina)</t>
        </is>
      </c>
      <c r="C10" s="83" t="inlineStr">
        <is>
          <t>Cuenta corriente</t>
        </is>
      </c>
      <c r="D10" s="83" t="inlineStr">
        <is>
          <t>EUR</t>
        </is>
      </c>
      <c r="E10" s="162" t="n">
        <v>0</v>
      </c>
      <c r="F10" s="120">
        <f>IF($D10="","",IFERROR(INDEX($N$6:$N$9,MATCH($D10,$M$6:$M$9,0)),1))</f>
        <v/>
      </c>
      <c r="G10" s="42">
        <f>IF($B10="","",N($P10)+N($Q10)-N($R10))</f>
        <v/>
      </c>
      <c r="H10" s="83" t="inlineStr">
        <is>
          <t>Sí</t>
        </is>
      </c>
      <c r="I10" s="76" t="n">
        <v>0</v>
      </c>
      <c r="J10" s="57">
        <f>IF($B10="","",IF($H10="Sí",MAX(0,$G10-$I10),0))</f>
        <v/>
      </c>
      <c r="K10" s="20" t="n"/>
      <c r="L10" s="145" t="n"/>
      <c r="M10" s="145" t="n"/>
      <c r="N10" s="145" t="n"/>
      <c r="O10" s="83" t="inlineStr">
        <is>
          <t>Tú</t>
        </is>
      </c>
      <c r="P10" s="157">
        <f>IF($B10="","",N($E10)*N($F10))</f>
        <v/>
      </c>
      <c r="Q10" s="158">
        <f>IF($B10="","",SUMIFS(Caja!$H$6:$H$505,Caja!$F$6:$F$505,$B10,Caja!$C$6:$C$505,"Cobro"))</f>
        <v/>
      </c>
      <c r="R10" s="159">
        <f>IF($B10="","",SUMIFS(Caja!$H$6:$H$505,Caja!$F$6:$F$505,$B10,Caja!$C$6:$C$505,"Pago"))</f>
        <v/>
      </c>
      <c r="S10" s="160" t="n"/>
      <c r="T10" s="161">
        <f>IF($B10="","",IF($S10="","— sin saldo real cargado",IF(ROUND(N($S10)-N($G10),2)=0,"✅ Cuadra","🔴 Descuadre de "&amp;TEXT(N($S10)-N($G10),"#,##0.00")&amp;" €")))</f>
        <v/>
      </c>
      <c r="U10" s="145" t="n"/>
      <c r="V10" s="145" t="n"/>
      <c r="W10" s="145" t="n"/>
      <c r="X10" s="145" t="n"/>
      <c r="Y10" s="145" t="n"/>
      <c r="Z10" s="145" t="n"/>
    </row>
    <row r="11" ht="15" customHeight="1" s="311">
      <c r="A11" s="41">
        <f>IF($B11="","",ROW()-5)</f>
        <v/>
      </c>
      <c r="B11" s="146" t="inlineStr">
        <is>
          <t>Banco Bilbao Vizcaya (BBVA)</t>
        </is>
      </c>
      <c r="C11" s="83" t="inlineStr">
        <is>
          <t>Cuenta corriente</t>
        </is>
      </c>
      <c r="D11" s="83" t="inlineStr">
        <is>
          <t>EUR</t>
        </is>
      </c>
      <c r="E11" s="162" t="n">
        <v>0</v>
      </c>
      <c r="F11" s="120">
        <f>IF($D11="","",IFERROR(INDEX($N$6:$N$9,MATCH($D11,$M$6:$M$9,0)),1))</f>
        <v/>
      </c>
      <c r="G11" s="42">
        <f>IF($B11="","",N($P11)+N($Q11)-N($R11))</f>
        <v/>
      </c>
      <c r="H11" s="83" t="inlineStr">
        <is>
          <t>Sí</t>
        </is>
      </c>
      <c r="I11" s="76" t="n">
        <v>0</v>
      </c>
      <c r="J11" s="57">
        <f>IF($B11="","",IF($H11="Sí",MAX(0,$G11-$I11),0))</f>
        <v/>
      </c>
      <c r="K11" s="20" t="n"/>
      <c r="L11" s="145" t="n"/>
      <c r="M11" s="145" t="n"/>
      <c r="N11" s="145" t="n"/>
      <c r="O11" s="83" t="inlineStr">
        <is>
          <t>Hogar</t>
        </is>
      </c>
      <c r="P11" s="157">
        <f>IF($B11="","",N($E11)*N($F11))</f>
        <v/>
      </c>
      <c r="Q11" s="158">
        <f>IF($B11="","",SUMIFS(Caja!$H$6:$H$505,Caja!$F$6:$F$505,$B11,Caja!$C$6:$C$505,"Cobro"))</f>
        <v/>
      </c>
      <c r="R11" s="159">
        <f>IF($B11="","",SUMIFS(Caja!$H$6:$H$505,Caja!$F$6:$F$505,$B11,Caja!$C$6:$C$505,"Pago"))</f>
        <v/>
      </c>
      <c r="S11" s="160" t="n"/>
      <c r="T11" s="161">
        <f>IF($B11="","",IF($S11="","— sin saldo real cargado",IF(ROUND(N($S11)-N($G11),2)=0,"✅ Cuadra","🔴 Descuadre de "&amp;TEXT(N($S11)-N($G11),"#,##0.00")&amp;" €")))</f>
        <v/>
      </c>
      <c r="U11" s="145" t="n"/>
      <c r="V11" s="145" t="n"/>
      <c r="W11" s="145" t="n"/>
      <c r="X11" s="145" t="n"/>
      <c r="Y11" s="145" t="n"/>
      <c r="Z11" s="145" t="n"/>
    </row>
    <row r="12" ht="15" customHeight="1" s="311">
      <c r="A12" s="41">
        <f>IF($B12="","",ROW()-5)</f>
        <v/>
      </c>
      <c r="B12" s="146" t="inlineStr">
        <is>
          <t>Openbank</t>
        </is>
      </c>
      <c r="C12" s="83" t="inlineStr">
        <is>
          <t>Cuenta corriente</t>
        </is>
      </c>
      <c r="D12" s="83" t="inlineStr">
        <is>
          <t>EUR</t>
        </is>
      </c>
      <c r="E12" s="162" t="n">
        <v>0.68</v>
      </c>
      <c r="F12" s="120">
        <f>IF($D12="","",IFERROR(INDEX($N$6:$N$9,MATCH($D12,$M$6:$M$9,0)),1))</f>
        <v/>
      </c>
      <c r="G12" s="42">
        <f>IF($B12="","",N($P12)+N($Q12)-N($R12))</f>
        <v/>
      </c>
      <c r="H12" s="83" t="inlineStr">
        <is>
          <t>Sí</t>
        </is>
      </c>
      <c r="I12" s="76" t="n">
        <v>0</v>
      </c>
      <c r="J12" s="57">
        <f>IF($B12="","",IF($H12="Sí",MAX(0,$G12-$I12),0))</f>
        <v/>
      </c>
      <c r="K12" s="20" t="n"/>
      <c r="L12" s="145" t="n"/>
      <c r="M12" s="145" t="n"/>
      <c r="N12" s="145" t="n"/>
      <c r="O12" s="83" t="inlineStr">
        <is>
          <t>Tú</t>
        </is>
      </c>
      <c r="P12" s="157">
        <f>IF($B12="","",N($E12)*N($F12))</f>
        <v/>
      </c>
      <c r="Q12" s="158">
        <f>IF($B12="","",SUMIFS(Caja!$H$6:$H$505,Caja!$F$6:$F$505,$B12,Caja!$C$6:$C$505,"Cobro"))</f>
        <v/>
      </c>
      <c r="R12" s="159">
        <f>IF($B12="","",SUMIFS(Caja!$H$6:$H$505,Caja!$F$6:$F$505,$B12,Caja!$C$6:$C$505,"Pago"))</f>
        <v/>
      </c>
      <c r="S12" s="160" t="n"/>
      <c r="T12" s="161">
        <f>IF($B12="","",IF($S12="","— sin saldo real cargado",IF(ROUND(N($S12)-N($G12),2)=0,"✅ Cuadra","🔴 Descuadre de "&amp;TEXT(N($S12)-N($G12),"#,##0.00")&amp;" €")))</f>
        <v/>
      </c>
      <c r="U12" s="145" t="n"/>
      <c r="V12" s="145" t="n"/>
      <c r="W12" s="145" t="n"/>
      <c r="X12" s="145" t="n"/>
      <c r="Y12" s="145" t="n"/>
      <c r="Z12" s="145" t="n"/>
    </row>
    <row r="13" ht="15" customHeight="1" s="311">
      <c r="A13" s="41">
        <f>IF($B13="","",ROW()-5)</f>
        <v/>
      </c>
      <c r="B13" s="146" t="inlineStr">
        <is>
          <t>Trading 212 Card</t>
        </is>
      </c>
      <c r="C13" s="83" t="inlineStr">
        <is>
          <t>Cuenta corriente</t>
        </is>
      </c>
      <c r="D13" s="83" t="inlineStr">
        <is>
          <t>EUR</t>
        </is>
      </c>
      <c r="E13" s="162" t="n">
        <v>1.89</v>
      </c>
      <c r="F13" s="120">
        <f>IF($D13="","",IFERROR(INDEX($N$6:$N$9,MATCH($D13,$M$6:$M$9,0)),1))</f>
        <v/>
      </c>
      <c r="G13" s="42">
        <f>IF($B13="","",N($P13)+N($Q13)-N($R13))</f>
        <v/>
      </c>
      <c r="H13" s="83" t="inlineStr">
        <is>
          <t>Sí</t>
        </is>
      </c>
      <c r="I13" s="76" t="n">
        <v>0</v>
      </c>
      <c r="J13" s="57">
        <f>IF($B13="","",IF($H13="Sí",MAX(0,$G13-$I13),0))</f>
        <v/>
      </c>
      <c r="K13" s="20" t="n"/>
      <c r="L13" s="145" t="n"/>
      <c r="M13" s="145" t="n"/>
      <c r="N13" s="145" t="n"/>
      <c r="O13" s="83" t="inlineStr">
        <is>
          <t>Tú</t>
        </is>
      </c>
      <c r="P13" s="157">
        <f>IF($B13="","",N($E13)*N($F13))</f>
        <v/>
      </c>
      <c r="Q13" s="158">
        <f>IF($B13="","",SUMIFS(Caja!$H$6:$H$505,Caja!$F$6:$F$505,$B13,Caja!$C$6:$C$505,"Cobro"))</f>
        <v/>
      </c>
      <c r="R13" s="159">
        <f>IF($B13="","",SUMIFS(Caja!$H$6:$H$505,Caja!$F$6:$F$505,$B13,Caja!$C$6:$C$505,"Pago"))</f>
        <v/>
      </c>
      <c r="S13" s="160" t="n"/>
      <c r="T13" s="161">
        <f>IF($B13="","",IF($S13="","— sin saldo real cargado",IF(ROUND(N($S13)-N($G13),2)=0,"✅ Cuadra","🔴 Descuadre de "&amp;TEXT(N($S13)-N($G13),"#,##0.00")&amp;" €")))</f>
        <v/>
      </c>
      <c r="U13" s="145" t="n"/>
      <c r="V13" s="145" t="n"/>
      <c r="W13" s="145" t="n"/>
      <c r="X13" s="145" t="n"/>
      <c r="Y13" s="145" t="n"/>
      <c r="Z13" s="145" t="n"/>
    </row>
    <row r="14" ht="15" customHeight="1" s="311">
      <c r="A14" s="41">
        <f>IF($B14="","",ROW()-5)</f>
        <v/>
      </c>
      <c r="B14" s="146" t="inlineStr">
        <is>
          <t>BOI Super Saver 3,0%</t>
        </is>
      </c>
      <c r="C14" s="83" t="inlineStr">
        <is>
          <t>Cuenta de ahorro</t>
        </is>
      </c>
      <c r="D14" s="83" t="inlineStr">
        <is>
          <t>EUR</t>
        </is>
      </c>
      <c r="E14" s="162" t="n">
        <v>0</v>
      </c>
      <c r="F14" s="120">
        <f>IF($D14="","",IFERROR(INDEX($N$6:$N$9,MATCH($D14,$M$6:$M$9,0)),1))</f>
        <v/>
      </c>
      <c r="G14" s="42">
        <f>IF($B14="","",N($P14)+N($Q14)-N($R14))</f>
        <v/>
      </c>
      <c r="H14" s="83" t="inlineStr">
        <is>
          <t>Sí</t>
        </is>
      </c>
      <c r="I14" s="76" t="n">
        <v>0</v>
      </c>
      <c r="J14" s="57">
        <f>IF($B14="","",IF($H14="Sí",MAX(0,$G14-$I14),0))</f>
        <v/>
      </c>
      <c r="K14" s="20" t="n"/>
      <c r="L14" s="145" t="n"/>
      <c r="M14" s="145" t="n"/>
      <c r="N14" s="145" t="n"/>
      <c r="O14" s="83" t="inlineStr">
        <is>
          <t>Tú</t>
        </is>
      </c>
      <c r="P14" s="157">
        <f>IF($B14="","",N($E14)*N($F14))</f>
        <v/>
      </c>
      <c r="Q14" s="158">
        <f>IF($B14="","",SUMIFS(Caja!$H$6:$H$505,Caja!$F$6:$F$505,$B14,Caja!$C$6:$C$505,"Cobro"))</f>
        <v/>
      </c>
      <c r="R14" s="159">
        <f>IF($B14="","",SUMIFS(Caja!$H$6:$H$505,Caja!$F$6:$F$505,$B14,Caja!$C$6:$C$505,"Pago"))</f>
        <v/>
      </c>
      <c r="S14" s="160" t="n"/>
      <c r="T14" s="161">
        <f>IF($B14="","",IF($S14="","— sin saldo real cargado",IF(ROUND(N($S14)-N($G14),2)=0,"✅ Cuadra","🔴 Descuadre de "&amp;TEXT(N($S14)-N($G14),"#,##0.00")&amp;" €")))</f>
        <v/>
      </c>
      <c r="U14" s="145" t="n"/>
      <c r="V14" s="145" t="n"/>
      <c r="W14" s="145" t="n"/>
      <c r="X14" s="145" t="n"/>
      <c r="Y14" s="145" t="n"/>
      <c r="Z14" s="145" t="n"/>
    </row>
    <row r="15" ht="33.75" customHeight="1" s="311">
      <c r="A15" s="41">
        <f>IF($B15="","",ROW()-5)</f>
        <v/>
      </c>
      <c r="B15" s="146" t="inlineStr">
        <is>
          <t>Banreservas (cta. Iris L. García)</t>
        </is>
      </c>
      <c r="C15" s="83" t="inlineStr">
        <is>
          <t>Cuenta en divisa</t>
        </is>
      </c>
      <c r="D15" s="83" t="inlineStr">
        <is>
          <t>EUR</t>
        </is>
      </c>
      <c r="E15" s="162" t="n">
        <v>0</v>
      </c>
      <c r="F15" s="120">
        <f>IF($D15="","",IFERROR(INDEX($N$6:$N$9,MATCH($D15,$M$6:$M$9,0)),1))</f>
        <v/>
      </c>
      <c r="G15" s="42">
        <f>IF($B15="","",N($P15)+N($Q15)-N($R15))</f>
        <v/>
      </c>
      <c r="H15" s="83" t="inlineStr">
        <is>
          <t>Sí</t>
        </is>
      </c>
      <c r="I15" s="76" t="n">
        <v>0</v>
      </c>
      <c r="J15" s="57">
        <f>IF($B15="","",IF($H15="Sí",MAX(0,$G15-$I15),0))</f>
        <v/>
      </c>
      <c r="K15" s="20" t="inlineStr">
        <is>
          <t>⚠️ Banreservas opera en pesos dominicanos. Si esos 699,24 son DOP, cambia la moneda a DOP y el disponible caerá a unos 10,84 €.</t>
        </is>
      </c>
      <c r="O15" s="83" t="inlineStr">
        <is>
          <t>Hogar</t>
        </is>
      </c>
      <c r="P15" s="157">
        <f>IF($B15="","",N($E15)*N($F15))</f>
        <v/>
      </c>
      <c r="Q15" s="158">
        <f>IF($B15="","",SUMIFS(Caja!$H$6:$H$505,Caja!$F$6:$F$505,$B15,Caja!$C$6:$C$505,"Cobro"))</f>
        <v/>
      </c>
      <c r="R15" s="159">
        <f>IF($B15="","",SUMIFS(Caja!$H$6:$H$505,Caja!$F$6:$F$505,$B15,Caja!$C$6:$C$505,"Pago"))</f>
        <v/>
      </c>
      <c r="S15" s="160" t="n"/>
      <c r="T15" s="161">
        <f>IF($B15="","",IF($S15="","— sin saldo real cargado",IF(ROUND(N($S15)-N($G15),2)=0,"✅ Cuadra","🔴 Descuadre de "&amp;TEXT(N($S15)-N($G15),"#,##0.00")&amp;" €")))</f>
        <v/>
      </c>
      <c r="U15" s="145" t="n"/>
      <c r="V15" s="145" t="n"/>
      <c r="W15" s="145" t="n"/>
      <c r="X15" s="145" t="n"/>
      <c r="Y15" s="145" t="n"/>
      <c r="Z15" s="145" t="n"/>
    </row>
    <row r="16" ht="15" customHeight="1" s="311">
      <c r="A16" s="41">
        <f>IF($B16="","",ROW()-5)</f>
        <v/>
      </c>
      <c r="B16" s="146" t="inlineStr">
        <is>
          <t>Lead Bank (MERU)</t>
        </is>
      </c>
      <c r="C16" s="83" t="inlineStr">
        <is>
          <t>Cuenta en divisa</t>
        </is>
      </c>
      <c r="D16" s="83" t="inlineStr">
        <is>
          <t>USD</t>
        </is>
      </c>
      <c r="E16" s="162" t="n">
        <v>0</v>
      </c>
      <c r="F16" s="120">
        <f>IF($D16="","",IFERROR(INDEX($N$6:$N$9,MATCH($D16,$M$6:$M$9,0)),1))</f>
        <v/>
      </c>
      <c r="G16" s="42">
        <f>IF($B16="","",N($P16)+N($Q16)-N($R16))</f>
        <v/>
      </c>
      <c r="H16" s="83" t="inlineStr">
        <is>
          <t>Sí</t>
        </is>
      </c>
      <c r="I16" s="76" t="n">
        <v>0</v>
      </c>
      <c r="J16" s="57">
        <f>IF($B16="","",IF($H16="Sí",MAX(0,$G16-$I16),0))</f>
        <v/>
      </c>
      <c r="K16" s="20" t="inlineStr">
        <is>
          <t>Cuenta en dólares: se convierte con la tabla de la derecha.</t>
        </is>
      </c>
      <c r="O16" s="83" t="inlineStr">
        <is>
          <t>Tú</t>
        </is>
      </c>
      <c r="P16" s="157">
        <f>IF($B16="","",N($E16)*N($F16))</f>
        <v/>
      </c>
      <c r="Q16" s="158">
        <f>IF($B16="","",SUMIFS(Caja!$H$6:$H$505,Caja!$F$6:$F$505,$B16,Caja!$C$6:$C$505,"Cobro"))</f>
        <v/>
      </c>
      <c r="R16" s="159">
        <f>IF($B16="","",SUMIFS(Caja!$H$6:$H$505,Caja!$F$6:$F$505,$B16,Caja!$C$6:$C$505,"Pago"))</f>
        <v/>
      </c>
      <c r="S16" s="160" t="n"/>
      <c r="T16" s="161">
        <f>IF($B16="","",IF($S16="","— sin saldo real cargado",IF(ROUND(N($S16)-N($G16),2)=0,"✅ Cuadra","🔴 Descuadre de "&amp;TEXT(N($S16)-N($G16),"#,##0.00")&amp;" €")))</f>
        <v/>
      </c>
      <c r="U16" s="145" t="n"/>
      <c r="V16" s="145" t="n"/>
      <c r="W16" s="145" t="n"/>
      <c r="X16" s="145" t="n"/>
      <c r="Y16" s="145" t="n"/>
      <c r="Z16" s="145" t="n"/>
    </row>
    <row r="17" ht="45.75" customHeight="1" s="311">
      <c r="A17" s="41">
        <f>IF($B17="","",ROW()-5)</f>
        <v/>
      </c>
      <c r="B17" s="146" t="inlineStr">
        <is>
          <t>ABANCA (proyecto hipoteca)</t>
        </is>
      </c>
      <c r="C17" s="83" t="inlineStr">
        <is>
          <t>Comprometido</t>
        </is>
      </c>
      <c r="D17" s="83" t="inlineStr">
        <is>
          <t>EUR</t>
        </is>
      </c>
      <c r="E17" s="162" t="n">
        <v>548.55</v>
      </c>
      <c r="F17" s="120">
        <f>IF($D17="","",IFERROR(INDEX($N$6:$N$9,MATCH($D17,$M$6:$M$9,0)),1))</f>
        <v/>
      </c>
      <c r="G17" s="42">
        <f>IF($B17="","",N($P17)+N($Q17)-N($R17))</f>
        <v/>
      </c>
      <c r="H17" s="83" t="inlineStr">
        <is>
          <t>Sí</t>
        </is>
      </c>
      <c r="I17" s="76" t="n">
        <v>0</v>
      </c>
      <c r="J17" s="57">
        <f>IF($B17="","",IF($H17="Sí",MAX(0,$G17-$I17),0))</f>
        <v/>
      </c>
      <c r="K17" s="20" t="inlineStr">
        <is>
          <t>Marcada como NO disponible: está reservada para la entrada de la vivienda. OJO: el saldo de apertura era 548,55 € y en Caja hay 548,55 € de pagos, por eso ahora sale 0. Si esos pagos ya estaban descontados del saldo que me diste, sube el saldo de apertura para no restarlos dos veces.</t>
        </is>
      </c>
      <c r="O17" s="83" t="inlineStr">
        <is>
          <t>Tú</t>
        </is>
      </c>
      <c r="P17" s="157">
        <f>IF($B17="","",N($E17)*N($F17))</f>
        <v/>
      </c>
      <c r="Q17" s="158">
        <f>IF($B17="","",SUMIFS(Caja!$H$6:$H$505,Caja!$F$6:$F$505,$B17,Caja!$C$6:$C$505,"Cobro"))</f>
        <v/>
      </c>
      <c r="R17" s="159">
        <f>IF($B17="","",SUMIFS(Caja!$H$6:$H$505,Caja!$F$6:$F$505,$B17,Caja!$C$6:$C$505,"Pago"))</f>
        <v/>
      </c>
      <c r="S17" s="160" t="n"/>
      <c r="T17" s="161">
        <f>IF($B17="","",IF($S17="","— sin saldo real cargado",IF(ROUND(N($S17)-N($G17),2)=0,"✅ Cuadra","🔴 Descuadre de "&amp;TEXT(N($S17)-N($G17),"#,##0.00")&amp;" €")))</f>
        <v/>
      </c>
      <c r="U17" s="145" t="n"/>
      <c r="V17" s="145" t="n"/>
      <c r="W17" s="145" t="n"/>
      <c r="X17" s="145" t="n"/>
      <c r="Y17" s="145" t="n"/>
      <c r="Z17" s="145" t="n"/>
    </row>
    <row r="18" ht="15" customHeight="1" s="311">
      <c r="A18" s="41">
        <f>IF($B18="","",ROW()-5)</f>
        <v/>
      </c>
      <c r="B18" s="146" t="n"/>
      <c r="C18" s="83" t="n"/>
      <c r="D18" s="83" t="n"/>
      <c r="E18" s="162" t="n"/>
      <c r="F18" s="120">
        <f>IF($D18="","",IFERROR(INDEX($N$6:$N$9,MATCH($D18,$M$6:$M$9,0)),1))</f>
        <v/>
      </c>
      <c r="G18" s="42">
        <f>IF($B18="","",N($P18)+N($Q18)-N($R18))</f>
        <v/>
      </c>
      <c r="H18" s="83" t="n"/>
      <c r="I18" s="76" t="n"/>
      <c r="J18" s="57">
        <f>IF($B18="","",IF($H18="Sí",MAX(0,$G18-$I18),0))</f>
        <v/>
      </c>
      <c r="K18" s="20" t="n"/>
      <c r="L18" s="145" t="n"/>
      <c r="M18" s="145" t="n"/>
      <c r="N18" s="145" t="n"/>
      <c r="O18" s="83" t="n"/>
      <c r="P18" s="157">
        <f>IF($B18="","",N($E18)*N($F18))</f>
        <v/>
      </c>
      <c r="Q18" s="158">
        <f>IF($B18="","",SUMIFS(Caja!$H$6:$H$505,Caja!$F$6:$F$505,$B18,Caja!$C$6:$C$505,"Cobro"))</f>
        <v/>
      </c>
      <c r="R18" s="159">
        <f>IF($B18="","",SUMIFS(Caja!$H$6:$H$505,Caja!$F$6:$F$505,$B18,Caja!$C$6:$C$505,"Pago"))</f>
        <v/>
      </c>
      <c r="S18" s="160" t="n"/>
      <c r="T18" s="161">
        <f>IF($B18="","",IF($S18="","— sin saldo real cargado",IF(ROUND(N($S18)-N($G18),2)=0,"✅ Cuadra","🔴 Descuadre de "&amp;TEXT(N($S18)-N($G18),"#,##0.00")&amp;" €")))</f>
        <v/>
      </c>
      <c r="U18" s="145" t="n"/>
      <c r="V18" s="145" t="n"/>
      <c r="W18" s="145" t="n"/>
      <c r="X18" s="145" t="n"/>
      <c r="Y18" s="145" t="n"/>
      <c r="Z18" s="145" t="n"/>
    </row>
    <row r="19" ht="15" customHeight="1" s="311">
      <c r="A19" s="39" t="n"/>
      <c r="B19" s="38" t="inlineStr">
        <is>
          <t>TOTAL</t>
        </is>
      </c>
      <c r="C19" s="39" t="n"/>
      <c r="D19" s="39" t="n"/>
      <c r="E19" s="39" t="n"/>
      <c r="F19" s="39" t="n"/>
      <c r="G19" s="86">
        <f>SUM($G$6:$G$18)</f>
        <v/>
      </c>
      <c r="H19" s="39" t="n"/>
      <c r="I19" s="86">
        <f>SUM($I$6:$I$18)</f>
        <v/>
      </c>
      <c r="J19" s="86">
        <f>SUM($J$6:$J$18)</f>
        <v/>
      </c>
      <c r="K19" s="145" t="n"/>
      <c r="L19" s="145" t="n"/>
      <c r="M19" s="145" t="n"/>
      <c r="N19" s="145" t="n"/>
      <c r="O19" s="145" t="n"/>
      <c r="P19" s="166">
        <f>SUM(P$6:P$18)</f>
        <v/>
      </c>
      <c r="Q19" s="166">
        <f>SUM(Q$6:Q$18)</f>
        <v/>
      </c>
      <c r="R19" s="166">
        <f>SUM(R$6:R$18)</f>
        <v/>
      </c>
      <c r="S19" s="86">
        <f>IF(COUNT($S$6:$S$18)=0,"",SUM($S$6:$S$18))</f>
        <v/>
      </c>
      <c r="T19" s="87">
        <f>IF(COUNT($S$6:$S$18)=0,"Pega los saldos reales del banco para conciliar",IF(ROUND(SUMPRODUCT(($S$6:$S$18&lt;&gt;"")*(N($S$6:$S$18)-N($G$6:$G$18))),2)=0,"✅ La caja cuadra con el banco","🔴 Hay "&amp;TEXT(ABS(SUMPRODUCT(($S$6:$S$18&lt;&gt;"")*(N($S$6:$S$18)-N($G$6:$G$18)))),"#,##0.00")&amp;" € sin explicar"))</f>
        <v/>
      </c>
      <c r="U19" s="145" t="n"/>
      <c r="V19" s="145" t="n"/>
      <c r="W19" s="145" t="n"/>
      <c r="X19" s="145" t="n"/>
      <c r="Y19" s="145" t="n"/>
      <c r="Z19" s="145" t="n"/>
    </row>
    <row r="20">
      <c r="A20" s="145" t="n"/>
      <c r="B20" s="145" t="n"/>
      <c r="C20" s="145" t="n"/>
      <c r="D20" s="145" t="n"/>
      <c r="E20" s="145" t="n"/>
      <c r="F20" s="145" t="n"/>
      <c r="G20" s="145" t="n"/>
      <c r="H20" s="145" t="n"/>
      <c r="I20" s="145" t="n"/>
      <c r="J20" s="145" t="n"/>
      <c r="K20" s="145" t="n"/>
      <c r="L20" s="145" t="n"/>
      <c r="M20" s="145" t="n"/>
      <c r="N20" s="145" t="n"/>
      <c r="O20" s="145" t="n"/>
      <c r="P20" s="145" t="n"/>
      <c r="Q20" s="145" t="n"/>
      <c r="R20" s="145" t="n"/>
      <c r="S20" s="145" t="n"/>
      <c r="T20" s="145" t="n"/>
      <c r="U20" s="145" t="n"/>
      <c r="V20" s="145" t="n"/>
      <c r="W20" s="145" t="n"/>
      <c r="X20" s="145" t="n"/>
      <c r="Y20" s="145" t="n"/>
      <c r="Z20" s="145" t="n"/>
    </row>
    <row r="21" ht="21.75" customHeight="1" s="311">
      <c r="A21" s="21" t="inlineStr">
        <is>
          <t>2.  LÍNEAS DE CRÉDITO  —  esto NO es tu dinero</t>
        </is>
      </c>
      <c r="B21" s="22" t="n"/>
      <c r="C21" s="22" t="n"/>
      <c r="D21" s="22" t="n"/>
      <c r="E21" s="22" t="n"/>
      <c r="F21" s="22" t="n"/>
      <c r="G21" s="22" t="n"/>
      <c r="H21" s="22" t="n"/>
      <c r="I21" s="22" t="n"/>
      <c r="J21" s="22" t="n"/>
      <c r="K21" s="22" t="n"/>
      <c r="L21" s="145" t="n"/>
      <c r="M21" s="145" t="n"/>
      <c r="N21" s="145" t="n"/>
      <c r="O21" s="145" t="n"/>
      <c r="P21" s="145" t="n"/>
      <c r="Q21" s="145" t="n"/>
      <c r="R21" s="145" t="n"/>
      <c r="S21" s="145" t="n"/>
      <c r="T21" s="145" t="n"/>
      <c r="U21" s="145" t="n"/>
      <c r="V21" s="145" t="n"/>
      <c r="W21" s="145" t="n"/>
      <c r="X21" s="145" t="n"/>
      <c r="Y21" s="145" t="n"/>
      <c r="Z21" s="145" t="n"/>
    </row>
    <row r="22" ht="25.5" customHeight="1" s="311">
      <c r="A22" s="33" t="inlineStr">
        <is>
          <t>#</t>
        </is>
      </c>
      <c r="B22" s="33" t="inlineStr">
        <is>
          <t>Entidad</t>
        </is>
      </c>
      <c r="C22" s="33" t="inlineStr">
        <is>
          <t>Tipo</t>
        </is>
      </c>
      <c r="D22" s="33" t="n"/>
      <c r="E22" s="33" t="inlineStr">
        <is>
          <t>Límite (€)</t>
        </is>
      </c>
      <c r="F22" s="33" t="n"/>
      <c r="G22" s="33" t="inlineStr">
        <is>
          <t>Dispuesto (€)</t>
        </is>
      </c>
      <c r="H22" s="33" t="n"/>
      <c r="I22" s="33" t="inlineStr">
        <is>
          <t>Disponible (€)</t>
        </is>
      </c>
      <c r="J22" s="33" t="inlineStr">
        <is>
          <t>Utilización</t>
        </is>
      </c>
      <c r="K22" s="33" t="inlineStr">
        <is>
          <t>Notas</t>
        </is>
      </c>
      <c r="L22" s="145" t="n"/>
      <c r="M22" s="145" t="n"/>
      <c r="N22" s="145" t="n"/>
      <c r="O22" s="154" t="inlineStr">
        <is>
          <t>Ámbito</t>
        </is>
      </c>
      <c r="P22" s="145" t="n"/>
      <c r="Q22" s="145" t="n"/>
      <c r="R22" s="145" t="n"/>
      <c r="S22" s="145" t="n"/>
      <c r="T22" s="145" t="n"/>
      <c r="U22" s="145" t="n"/>
      <c r="V22" s="145" t="n"/>
      <c r="W22" s="145" t="n"/>
      <c r="X22" s="145" t="n"/>
      <c r="Y22" s="145" t="n"/>
      <c r="Z22" s="145" t="n"/>
    </row>
    <row r="23" ht="15.75" customHeight="1" s="311">
      <c r="A23" s="41">
        <f>IF($B23="","",ROW()-21)</f>
        <v/>
      </c>
      <c r="B23" s="146" t="inlineStr">
        <is>
          <t>Bank of Ireland Mastercard</t>
        </is>
      </c>
      <c r="C23" s="83" t="inlineStr">
        <is>
          <t>Tarjeta de crédito</t>
        </is>
      </c>
      <c r="D23" s="145" t="n"/>
      <c r="E23" s="76" t="n">
        <v>5000</v>
      </c>
      <c r="F23" s="145" t="n"/>
      <c r="G23" s="76" t="n">
        <v>5000</v>
      </c>
      <c r="H23" s="145" t="n"/>
      <c r="I23" s="57">
        <f>IF($B23="","",MAX(0,$E23-$G23))</f>
        <v/>
      </c>
      <c r="J23" s="65">
        <f>IF(OR($B23="",$E23=0),"",$G23/$E23)</f>
        <v/>
      </c>
      <c r="K23" s="20" t="inlineStr">
        <is>
          <t>Saldo tomado de tu libro de finanzas personales. Al 22,8% anual.</t>
        </is>
      </c>
      <c r="O23" s="83" t="inlineStr">
        <is>
          <t>Tú</t>
        </is>
      </c>
      <c r="P23" s="145" t="n"/>
      <c r="Q23" s="145" t="n"/>
      <c r="R23" s="145" t="n"/>
      <c r="S23" s="145" t="n"/>
      <c r="T23" s="145" t="n"/>
      <c r="U23" s="145" t="n"/>
      <c r="V23" s="145" t="n"/>
      <c r="W23" s="145" t="n"/>
      <c r="X23" s="145" t="n"/>
      <c r="Y23" s="145" t="n"/>
      <c r="Z23" s="145" t="n"/>
    </row>
    <row r="24" ht="15.75" customHeight="1" s="311">
      <c r="A24" s="41">
        <f>IF($B24="","",ROW()-21)</f>
        <v/>
      </c>
      <c r="B24" s="146" t="inlineStr">
        <is>
          <t>CaixaBank tarjeta de crédito</t>
        </is>
      </c>
      <c r="C24" s="83" t="inlineStr">
        <is>
          <t>Tarjeta de crédito</t>
        </is>
      </c>
      <c r="D24" s="145" t="n"/>
      <c r="E24" s="76" t="n">
        <v>1500</v>
      </c>
      <c r="F24" s="145" t="n"/>
      <c r="G24" s="76" t="n">
        <v>1500</v>
      </c>
      <c r="H24" s="145" t="n"/>
      <c r="I24" s="57">
        <f>IF($B24="","",MAX(0,$E24-$G24))</f>
        <v/>
      </c>
      <c r="J24" s="65">
        <f>IF(OR($B24="",$E24=0),"",$G24/$E24)</f>
        <v/>
      </c>
      <c r="K24" s="20" t="inlineStr">
        <is>
          <t>Al 21% anual.</t>
        </is>
      </c>
      <c r="L24" s="145" t="n"/>
      <c r="M24" s="145" t="n"/>
      <c r="N24" s="145" t="n"/>
      <c r="O24" s="83" t="inlineStr">
        <is>
          <t>Hogar</t>
        </is>
      </c>
      <c r="P24" s="145" t="n"/>
      <c r="Q24" s="145" t="n"/>
      <c r="R24" s="145" t="n"/>
      <c r="S24" s="145" t="n"/>
      <c r="T24" s="145" t="n"/>
      <c r="U24" s="145" t="n"/>
      <c r="V24" s="145" t="n"/>
      <c r="W24" s="145" t="n"/>
      <c r="X24" s="145" t="n"/>
      <c r="Y24" s="145" t="n"/>
      <c r="Z24" s="145" t="n"/>
    </row>
    <row r="25" ht="15.75" customHeight="1" s="311">
      <c r="A25" s="41" t="n">
        <v>3</v>
      </c>
      <c r="B25" s="146" t="inlineStr">
        <is>
          <t xml:space="preserve">Abanca </t>
        </is>
      </c>
      <c r="C25" s="83" t="inlineStr">
        <is>
          <t>Tarjeta de Credito</t>
        </is>
      </c>
      <c r="D25" s="145" t="n"/>
      <c r="E25" s="76" t="n">
        <v>6000</v>
      </c>
      <c r="F25" s="145" t="n"/>
      <c r="G25" s="76" t="n">
        <v>6000</v>
      </c>
      <c r="H25" s="145" t="n"/>
      <c r="I25" s="57">
        <f>IF($B25="","",MAX(0,$E25-$G25))</f>
        <v/>
      </c>
      <c r="J25" s="65">
        <f>IF(OR($B25="",$E25=0),"",$G25/$E25)</f>
        <v/>
      </c>
      <c r="K25" s="20" t="n"/>
      <c r="L25" s="145" t="n"/>
      <c r="M25" s="145" t="n"/>
      <c r="N25" s="145" t="n"/>
      <c r="O25" s="83" t="inlineStr">
        <is>
          <t>Hogar</t>
        </is>
      </c>
      <c r="P25" s="145" t="n"/>
      <c r="Q25" s="145" t="n"/>
      <c r="R25" s="145" t="n"/>
      <c r="S25" s="145" t="n"/>
      <c r="T25" s="145" t="n"/>
      <c r="U25" s="145" t="n"/>
      <c r="V25" s="145" t="n"/>
      <c r="W25" s="145" t="n"/>
      <c r="X25" s="145" t="n"/>
      <c r="Y25" s="145" t="n"/>
      <c r="Z25" s="145" t="n"/>
    </row>
    <row r="26" ht="15.75" customHeight="1" s="311">
      <c r="A26" s="41">
        <f>IF($B26="","",ROW()-21)</f>
        <v/>
      </c>
      <c r="B26" s="146" t="n"/>
      <c r="C26" s="83" t="n"/>
      <c r="D26" s="145" t="n"/>
      <c r="E26" s="76" t="n"/>
      <c r="F26" s="145" t="n"/>
      <c r="G26" s="76" t="n"/>
      <c r="H26" s="145" t="n"/>
      <c r="I26" s="57">
        <f>IF($B26="","",MAX(0,$E26-$G26))</f>
        <v/>
      </c>
      <c r="J26" s="65">
        <f>IF(OR($B26="",$E26=0),"",$G26/$E26)</f>
        <v/>
      </c>
      <c r="K26" s="20" t="n"/>
      <c r="L26" s="145" t="n"/>
      <c r="M26" s="145" t="n"/>
      <c r="N26" s="145" t="n"/>
      <c r="O26" s="83" t="n"/>
      <c r="P26" s="145" t="n"/>
      <c r="Q26" s="145" t="n"/>
      <c r="R26" s="145" t="n"/>
      <c r="S26" s="145" t="n"/>
      <c r="T26" s="145" t="n"/>
      <c r="U26" s="145" t="n"/>
      <c r="V26" s="145" t="n"/>
      <c r="W26" s="145" t="n"/>
      <c r="X26" s="145" t="n"/>
      <c r="Y26" s="145" t="n"/>
      <c r="Z26" s="145" t="n"/>
    </row>
    <row r="27" ht="15.75" customHeight="1" s="311">
      <c r="A27" s="39" t="n"/>
      <c r="B27" s="38" t="inlineStr">
        <is>
          <t>TOTAL</t>
        </is>
      </c>
      <c r="C27" s="39" t="n"/>
      <c r="D27" s="145" t="n"/>
      <c r="E27" s="86">
        <f>SUM($E$23:$E$26)</f>
        <v/>
      </c>
      <c r="F27" s="145" t="n"/>
      <c r="G27" s="86">
        <f>SUM($G$23:$G$26)</f>
        <v/>
      </c>
      <c r="H27" s="39" t="n"/>
      <c r="I27" s="86">
        <f>SUM($I$23:$I$26)</f>
        <v/>
      </c>
      <c r="J27" s="108">
        <f>IFERROR($G$27/$E$27,"")</f>
        <v/>
      </c>
      <c r="K27" s="145" t="n"/>
      <c r="L27" s="145" t="n"/>
      <c r="M27" s="145" t="n"/>
      <c r="N27" s="145" t="n"/>
      <c r="O27" s="145" t="n"/>
      <c r="P27" s="145" t="n"/>
      <c r="Q27" s="145" t="n"/>
      <c r="R27" s="145" t="n"/>
      <c r="S27" s="145" t="n"/>
      <c r="T27" s="145" t="n"/>
      <c r="U27" s="145" t="n"/>
      <c r="V27" s="145" t="n"/>
      <c r="W27" s="145" t="n"/>
      <c r="X27" s="145" t="n"/>
      <c r="Y27" s="145" t="n"/>
      <c r="Z27" s="145" t="n"/>
    </row>
    <row r="28" ht="15.75" customHeight="1" s="311">
      <c r="A28" s="145" t="n"/>
      <c r="B28" s="145" t="n"/>
      <c r="C28" s="145" t="n"/>
      <c r="D28" s="145" t="n"/>
      <c r="E28" s="145" t="n"/>
      <c r="F28" s="145" t="n"/>
      <c r="G28" s="145" t="n"/>
      <c r="H28" s="145" t="n"/>
      <c r="I28" s="145" t="n"/>
      <c r="J28" s="145" t="n"/>
      <c r="K28" s="145" t="n"/>
      <c r="L28" s="145" t="n"/>
      <c r="M28" s="145" t="n"/>
      <c r="N28" s="145" t="n"/>
      <c r="O28" s="145" t="n"/>
      <c r="P28" s="145" t="n"/>
      <c r="Q28" s="145" t="n"/>
      <c r="R28" s="145" t="n"/>
      <c r="S28" s="145" t="n"/>
      <c r="T28" s="145" t="n"/>
      <c r="U28" s="145" t="n"/>
      <c r="V28" s="145" t="n"/>
      <c r="W28" s="145" t="n"/>
      <c r="X28" s="145" t="n"/>
      <c r="Y28" s="145" t="n"/>
      <c r="Z28" s="145" t="n"/>
    </row>
    <row r="29" ht="21.75" customHeight="1" s="311">
      <c r="A29" s="21" t="inlineStr">
        <is>
          <t>3.  REPORTE DE DISPONIBILIDAD</t>
        </is>
      </c>
      <c r="B29" s="22" t="n"/>
      <c r="C29" s="22" t="n"/>
      <c r="D29" s="22" t="n"/>
      <c r="E29" s="22" t="n"/>
      <c r="F29" s="22" t="n"/>
      <c r="G29" s="22" t="n"/>
      <c r="H29" s="22" t="n"/>
      <c r="I29" s="22" t="n"/>
      <c r="J29" s="22" t="n"/>
      <c r="K29" s="22" t="n"/>
      <c r="L29" s="145" t="n"/>
      <c r="M29" s="145" t="n"/>
      <c r="N29" s="145" t="n"/>
      <c r="O29" s="145" t="n"/>
      <c r="P29" s="145" t="n"/>
      <c r="Q29" s="145" t="n"/>
      <c r="R29" s="145" t="n"/>
      <c r="S29" s="145" t="n"/>
      <c r="T29" s="145" t="n"/>
      <c r="U29" s="145" t="n"/>
      <c r="V29" s="145" t="n"/>
      <c r="W29" s="145" t="n"/>
      <c r="X29" s="145" t="n"/>
      <c r="Y29" s="145" t="n"/>
      <c r="Z29" s="145" t="n"/>
    </row>
    <row r="30" ht="15.75" customHeight="1" s="311">
      <c r="A30" s="145" t="n"/>
      <c r="B30" s="46" t="inlineStr">
        <is>
          <t>Saldo total que aparece en tus cuentas</t>
        </is>
      </c>
      <c r="C30" s="46" t="n"/>
      <c r="D30" s="46" t="n"/>
      <c r="E30" s="46" t="n"/>
      <c r="F30" s="46" t="n"/>
      <c r="G30" s="61">
        <f>$G$19</f>
        <v/>
      </c>
      <c r="H30" s="46" t="n"/>
      <c r="I30" s="46" t="n"/>
      <c r="J30" s="46" t="n"/>
      <c r="K30" s="20" t="inlineStr">
        <is>
          <t>La cifra que verías sumando todos los extractos.</t>
        </is>
      </c>
      <c r="L30" s="145" t="n"/>
      <c r="M30" s="145" t="n"/>
      <c r="N30" s="145" t="n"/>
      <c r="O30" s="145" t="n"/>
      <c r="P30" s="145" t="n"/>
      <c r="Q30" s="145" t="n"/>
      <c r="R30" s="145" t="n"/>
      <c r="S30" s="145" t="n"/>
      <c r="T30" s="145" t="n"/>
      <c r="U30" s="145" t="n"/>
      <c r="V30" s="145" t="n"/>
      <c r="W30" s="145" t="n"/>
      <c r="X30" s="145" t="n"/>
      <c r="Y30" s="145" t="n"/>
      <c r="Z30" s="145" t="n"/>
    </row>
    <row r="31" ht="15.75" customHeight="1" s="311">
      <c r="A31" s="145" t="n"/>
      <c r="B31" s="46" t="inlineStr">
        <is>
          <t>(−) Retenciones y bloqueos</t>
        </is>
      </c>
      <c r="C31" s="46" t="n"/>
      <c r="D31" s="46" t="n"/>
      <c r="E31" s="46" t="n"/>
      <c r="F31" s="46" t="n"/>
      <c r="G31" s="61">
        <f>-$I$19</f>
        <v/>
      </c>
      <c r="H31" s="46" t="n"/>
      <c r="I31" s="46" t="n"/>
      <c r="J31" s="46" t="n"/>
      <c r="K31" s="20" t="inlineStr">
        <is>
          <t>Retenciones de tarjeta, cheques en curso, embargos.</t>
        </is>
      </c>
      <c r="O31" s="145" t="n"/>
      <c r="P31" s="145" t="n"/>
      <c r="Q31" s="145" t="n"/>
      <c r="R31" s="145" t="n"/>
      <c r="S31" s="145" t="n"/>
      <c r="T31" s="145" t="n"/>
      <c r="U31" s="145" t="n"/>
      <c r="V31" s="145" t="n"/>
      <c r="W31" s="145" t="n"/>
      <c r="X31" s="145" t="n"/>
      <c r="Y31" s="145" t="n"/>
      <c r="Z31" s="145" t="n"/>
    </row>
    <row r="32" ht="15.75" customHeight="1" s="311">
      <c r="A32" s="145" t="n"/>
      <c r="B32" s="46" t="inlineStr">
        <is>
          <t>(−) Saldos marcados como no disponibles</t>
        </is>
      </c>
      <c r="C32" s="46" t="n"/>
      <c r="D32" s="46" t="n"/>
      <c r="E32" s="46" t="n"/>
      <c r="F32" s="46" t="n"/>
      <c r="G32" s="61">
        <f>-SUMIFS($G$6:$G$18,$H$6:$H$18,"No")</f>
        <v/>
      </c>
      <c r="H32" s="46" t="n"/>
      <c r="I32" s="46" t="n"/>
      <c r="J32" s="46" t="n"/>
      <c r="K32" s="20" t="inlineStr">
        <is>
          <t>Sobre todo ABANCA: comprometido con la entrada de la vivienda.</t>
        </is>
      </c>
      <c r="O32" s="145" t="n"/>
      <c r="P32" s="145" t="n"/>
      <c r="Q32" s="145" t="n"/>
      <c r="R32" s="145" t="n"/>
      <c r="S32" s="145" t="n"/>
      <c r="T32" s="145" t="n"/>
      <c r="U32" s="145" t="n"/>
      <c r="V32" s="145" t="n"/>
      <c r="W32" s="145" t="n"/>
      <c r="X32" s="145" t="n"/>
      <c r="Y32" s="145" t="n"/>
      <c r="Z32" s="145" t="n"/>
    </row>
    <row r="33" ht="15.75" customHeight="1" s="311">
      <c r="A33" s="145" t="n"/>
      <c r="B33" s="38" t="inlineStr">
        <is>
          <t>► DISPONIBILIDAD INMEDIATA</t>
        </is>
      </c>
      <c r="C33" s="39" t="n"/>
      <c r="D33" s="39" t="n"/>
      <c r="E33" s="39" t="n"/>
      <c r="F33" s="39" t="n"/>
      <c r="G33" s="68">
        <f>$J$19</f>
        <v/>
      </c>
      <c r="H33" s="39" t="n"/>
      <c r="I33" s="39" t="n"/>
      <c r="J33" s="39" t="n"/>
      <c r="K33" s="20" t="inlineStr">
        <is>
          <t>Dinero que puedes mover hoy mismo. Es la única cifra con la que deberías tomar decisiones.</t>
        </is>
      </c>
      <c r="O33" s="145" t="n"/>
      <c r="P33" s="145" t="n"/>
      <c r="Q33" s="145" t="n"/>
      <c r="R33" s="145" t="n"/>
      <c r="S33" s="145" t="n"/>
      <c r="T33" s="145" t="n"/>
      <c r="U33" s="145" t="n"/>
      <c r="V33" s="145" t="n"/>
      <c r="W33" s="145" t="n"/>
      <c r="X33" s="145" t="n"/>
      <c r="Y33" s="145" t="n"/>
      <c r="Z33" s="145" t="n"/>
    </row>
    <row r="34" ht="15.75" customHeight="1" s="311">
      <c r="A34" s="145" t="n"/>
      <c r="B34" s="46" t="inlineStr">
        <is>
          <t>(+) Crédito disponible</t>
        </is>
      </c>
      <c r="C34" s="46" t="n"/>
      <c r="D34" s="46" t="n"/>
      <c r="E34" s="46" t="n"/>
      <c r="F34" s="46" t="n"/>
      <c r="G34" s="61">
        <f>$I$27</f>
        <v/>
      </c>
      <c r="H34" s="46" t="n"/>
      <c r="I34" s="46" t="n"/>
      <c r="J34" s="46" t="n"/>
      <c r="K34" s="20" t="inlineStr">
        <is>
          <t>Se muestra aparte a propósito: usarlo es endeudarte al 21-23%.</t>
        </is>
      </c>
      <c r="L34" s="145" t="n"/>
      <c r="M34" s="145" t="n"/>
      <c r="N34" s="145" t="n"/>
      <c r="O34" s="145" t="n"/>
      <c r="P34" s="145" t="n"/>
      <c r="Q34" s="145" t="n"/>
      <c r="R34" s="145" t="n"/>
      <c r="S34" s="145" t="n"/>
      <c r="T34" s="145" t="n"/>
      <c r="U34" s="145" t="n"/>
      <c r="V34" s="145" t="n"/>
      <c r="W34" s="145" t="n"/>
      <c r="X34" s="145" t="n"/>
      <c r="Y34" s="145" t="n"/>
      <c r="Z34" s="145" t="n"/>
    </row>
    <row r="35" ht="15.75" customHeight="1" s="311">
      <c r="A35" s="145" t="n"/>
      <c r="B35" s="38" t="inlineStr">
        <is>
          <t>► LIQUIDEZ TOTAL incluyendo crédito</t>
        </is>
      </c>
      <c r="C35" s="39" t="n"/>
      <c r="D35" s="39" t="n"/>
      <c r="E35" s="39" t="n"/>
      <c r="F35" s="39" t="n"/>
      <c r="G35" s="68">
        <f>$G$33+$G$34</f>
        <v/>
      </c>
      <c r="H35" s="39" t="n"/>
      <c r="I35" s="39" t="n"/>
      <c r="J35" s="39" t="n"/>
      <c r="K35" s="20" t="inlineStr">
        <is>
          <t>Techo máximo de lo que podrías pagar, a costa de más deuda.</t>
        </is>
      </c>
      <c r="L35" s="145" t="n"/>
      <c r="M35" s="145" t="n"/>
      <c r="N35" s="145" t="n"/>
      <c r="O35" s="145" t="n"/>
      <c r="P35" s="145" t="n"/>
      <c r="Q35" s="145" t="n"/>
      <c r="R35" s="145" t="n"/>
      <c r="S35" s="145" t="n"/>
      <c r="T35" s="145" t="n"/>
      <c r="U35" s="145" t="n"/>
      <c r="V35" s="145" t="n"/>
      <c r="W35" s="145" t="n"/>
      <c r="X35" s="145" t="n"/>
      <c r="Y35" s="145" t="n"/>
      <c r="Z35" s="145" t="n"/>
    </row>
    <row r="36" ht="15.75" customHeight="1" s="311">
      <c r="A36" s="145" t="n"/>
      <c r="B36" s="38" t="inlineStr">
        <is>
          <t>⚠️ Cuentas con saldo NEGATIVO</t>
        </is>
      </c>
      <c r="C36" s="145" t="n"/>
      <c r="D36" s="145" t="n"/>
      <c r="E36" s="145" t="n"/>
      <c r="F36" s="145" t="n"/>
      <c r="G36" s="68">
        <f>SUMIF($G$6:$G$18,"&lt;0")</f>
        <v/>
      </c>
      <c r="H36" s="145" t="n"/>
      <c r="I36" s="145" t="n"/>
      <c r="J36" s="145" t="n"/>
      <c r="K36" s="167">
        <f>IF(COUNTIF($G$6:$G$18,"&lt;0")=0,"✅ Ninguna cuenta en descubierto","🔴 "&amp;COUNTIF($G$6:$G$18,"&lt;0")&amp;" cuenta(s) en negativo: o falta saldo de apertura, o hay un pago registrado en la cuenta equivocada")</f>
        <v/>
      </c>
      <c r="L36" s="145" t="n"/>
      <c r="M36" s="145" t="n"/>
      <c r="N36" s="145" t="n"/>
      <c r="O36" s="145" t="n"/>
      <c r="P36" s="145" t="n"/>
      <c r="Q36" s="145" t="n"/>
      <c r="R36" s="145" t="n"/>
      <c r="S36" s="145" t="n"/>
      <c r="T36" s="145" t="n"/>
      <c r="U36" s="145" t="n"/>
      <c r="V36" s="145" t="n"/>
      <c r="W36" s="145" t="n"/>
      <c r="X36" s="145" t="n"/>
      <c r="Y36" s="145" t="n"/>
      <c r="Z36" s="145" t="n"/>
    </row>
    <row r="37" ht="15.75" customHeight="1" s="311">
      <c r="A37" s="145" t="n"/>
      <c r="B37" s="46" t="inlineStr">
        <is>
          <t>Saldo pendiente de facturas</t>
        </is>
      </c>
      <c r="C37" s="46" t="n"/>
      <c r="D37" s="46" t="n"/>
      <c r="E37" s="46" t="n"/>
      <c r="F37" s="46" t="n"/>
      <c r="G37" s="61">
        <f>Facturas!$AG$20</f>
        <v/>
      </c>
      <c r="H37" s="46" t="n"/>
      <c r="I37" s="46" t="n"/>
      <c r="J37" s="46" t="n"/>
      <c r="K37" s="20" t="inlineStr">
        <is>
          <t>Suma de los SALDOS vivos de la hoja Facturas, no de los importes originales: los abonos parciales ya están descontados.</t>
        </is>
      </c>
      <c r="Q37" s="145" t="n"/>
      <c r="R37" s="145" t="n"/>
      <c r="S37" s="145" t="n"/>
      <c r="T37" s="145" t="n"/>
      <c r="U37" s="145" t="n"/>
      <c r="V37" s="145" t="n"/>
      <c r="W37" s="145" t="n"/>
      <c r="X37" s="145" t="n"/>
      <c r="Y37" s="145" t="n"/>
      <c r="Z37" s="145" t="n"/>
    </row>
    <row r="38" ht="15.75" customHeight="1" s="311">
      <c r="A38" s="145" t="n"/>
      <c r="B38" s="46" t="inlineStr">
        <is>
          <t>— de ellas, vencidas</t>
        </is>
      </c>
      <c r="C38" s="46" t="n"/>
      <c r="D38" s="46" t="n"/>
      <c r="E38" s="46" t="n"/>
      <c r="F38" s="46" t="n"/>
      <c r="G38" s="61">
        <f>Facturas!$AG$24</f>
        <v/>
      </c>
      <c r="H38" s="46" t="n"/>
      <c r="I38" s="46" t="n"/>
      <c r="J38" s="46" t="n"/>
      <c r="K38" s="145" t="n"/>
      <c r="L38" s="145" t="n"/>
      <c r="M38" s="145" t="n"/>
      <c r="N38" s="145" t="n"/>
      <c r="O38" s="145" t="n"/>
      <c r="P38" s="145" t="n"/>
      <c r="Q38" s="145" t="n"/>
      <c r="R38" s="145" t="n"/>
      <c r="S38" s="145" t="n"/>
      <c r="T38" s="145" t="n"/>
      <c r="U38" s="145" t="n"/>
      <c r="V38" s="145" t="n"/>
      <c r="W38" s="145" t="n"/>
      <c r="X38" s="145" t="n"/>
      <c r="Y38" s="145" t="n"/>
      <c r="Z38" s="145" t="n"/>
    </row>
    <row r="39" ht="15.75" customHeight="1" s="311">
      <c r="A39" s="145" t="n"/>
      <c r="B39" s="46" t="inlineStr">
        <is>
          <t>— de ellas, vencen en 7 días o menos</t>
        </is>
      </c>
      <c r="C39" s="46" t="n"/>
      <c r="D39" s="46" t="n"/>
      <c r="E39" s="46" t="n"/>
      <c r="F39" s="46" t="n"/>
      <c r="G39" s="61">
        <f>Facturas!$AG$25</f>
        <v/>
      </c>
      <c r="H39" s="46" t="n"/>
      <c r="I39" s="46" t="n"/>
      <c r="J39" s="46" t="n"/>
      <c r="K39" s="145" t="n"/>
      <c r="L39" s="145" t="n"/>
      <c r="M39" s="145" t="n"/>
      <c r="N39" s="145" t="n"/>
      <c r="O39" s="145" t="n"/>
      <c r="P39" s="145" t="n"/>
      <c r="Q39" s="145" t="n"/>
      <c r="R39" s="145" t="n"/>
      <c r="S39" s="145" t="n"/>
      <c r="T39" s="145" t="n"/>
      <c r="U39" s="145" t="n"/>
      <c r="V39" s="145" t="n"/>
      <c r="W39" s="145" t="n"/>
      <c r="X39" s="145" t="n"/>
      <c r="Y39" s="145" t="n"/>
      <c r="Z39" s="145" t="n"/>
    </row>
    <row r="40" ht="15.75" customHeight="1" s="311">
      <c r="A40" s="145" t="n"/>
      <c r="B40" s="38" t="inlineStr">
        <is>
          <t>DISPONIBILIDAD DESPUÉS DE PAGAR TODAS LAS FACTURAS</t>
        </is>
      </c>
      <c r="C40" s="39" t="n"/>
      <c r="D40" s="39" t="n"/>
      <c r="E40" s="39" t="n"/>
      <c r="F40" s="39" t="n"/>
      <c r="G40" s="68">
        <f>$G$33-$G$37</f>
        <v/>
      </c>
      <c r="H40" s="39" t="n"/>
      <c r="I40" s="39" t="n"/>
      <c r="J40" s="39" t="n"/>
      <c r="K40" s="20" t="inlineStr">
        <is>
          <t>Si sale negativo, no te alcanza sin recurrir al crédito.</t>
        </is>
      </c>
      <c r="L40" s="145" t="n"/>
      <c r="M40" s="145" t="n"/>
      <c r="N40" s="145" t="n"/>
      <c r="O40" s="145" t="n"/>
      <c r="P40" s="145" t="n"/>
      <c r="Q40" s="145" t="n"/>
      <c r="R40" s="145" t="n"/>
      <c r="S40" s="145" t="n"/>
      <c r="T40" s="145" t="n"/>
      <c r="U40" s="145" t="n"/>
      <c r="V40" s="145" t="n"/>
      <c r="W40" s="145" t="n"/>
      <c r="X40" s="145" t="n"/>
      <c r="Y40" s="145" t="n"/>
      <c r="Z40" s="145" t="n"/>
    </row>
    <row r="41" ht="15.75" customHeight="1" s="311">
      <c r="A41" s="145" t="n"/>
      <c r="B41" s="38" t="inlineStr">
        <is>
          <t>Cobertura de las facturas pendientes</t>
        </is>
      </c>
      <c r="C41" s="39" t="n"/>
      <c r="D41" s="39" t="n"/>
      <c r="E41" s="39" t="n"/>
      <c r="F41" s="39" t="n"/>
      <c r="G41" s="168">
        <f>IFERROR($G$33/$G$37,"")</f>
        <v/>
      </c>
      <c r="H41" s="39" t="n"/>
      <c r="I41" s="39" t="n"/>
      <c r="J41" s="39" t="n"/>
      <c r="K41" s="20" t="inlineStr">
        <is>
          <t>Veces que tu disponible cubre lo que debes. Por debajo de 1 hay problema.</t>
        </is>
      </c>
      <c r="Q41" s="145" t="n"/>
      <c r="R41" s="145" t="n"/>
      <c r="S41" s="145" t="n"/>
      <c r="T41" s="145" t="n"/>
      <c r="U41" s="145" t="n"/>
      <c r="V41" s="145" t="n"/>
      <c r="W41" s="145" t="n"/>
      <c r="X41" s="145" t="n"/>
      <c r="Y41" s="145" t="n"/>
      <c r="Z41" s="145" t="n"/>
    </row>
    <row r="42" ht="15.75" customHeight="1" s="311">
      <c r="A42" s="145" t="n"/>
      <c r="B42" s="46" t="inlineStr">
        <is>
          <t>Gasto corriente diario estimado</t>
        </is>
      </c>
      <c r="C42" s="46" t="n"/>
      <c r="D42" s="46" t="n"/>
      <c r="E42" s="46" t="n"/>
      <c r="F42" s="46" t="n"/>
      <c r="G42" s="61">
        <f t="array" ref="G42">IFERROR(INDEX(Escenarios!$D$48:$H$48,Panel!$D$5)/30,0)</f>
        <v/>
      </c>
      <c r="H42" s="46" t="n"/>
      <c r="I42" s="46" t="n"/>
      <c r="J42" s="46" t="n"/>
      <c r="K42" s="20" t="inlineStr">
        <is>
          <t>Gastos del hogar del escenario elegido en el Panel, repartidos entre 30 días.</t>
        </is>
      </c>
      <c r="P42" s="145" t="n"/>
      <c r="Q42" s="145" t="n"/>
      <c r="R42" s="145" t="n"/>
      <c r="S42" s="145" t="n"/>
      <c r="T42" s="145" t="n"/>
      <c r="U42" s="145" t="n"/>
      <c r="V42" s="145" t="n"/>
      <c r="W42" s="145" t="n"/>
      <c r="X42" s="145" t="n"/>
      <c r="Y42" s="145" t="n"/>
      <c r="Z42" s="145" t="n"/>
    </row>
    <row r="43" ht="15.75" customHeight="1" s="311">
      <c r="A43" s="145" t="n"/>
      <c r="B43" s="38" t="inlineStr">
        <is>
          <t>Días de autonomía</t>
        </is>
      </c>
      <c r="C43" s="39" t="n"/>
      <c r="D43" s="39" t="n"/>
      <c r="E43" s="39" t="n"/>
      <c r="F43" s="39" t="n"/>
      <c r="G43" s="169">
        <f>IFERROR($G$33/$G$42,"")</f>
        <v/>
      </c>
      <c r="H43" s="39" t="n"/>
      <c r="I43" s="39" t="n"/>
      <c r="J43" s="39" t="n"/>
      <c r="K43" s="20" t="inlineStr">
        <is>
          <t>Días que aguantas con el disponible actual si no entra nada.</t>
        </is>
      </c>
      <c r="L43" s="145" t="n"/>
      <c r="M43" s="145" t="n"/>
      <c r="N43" s="145" t="n"/>
      <c r="O43" s="145" t="n"/>
      <c r="P43" s="145" t="n"/>
      <c r="Q43" s="145" t="n"/>
      <c r="R43" s="145" t="n"/>
      <c r="S43" s="145" t="n"/>
      <c r="T43" s="145" t="n"/>
      <c r="U43" s="145" t="n"/>
      <c r="V43" s="145" t="n"/>
      <c r="W43" s="145" t="n"/>
      <c r="X43" s="145" t="n"/>
      <c r="Y43" s="145" t="n"/>
      <c r="Z43" s="145" t="n"/>
    </row>
    <row r="44" ht="15.75" customHeight="1" s="311">
      <c r="A44" s="145" t="n"/>
      <c r="B44" s="103" t="inlineStr">
        <is>
          <t>DIAGNÓSTICO</t>
        </is>
      </c>
      <c r="C44" s="39" t="n"/>
      <c r="D44" s="39" t="n"/>
      <c r="E44" s="39" t="n"/>
      <c r="F44" s="39" t="n"/>
      <c r="G44" s="170">
        <f>IF($G$37=0,"Sin facturas pendientes",IF($G$38&gt;0,"🔴 Tienes facturas VENCIDAS: paga esas primero",IF($G$33&lt;$G$37,"🔴 No te alcanza: faltan "&amp;TEXT($G$37-$G$33,"#,##0.00")&amp;" €",IF($G$41&gt;=3,"✅ Holgado",IF($G$41&gt;=1.5,"🟢 Cómodo","🟡 Justo: cubre pero sin margen")))))</f>
        <v/>
      </c>
      <c r="H44" s="39" t="n"/>
      <c r="I44" s="39" t="n"/>
      <c r="J44" s="39" t="n"/>
      <c r="K44" s="145" t="n"/>
      <c r="L44" s="145" t="n"/>
      <c r="M44" s="145" t="n"/>
      <c r="N44" s="145" t="n"/>
      <c r="O44" s="145" t="n"/>
      <c r="P44" s="145" t="n"/>
      <c r="Q44" s="145" t="n"/>
      <c r="R44" s="145" t="n"/>
      <c r="S44" s="145" t="n"/>
      <c r="T44" s="145" t="n"/>
      <c r="U44" s="145" t="n"/>
      <c r="V44" s="145" t="n"/>
      <c r="W44" s="145" t="n"/>
      <c r="X44" s="145" t="n"/>
      <c r="Y44" s="145" t="n"/>
      <c r="Z44" s="145" t="n"/>
    </row>
    <row r="45" ht="15.75" customHeight="1" s="311">
      <c r="A45" s="145" t="n"/>
      <c r="B45" s="23" t="inlineStr">
        <is>
          <t>Control de caja</t>
        </is>
      </c>
      <c r="C45" s="394">
        <f>IF(COUNT($S$6:$S$18)=0,"🕐 Sin conciliar: pega en la columna S el saldo real de cada banco",IF(ROUND(SUMPRODUCT(($S$6:$S$18&lt;&gt;"")*(N($S$6:$S$18)-N($G$6:$G$18))),2)=0,"✅ Conciliado con el libro de Caja","🔴 Descuadre de "&amp;TEXT(ABS(SUMPRODUCT(($S$6:$S$18&lt;&gt;"")*(N($S$6:$S$18)-N($G$6:$G$18)))),"#,##0.00")&amp;" €: falta registrar movimientos en Caja"))</f>
        <v/>
      </c>
      <c r="D45" s="313" t="n"/>
      <c r="E45" s="313" t="n"/>
      <c r="F45" s="313" t="n"/>
      <c r="G45" s="145" t="n"/>
      <c r="H45" s="145" t="n"/>
      <c r="I45" s="145" t="n"/>
      <c r="J45" s="145" t="n"/>
      <c r="K45" s="145" t="n"/>
      <c r="L45" s="145" t="n"/>
      <c r="M45" s="145" t="n"/>
      <c r="N45" s="145" t="n"/>
      <c r="O45" s="145" t="n"/>
      <c r="P45" s="145" t="n"/>
      <c r="Q45" s="145" t="n"/>
      <c r="R45" s="145" t="n"/>
      <c r="S45" s="145" t="n"/>
      <c r="T45" s="145" t="n"/>
      <c r="U45" s="145" t="n"/>
      <c r="V45" s="145" t="n"/>
      <c r="W45" s="145" t="n"/>
      <c r="X45" s="145" t="n"/>
      <c r="Y45" s="145" t="n"/>
      <c r="Z45" s="145" t="n"/>
    </row>
    <row r="46" ht="21.75" customHeight="1" s="311">
      <c r="A46" s="21" t="inlineStr">
        <is>
          <t>4.  DISTRIBUCIÓN Y CONCENTRACIÓN DEL DINERO</t>
        </is>
      </c>
      <c r="B46" s="22" t="n"/>
      <c r="C46" s="22" t="n"/>
      <c r="D46" s="22" t="n"/>
      <c r="E46" s="22" t="n"/>
      <c r="F46" s="22" t="n"/>
      <c r="G46" s="22" t="n"/>
      <c r="H46" s="22" t="n"/>
      <c r="I46" s="22" t="n"/>
      <c r="J46" s="22" t="n"/>
      <c r="K46" s="22" t="n"/>
      <c r="L46" s="145" t="n"/>
      <c r="M46" s="145" t="n"/>
      <c r="N46" s="145" t="n"/>
      <c r="O46" s="145" t="n"/>
      <c r="P46" s="145" t="n"/>
      <c r="Q46" s="145" t="n"/>
      <c r="R46" s="145" t="n"/>
      <c r="S46" s="145" t="n"/>
      <c r="T46" s="145" t="n"/>
      <c r="U46" s="145" t="n"/>
      <c r="V46" s="145" t="n"/>
      <c r="W46" s="145" t="n"/>
      <c r="X46" s="145" t="n"/>
      <c r="Y46" s="145" t="n"/>
      <c r="Z46" s="145" t="n"/>
    </row>
    <row r="47" ht="24" customHeight="1" s="311">
      <c r="A47" s="33" t="n"/>
      <c r="B47" s="33" t="inlineStr">
        <is>
          <t>Tipo de cuenta</t>
        </is>
      </c>
      <c r="C47" s="33" t="n"/>
      <c r="D47" s="33" t="n"/>
      <c r="E47" s="33" t="n"/>
      <c r="F47" s="33" t="n"/>
      <c r="G47" s="33" t="inlineStr">
        <is>
          <t>Disponible (€)</t>
        </is>
      </c>
      <c r="H47" s="33" t="n"/>
      <c r="I47" s="33" t="inlineStr">
        <is>
          <t>%</t>
        </is>
      </c>
      <c r="J47" s="33" t="inlineStr">
        <is>
          <t>Visual</t>
        </is>
      </c>
      <c r="K47" s="33" t="n"/>
      <c r="L47" s="145" t="n"/>
      <c r="M47" s="145" t="n"/>
      <c r="N47" s="145" t="n"/>
      <c r="O47" s="145" t="n"/>
      <c r="P47" s="145" t="n"/>
      <c r="Q47" s="145" t="n"/>
      <c r="R47" s="145" t="n"/>
      <c r="S47" s="145" t="n"/>
      <c r="T47" s="145" t="n"/>
      <c r="U47" s="145" t="n"/>
      <c r="V47" s="145" t="n"/>
      <c r="W47" s="145" t="n"/>
      <c r="X47" s="145" t="n"/>
      <c r="Y47" s="145" t="n"/>
      <c r="Z47" s="145" t="n"/>
    </row>
    <row r="48" ht="15.75" customHeight="1" s="311">
      <c r="A48" s="145" t="n"/>
      <c r="B48" s="46" t="inlineStr">
        <is>
          <t>Efectivo</t>
        </is>
      </c>
      <c r="C48" s="145" t="n"/>
      <c r="D48" s="145" t="n"/>
      <c r="E48" s="145" t="n"/>
      <c r="F48" s="145" t="n"/>
      <c r="G48" s="42">
        <f>SUMIFS($J$6:$J$18,$C$6:$C$18,$B48)</f>
        <v/>
      </c>
      <c r="H48" s="145" t="n"/>
      <c r="I48" s="65">
        <f>IFERROR($G48/$G$53,"")</f>
        <v/>
      </c>
      <c r="J48" s="134">
        <f>IF($G48=0,"",REPT("█",MAX(1,ROUND($G48/MAX($G$48:$G$52)*16,0))))</f>
        <v/>
      </c>
      <c r="K48" s="145" t="n"/>
      <c r="L48" s="145" t="n"/>
      <c r="M48" s="145" t="n"/>
      <c r="N48" s="145" t="n"/>
      <c r="O48" s="145" t="n"/>
      <c r="P48" s="145" t="n"/>
      <c r="Q48" s="145" t="n"/>
      <c r="R48" s="145" t="n"/>
      <c r="S48" s="145" t="n"/>
      <c r="T48" s="145" t="n"/>
      <c r="U48" s="145" t="n"/>
      <c r="V48" s="145" t="n"/>
      <c r="W48" s="145" t="n"/>
      <c r="X48" s="145" t="n"/>
      <c r="Y48" s="145" t="n"/>
      <c r="Z48" s="145" t="n"/>
    </row>
    <row r="49" ht="15.75" customHeight="1" s="311">
      <c r="A49" s="145" t="n"/>
      <c r="B49" s="46" t="inlineStr">
        <is>
          <t>Cuenta corriente</t>
        </is>
      </c>
      <c r="C49" s="145" t="n"/>
      <c r="D49" s="145" t="n"/>
      <c r="E49" s="145" t="n"/>
      <c r="F49" s="145" t="n"/>
      <c r="G49" s="42">
        <f>SUMIFS($J$6:$J$18,$C$6:$C$18,$B49)</f>
        <v/>
      </c>
      <c r="H49" s="145" t="n"/>
      <c r="I49" s="65">
        <f>IFERROR($G49/$G$53,"")</f>
        <v/>
      </c>
      <c r="J49" s="134">
        <f>IF($G49=0,"",REPT("█",MAX(1,ROUND($G49/MAX($G$48:$G$52)*16,0))))</f>
        <v/>
      </c>
      <c r="K49" s="145" t="n"/>
      <c r="L49" s="145" t="n"/>
      <c r="M49" s="145" t="n"/>
      <c r="N49" s="145" t="n"/>
      <c r="O49" s="145" t="n"/>
      <c r="P49" s="145" t="n"/>
      <c r="Q49" s="145" t="n"/>
      <c r="R49" s="145" t="n"/>
      <c r="S49" s="145" t="n"/>
      <c r="T49" s="145" t="n"/>
      <c r="U49" s="145" t="n"/>
      <c r="V49" s="145" t="n"/>
      <c r="W49" s="145" t="n"/>
      <c r="X49" s="145" t="n"/>
      <c r="Y49" s="145" t="n"/>
      <c r="Z49" s="145" t="n"/>
    </row>
    <row r="50" ht="15.75" customHeight="1" s="311">
      <c r="A50" s="145" t="n"/>
      <c r="B50" s="46" t="inlineStr">
        <is>
          <t>Cuenta de ahorro</t>
        </is>
      </c>
      <c r="C50" s="145" t="n"/>
      <c r="D50" s="145" t="n"/>
      <c r="E50" s="145" t="n"/>
      <c r="F50" s="145" t="n"/>
      <c r="G50" s="42">
        <f>SUMIFS($J$6:$J$18,$C$6:$C$18,$B50)</f>
        <v/>
      </c>
      <c r="H50" s="145" t="n"/>
      <c r="I50" s="65">
        <f>IFERROR($G50/$G$53,"")</f>
        <v/>
      </c>
      <c r="J50" s="134">
        <f>IF($G50=0,"",REPT("█",MAX(1,ROUND($G50/MAX($G$48:$G$52)*16,0))))</f>
        <v/>
      </c>
      <c r="K50" s="145" t="n"/>
      <c r="L50" s="145" t="n"/>
      <c r="M50" s="145" t="n"/>
      <c r="N50" s="145" t="n"/>
      <c r="O50" s="145" t="n"/>
      <c r="P50" s="145" t="n"/>
      <c r="Q50" s="145" t="n"/>
      <c r="R50" s="145" t="n"/>
      <c r="S50" s="145" t="n"/>
      <c r="T50" s="145" t="n"/>
      <c r="U50" s="145" t="n"/>
      <c r="V50" s="145" t="n"/>
      <c r="W50" s="145" t="n"/>
      <c r="X50" s="145" t="n"/>
      <c r="Y50" s="145" t="n"/>
      <c r="Z50" s="145" t="n"/>
    </row>
    <row r="51" ht="15.75" customHeight="1" s="311">
      <c r="A51" s="145" t="n"/>
      <c r="B51" s="46" t="inlineStr">
        <is>
          <t>Cuenta en divisa</t>
        </is>
      </c>
      <c r="C51" s="145" t="n"/>
      <c r="D51" s="145" t="n"/>
      <c r="E51" s="145" t="n"/>
      <c r="F51" s="145" t="n"/>
      <c r="G51" s="42">
        <f>SUMIFS($J$6:$J$18,$C$6:$C$18,$B51)</f>
        <v/>
      </c>
      <c r="H51" s="145" t="n"/>
      <c r="I51" s="65">
        <f>IFERROR($G51/$G$53,"")</f>
        <v/>
      </c>
      <c r="J51" s="134">
        <f>IF($G51=0,"",REPT("█",MAX(1,ROUND($G51/MAX($G$48:$G$52)*16,0))))</f>
        <v/>
      </c>
      <c r="K51" s="145" t="n"/>
      <c r="L51" s="145" t="n"/>
      <c r="M51" s="145" t="n"/>
      <c r="N51" s="145" t="n"/>
      <c r="O51" s="145" t="n"/>
      <c r="P51" s="145" t="n"/>
      <c r="Q51" s="145" t="n"/>
      <c r="R51" s="145" t="n"/>
      <c r="S51" s="145" t="n"/>
      <c r="T51" s="145" t="n"/>
      <c r="U51" s="145" t="n"/>
      <c r="V51" s="145" t="n"/>
      <c r="W51" s="145" t="n"/>
      <c r="X51" s="145" t="n"/>
      <c r="Y51" s="145" t="n"/>
      <c r="Z51" s="145" t="n"/>
    </row>
    <row r="52" ht="15.75" customHeight="1" s="311">
      <c r="A52" s="145" t="n"/>
      <c r="B52" s="46" t="inlineStr">
        <is>
          <t>Comprometido</t>
        </is>
      </c>
      <c r="C52" s="145" t="n"/>
      <c r="D52" s="145" t="n"/>
      <c r="E52" s="145" t="n"/>
      <c r="F52" s="145" t="n"/>
      <c r="G52" s="42">
        <f>SUMIFS($J$6:$J$18,$C$6:$C$18,$B52)</f>
        <v/>
      </c>
      <c r="H52" s="145" t="n"/>
      <c r="I52" s="65">
        <f>IFERROR($G52/$G$53,"")</f>
        <v/>
      </c>
      <c r="J52" s="134">
        <f>IF($G52=0,"",REPT("█",MAX(1,ROUND($G52/MAX($G$48:$G$52)*16,0))))</f>
        <v/>
      </c>
      <c r="K52" s="145" t="n"/>
      <c r="L52" s="145" t="n"/>
      <c r="M52" s="145" t="n"/>
      <c r="N52" s="145" t="n"/>
      <c r="O52" s="145" t="n"/>
      <c r="P52" s="145" t="n"/>
      <c r="Q52" s="145" t="n"/>
      <c r="R52" s="145" t="n"/>
      <c r="S52" s="145" t="n"/>
      <c r="T52" s="145" t="n"/>
      <c r="U52" s="145" t="n"/>
      <c r="V52" s="145" t="n"/>
      <c r="W52" s="145" t="n"/>
      <c r="X52" s="145" t="n"/>
      <c r="Y52" s="145" t="n"/>
      <c r="Z52" s="145" t="n"/>
    </row>
    <row r="53" ht="15.75" customHeight="1" s="311">
      <c r="A53" s="39" t="n"/>
      <c r="B53" s="38" t="inlineStr">
        <is>
          <t>TOTAL DISPONIBLE</t>
        </is>
      </c>
      <c r="C53" s="39" t="n"/>
      <c r="D53" s="39" t="n"/>
      <c r="E53" s="39" t="n"/>
      <c r="F53" s="39" t="n"/>
      <c r="G53" s="86">
        <f>SUM($G$48:$G$52)</f>
        <v/>
      </c>
      <c r="H53" s="39" t="n"/>
      <c r="I53" s="108">
        <f>IF($G$53=0,"",1)</f>
        <v/>
      </c>
      <c r="J53" s="39" t="n"/>
      <c r="K53" s="145" t="n"/>
      <c r="L53" s="145" t="n"/>
      <c r="M53" s="145" t="n"/>
      <c r="N53" s="145" t="n"/>
      <c r="O53" s="145" t="n"/>
      <c r="P53" s="145" t="n"/>
      <c r="Q53" s="145" t="n"/>
      <c r="R53" s="145" t="n"/>
      <c r="S53" s="145" t="n"/>
      <c r="T53" s="145" t="n"/>
      <c r="U53" s="145" t="n"/>
      <c r="V53" s="145" t="n"/>
      <c r="W53" s="145" t="n"/>
      <c r="X53" s="145" t="n"/>
      <c r="Y53" s="145" t="n"/>
      <c r="Z53" s="145" t="n"/>
    </row>
    <row r="54" ht="15.75" customHeight="1" s="311">
      <c r="A54" s="145" t="n"/>
      <c r="B54" s="145" t="n"/>
      <c r="C54" s="145" t="n"/>
      <c r="D54" s="145" t="n"/>
      <c r="E54" s="145" t="n"/>
      <c r="F54" s="145" t="n"/>
      <c r="G54" s="145" t="n"/>
      <c r="H54" s="145" t="n"/>
      <c r="I54" s="145" t="n"/>
      <c r="J54" s="145" t="n"/>
      <c r="K54" s="145" t="n"/>
      <c r="L54" s="145" t="n"/>
      <c r="M54" s="145" t="n"/>
      <c r="N54" s="145" t="n"/>
      <c r="O54" s="145" t="n"/>
      <c r="P54" s="145" t="n"/>
      <c r="Q54" s="145" t="n"/>
      <c r="R54" s="145" t="n"/>
      <c r="S54" s="145" t="n"/>
      <c r="T54" s="145" t="n"/>
      <c r="U54" s="145" t="n"/>
      <c r="V54" s="145" t="n"/>
      <c r="W54" s="145" t="n"/>
      <c r="X54" s="145" t="n"/>
      <c r="Y54" s="145" t="n"/>
      <c r="Z54" s="145" t="n"/>
    </row>
    <row r="55" ht="15.75" customHeight="1" s="311">
      <c r="A55" s="145" t="n"/>
      <c r="B55" s="23" t="inlineStr">
        <is>
          <t>Mayor saldo concentrado en una sola cuenta</t>
        </is>
      </c>
      <c r="C55" s="145" t="n"/>
      <c r="D55" s="145" t="n"/>
      <c r="E55" s="145" t="n"/>
      <c r="F55" s="145" t="n"/>
      <c r="G55" s="80">
        <f>MAX($J$6:$J$18)</f>
        <v/>
      </c>
      <c r="H55" s="145" t="n"/>
      <c r="I55" s="145" t="n"/>
      <c r="J55" s="145" t="n"/>
      <c r="K55" s="145" t="n"/>
      <c r="L55" s="145" t="n"/>
      <c r="M55" s="145" t="n"/>
      <c r="N55" s="145" t="n"/>
      <c r="O55" s="145" t="n"/>
      <c r="P55" s="145" t="n"/>
      <c r="Q55" s="145" t="n"/>
      <c r="R55" s="145" t="n"/>
      <c r="S55" s="145" t="n"/>
      <c r="T55" s="145" t="n"/>
      <c r="U55" s="145" t="n"/>
      <c r="V55" s="145" t="n"/>
      <c r="W55" s="145" t="n"/>
      <c r="X55" s="145" t="n"/>
      <c r="Y55" s="145" t="n"/>
      <c r="Z55" s="145" t="n"/>
    </row>
    <row r="56" ht="15.75" customHeight="1" s="311">
      <c r="A56" s="145" t="n"/>
      <c r="B56" s="46" t="inlineStr">
        <is>
          <t>Nombre de esa cuenta</t>
        </is>
      </c>
      <c r="C56" s="145" t="n"/>
      <c r="D56" s="145" t="n"/>
      <c r="E56" s="145" t="n"/>
      <c r="F56" s="145" t="n"/>
      <c r="G56" s="64">
        <f t="array" ref="G56">IFERROR(INDEX($B$6:$B$18,MATCH(MAX($J$6:$J$18),$J$6:$J$18,0)),"")</f>
        <v/>
      </c>
      <c r="H56" s="145" t="n"/>
      <c r="I56" s="145" t="n"/>
      <c r="J56" s="145" t="n"/>
      <c r="K56" s="145" t="n"/>
      <c r="L56" s="145" t="n"/>
      <c r="M56" s="145" t="n"/>
      <c r="N56" s="145" t="n"/>
      <c r="O56" s="145" t="n"/>
      <c r="P56" s="145" t="n"/>
      <c r="Q56" s="145" t="n"/>
      <c r="R56" s="145" t="n"/>
      <c r="S56" s="145" t="n"/>
      <c r="T56" s="145" t="n"/>
      <c r="U56" s="145" t="n"/>
      <c r="V56" s="145" t="n"/>
      <c r="W56" s="145" t="n"/>
      <c r="X56" s="145" t="n"/>
      <c r="Y56" s="145" t="n"/>
      <c r="Z56" s="145" t="n"/>
    </row>
    <row r="57" ht="15.75" customHeight="1" s="311">
      <c r="A57" s="145" t="n"/>
      <c r="B57" s="46" t="inlineStr">
        <is>
          <t>Concentración (esa cuenta / total disponible)</t>
        </is>
      </c>
      <c r="C57" s="145" t="n"/>
      <c r="D57" s="145" t="n"/>
      <c r="E57" s="145" t="n"/>
      <c r="F57" s="145" t="n"/>
      <c r="G57" s="107">
        <f>IFERROR($G$55/$J$19,"")</f>
        <v/>
      </c>
      <c r="H57" s="145" t="n"/>
      <c r="I57" s="145" t="n"/>
      <c r="J57" s="145" t="n"/>
      <c r="K57" s="20" t="inlineStr">
        <is>
          <t>Por encima del 70% en una sola entidad, cualquier incidencia (bloqueo, fraude, caída del banco) te deja sin acceso a casi todo tu dinero.</t>
        </is>
      </c>
      <c r="P57" s="145" t="n"/>
      <c r="Q57" s="145" t="n"/>
      <c r="R57" s="145" t="n"/>
      <c r="S57" s="145" t="n"/>
      <c r="T57" s="145" t="n"/>
      <c r="U57" s="145" t="n"/>
      <c r="V57" s="145" t="n"/>
      <c r="W57" s="145" t="n"/>
      <c r="X57" s="145" t="n"/>
      <c r="Y57" s="145" t="n"/>
      <c r="Z57" s="145" t="n"/>
    </row>
    <row r="58" ht="15.75" customHeight="1" s="311">
      <c r="A58" s="145" t="n"/>
      <c r="B58" s="46" t="inlineStr">
        <is>
          <t>Diagnóstico de concentración</t>
        </is>
      </c>
      <c r="C58" s="145" t="n"/>
      <c r="D58" s="145" t="n"/>
      <c r="E58" s="145" t="n"/>
      <c r="F58" s="145" t="n"/>
      <c r="G58" s="62">
        <f>IF($G$57="","",IF($G$57&gt;0.7,"🔴 Muy concentrado",IF($G$57&gt;0.5,"🟡 Concentrado","✅ Repartido")))</f>
        <v/>
      </c>
      <c r="H58" s="145" t="n"/>
      <c r="I58" s="145" t="n"/>
      <c r="J58" s="145" t="n"/>
      <c r="P58" s="145" t="n"/>
      <c r="Q58" s="145" t="n"/>
      <c r="R58" s="145" t="n"/>
      <c r="S58" s="145" t="n"/>
      <c r="T58" s="145" t="n"/>
      <c r="U58" s="145" t="n"/>
      <c r="V58" s="145" t="n"/>
      <c r="W58" s="145" t="n"/>
      <c r="X58" s="145" t="n"/>
      <c r="Y58" s="145" t="n"/>
      <c r="Z58" s="145" t="n"/>
    </row>
    <row r="59" ht="15.75" customHeight="1" s="311">
      <c r="A59" s="145" t="n"/>
      <c r="B59" s="145" t="n"/>
      <c r="C59" s="145" t="n"/>
      <c r="D59" s="145" t="n"/>
      <c r="E59" s="145" t="n"/>
      <c r="F59" s="145" t="n"/>
      <c r="G59" s="145" t="n"/>
      <c r="H59" s="145" t="n"/>
      <c r="I59" s="145" t="n"/>
      <c r="J59" s="145" t="n"/>
      <c r="K59" s="145" t="n"/>
      <c r="L59" s="145" t="n"/>
      <c r="M59" s="145" t="n"/>
      <c r="N59" s="145" t="n"/>
      <c r="O59" s="145" t="n"/>
      <c r="P59" s="145" t="n"/>
      <c r="Q59" s="145" t="n"/>
      <c r="R59" s="145" t="n"/>
      <c r="S59" s="145" t="n"/>
      <c r="T59" s="145" t="n"/>
      <c r="U59" s="145" t="n"/>
      <c r="V59" s="145" t="n"/>
      <c r="W59" s="145" t="n"/>
      <c r="X59" s="145" t="n"/>
      <c r="Y59" s="145" t="n"/>
      <c r="Z59" s="145" t="n"/>
    </row>
    <row r="60" ht="15.75" customHeight="1" s="311">
      <c r="A60" s="145" t="n"/>
      <c r="B60" s="145" t="n"/>
      <c r="C60" s="145" t="n"/>
      <c r="D60" s="145" t="n"/>
      <c r="E60" s="145" t="n"/>
      <c r="F60" s="145" t="n"/>
      <c r="G60" s="145" t="n"/>
      <c r="H60" s="145" t="n"/>
      <c r="I60" s="145" t="n"/>
      <c r="J60" s="145" t="n"/>
      <c r="K60" s="145" t="n"/>
      <c r="L60" s="145" t="n"/>
      <c r="M60" s="145" t="n"/>
      <c r="N60" s="145" t="n"/>
      <c r="O60" s="145" t="n"/>
      <c r="P60" s="145" t="n"/>
      <c r="Q60" s="145" t="n"/>
      <c r="R60" s="145" t="n"/>
      <c r="S60" s="145" t="n"/>
      <c r="T60" s="145" t="n"/>
      <c r="U60" s="145" t="n"/>
      <c r="V60" s="145" t="n"/>
      <c r="W60" s="145" t="n"/>
      <c r="X60" s="145" t="n"/>
      <c r="Y60" s="145" t="n"/>
      <c r="Z60" s="145" t="n"/>
    </row>
    <row r="61" ht="15.75" customHeight="1" s="311">
      <c r="A61" s="145" t="n"/>
      <c r="B61" s="145" t="n"/>
      <c r="C61" s="145" t="n"/>
      <c r="D61" s="145" t="n"/>
      <c r="E61" s="145" t="n"/>
      <c r="F61" s="145" t="n"/>
      <c r="G61" s="145" t="n"/>
      <c r="H61" s="145" t="n"/>
      <c r="I61" s="145" t="n"/>
      <c r="J61" s="145" t="n"/>
      <c r="K61" s="145" t="n"/>
      <c r="L61" s="145" t="n"/>
      <c r="M61" s="145" t="n"/>
      <c r="N61" s="145" t="n"/>
      <c r="O61" s="145" t="n"/>
      <c r="P61" s="145" t="n"/>
      <c r="Q61" s="145" t="n"/>
      <c r="R61" s="145" t="n"/>
      <c r="S61" s="145" t="n"/>
      <c r="T61" s="145" t="n"/>
      <c r="U61" s="145" t="n"/>
      <c r="V61" s="145" t="n"/>
      <c r="W61" s="145" t="n"/>
      <c r="X61" s="145" t="n"/>
      <c r="Y61" s="145" t="n"/>
      <c r="Z61" s="145" t="n"/>
    </row>
    <row r="62" ht="15.75" customHeight="1" s="311">
      <c r="A62" s="145" t="n"/>
      <c r="B62" s="145" t="n"/>
      <c r="C62" s="145" t="n"/>
      <c r="D62" s="145" t="n"/>
      <c r="E62" s="145" t="n"/>
      <c r="F62" s="145" t="n"/>
      <c r="G62" s="145" t="n"/>
      <c r="H62" s="145" t="n"/>
      <c r="I62" s="145" t="n"/>
      <c r="J62" s="145" t="n"/>
      <c r="K62" s="145" t="n"/>
      <c r="L62" s="145" t="n"/>
      <c r="M62" s="145" t="n"/>
      <c r="N62" s="145" t="n"/>
      <c r="O62" s="145" t="n"/>
      <c r="P62" s="145" t="n"/>
      <c r="Q62" s="145" t="n"/>
      <c r="R62" s="145" t="n"/>
      <c r="S62" s="145" t="n"/>
      <c r="T62" s="145" t="n"/>
      <c r="U62" s="145" t="n"/>
      <c r="V62" s="145" t="n"/>
      <c r="W62" s="145" t="n"/>
      <c r="X62" s="145" t="n"/>
      <c r="Y62" s="145" t="n"/>
      <c r="Z62" s="145" t="n"/>
    </row>
    <row r="63" ht="15.75" customHeight="1" s="311">
      <c r="A63" s="145" t="n"/>
      <c r="B63" s="145" t="n"/>
      <c r="C63" s="145" t="n"/>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c r="W63" s="145" t="n"/>
      <c r="X63" s="145" t="n"/>
      <c r="Y63" s="145" t="n"/>
      <c r="Z63" s="145" t="n"/>
    </row>
    <row r="64" ht="15.75" customHeight="1" s="311">
      <c r="A64" s="145" t="n"/>
      <c r="B64" s="145" t="n"/>
      <c r="C64" s="145" t="n"/>
      <c r="D64" s="145" t="n"/>
      <c r="E64" s="145" t="n"/>
      <c r="F64" s="145" t="n"/>
      <c r="G64" s="145" t="n"/>
      <c r="H64" s="145" t="n"/>
      <c r="I64" s="145" t="n"/>
      <c r="J64" s="145" t="n"/>
      <c r="K64" s="145" t="n"/>
      <c r="L64" s="145" t="n"/>
      <c r="M64" s="145" t="n"/>
      <c r="N64" s="145" t="n"/>
      <c r="O64" s="145" t="n"/>
      <c r="P64" s="145" t="n"/>
      <c r="Q64" s="145" t="n"/>
      <c r="R64" s="145" t="n"/>
      <c r="S64" s="145" t="n"/>
      <c r="T64" s="145" t="n"/>
      <c r="U64" s="145" t="n"/>
      <c r="V64" s="145" t="n"/>
      <c r="W64" s="145" t="n"/>
      <c r="X64" s="145" t="n"/>
      <c r="Y64" s="145" t="n"/>
      <c r="Z64" s="145" t="n"/>
    </row>
    <row r="65" ht="15.75" customHeight="1" s="311">
      <c r="A65" s="145" t="n"/>
      <c r="B65" s="145" t="n"/>
      <c r="C65" s="145" t="n"/>
      <c r="D65" s="145" t="n"/>
      <c r="E65" s="145" t="n"/>
      <c r="F65" s="145" t="n"/>
      <c r="G65" s="145" t="n"/>
      <c r="H65" s="145" t="n"/>
      <c r="I65" s="145" t="n"/>
      <c r="J65" s="145" t="n"/>
      <c r="K65" s="145" t="n"/>
      <c r="L65" s="145" t="n"/>
      <c r="M65" s="145" t="n"/>
      <c r="N65" s="145" t="n"/>
      <c r="O65" s="145" t="n"/>
      <c r="P65" s="145" t="n"/>
      <c r="Q65" s="145" t="n"/>
      <c r="R65" s="145" t="n"/>
      <c r="S65" s="145" t="n"/>
      <c r="T65" s="145" t="n"/>
      <c r="U65" s="145" t="n"/>
      <c r="V65" s="145" t="n"/>
      <c r="W65" s="145" t="n"/>
      <c r="X65" s="145" t="n"/>
      <c r="Y65" s="145" t="n"/>
      <c r="Z65" s="145" t="n"/>
    </row>
    <row r="66" ht="15.75" customHeight="1" s="311">
      <c r="A66" s="145" t="n"/>
      <c r="B66" s="145" t="n"/>
      <c r="C66" s="145" t="n"/>
      <c r="D66" s="145" t="n"/>
      <c r="E66" s="145" t="n"/>
      <c r="F66" s="145" t="n"/>
      <c r="G66" s="145" t="n"/>
      <c r="H66" s="145" t="n"/>
      <c r="I66" s="145" t="n"/>
      <c r="J66" s="145" t="n"/>
      <c r="K66" s="145" t="n"/>
      <c r="L66" s="145" t="n"/>
      <c r="M66" s="145" t="n"/>
      <c r="N66" s="145" t="n"/>
      <c r="O66" s="145" t="n"/>
      <c r="P66" s="145" t="n"/>
      <c r="Q66" s="145" t="n"/>
      <c r="R66" s="145" t="n"/>
      <c r="S66" s="145" t="n"/>
      <c r="T66" s="145" t="n"/>
      <c r="U66" s="145" t="n"/>
      <c r="V66" s="145" t="n"/>
      <c r="W66" s="145" t="n"/>
      <c r="X66" s="145" t="n"/>
      <c r="Y66" s="145" t="n"/>
      <c r="Z66" s="145" t="n"/>
    </row>
    <row r="67" ht="15.75" customHeight="1" s="311">
      <c r="A67" s="145" t="n"/>
      <c r="B67" s="145" t="n"/>
      <c r="C67" s="145" t="n"/>
      <c r="D67" s="145" t="n"/>
      <c r="E67" s="145" t="n"/>
      <c r="F67" s="145" t="n"/>
      <c r="G67" s="145" t="n"/>
      <c r="H67" s="145" t="n"/>
      <c r="I67" s="145" t="n"/>
      <c r="J67" s="145" t="n"/>
      <c r="K67" s="145" t="n"/>
      <c r="L67" s="145" t="n"/>
      <c r="M67" s="145" t="n"/>
      <c r="N67" s="145" t="n"/>
      <c r="O67" s="145" t="n"/>
      <c r="P67" s="145" t="n"/>
      <c r="Q67" s="145" t="n"/>
      <c r="R67" s="145" t="n"/>
      <c r="S67" s="145" t="n"/>
      <c r="T67" s="145" t="n"/>
      <c r="U67" s="145" t="n"/>
      <c r="V67" s="145" t="n"/>
      <c r="W67" s="145" t="n"/>
      <c r="X67" s="145" t="n"/>
      <c r="Y67" s="145" t="n"/>
      <c r="Z67" s="145" t="n"/>
    </row>
    <row r="68" ht="15.75" customHeight="1" s="311">
      <c r="A68" s="145" t="n"/>
      <c r="B68" s="145" t="n"/>
      <c r="C68" s="145" t="n"/>
      <c r="D68" s="145" t="n"/>
      <c r="E68" s="145" t="n"/>
      <c r="F68" s="145" t="n"/>
      <c r="G68" s="145" t="n"/>
      <c r="H68" s="145" t="n"/>
      <c r="I68" s="145" t="n"/>
      <c r="J68" s="145" t="n"/>
      <c r="K68" s="145" t="n"/>
      <c r="L68" s="145" t="n"/>
      <c r="M68" s="145" t="n"/>
      <c r="N68" s="145" t="n"/>
      <c r="O68" s="145" t="n"/>
      <c r="P68" s="145" t="n"/>
      <c r="Q68" s="145" t="n"/>
      <c r="R68" s="145" t="n"/>
      <c r="S68" s="145" t="n"/>
      <c r="T68" s="145" t="n"/>
      <c r="U68" s="145" t="n"/>
      <c r="V68" s="145" t="n"/>
      <c r="W68" s="145" t="n"/>
      <c r="X68" s="145" t="n"/>
      <c r="Y68" s="145" t="n"/>
      <c r="Z68" s="145" t="n"/>
    </row>
    <row r="69" ht="15.75" customHeight="1" s="311">
      <c r="A69" s="145" t="n"/>
      <c r="B69" s="145" t="n"/>
      <c r="C69" s="145" t="n"/>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c r="W69" s="145" t="n"/>
      <c r="X69" s="145" t="n"/>
      <c r="Y69" s="145" t="n"/>
      <c r="Z69" s="145" t="n"/>
    </row>
    <row r="70" ht="15.75" customHeight="1" s="311">
      <c r="A70" s="145" t="n"/>
      <c r="B70" s="145" t="n"/>
      <c r="C70" s="145" t="n"/>
      <c r="D70" s="145" t="n"/>
      <c r="E70" s="145" t="n"/>
      <c r="F70" s="145" t="n"/>
      <c r="G70" s="145" t="n"/>
      <c r="H70" s="145" t="n"/>
      <c r="I70" s="145" t="n"/>
      <c r="J70" s="145" t="n"/>
      <c r="K70" s="145" t="n"/>
      <c r="L70" s="145" t="n"/>
      <c r="M70" s="145" t="n"/>
      <c r="N70" s="145" t="n"/>
      <c r="O70" s="145" t="n"/>
      <c r="P70" s="145" t="n"/>
      <c r="Q70" s="145" t="n"/>
      <c r="R70" s="145" t="n"/>
      <c r="S70" s="145" t="n"/>
      <c r="T70" s="145" t="n"/>
      <c r="U70" s="145" t="n"/>
      <c r="V70" s="145" t="n"/>
      <c r="W70" s="145" t="n"/>
      <c r="X70" s="145" t="n"/>
      <c r="Y70" s="145" t="n"/>
      <c r="Z70" s="145" t="n"/>
    </row>
    <row r="71" ht="15.75" customHeight="1" s="311">
      <c r="A71" s="145" t="n"/>
      <c r="B71" s="145" t="n"/>
      <c r="C71" s="145" t="n"/>
      <c r="D71" s="145" t="n"/>
      <c r="E71" s="145" t="n"/>
      <c r="F71" s="145" t="n"/>
      <c r="G71" s="145" t="n"/>
      <c r="H71" s="145" t="n"/>
      <c r="I71" s="145" t="n"/>
      <c r="J71" s="145" t="n"/>
      <c r="K71" s="145" t="n"/>
      <c r="L71" s="145" t="n"/>
      <c r="M71" s="145" t="n"/>
      <c r="N71" s="145" t="n"/>
      <c r="O71" s="145" t="n"/>
      <c r="P71" s="145" t="n"/>
      <c r="Q71" s="145" t="n"/>
      <c r="R71" s="145" t="n"/>
      <c r="S71" s="145" t="n"/>
      <c r="T71" s="145" t="n"/>
      <c r="U71" s="145" t="n"/>
      <c r="V71" s="145" t="n"/>
      <c r="W71" s="145" t="n"/>
      <c r="X71" s="145" t="n"/>
      <c r="Y71" s="145" t="n"/>
      <c r="Z71" s="145" t="n"/>
    </row>
    <row r="72" ht="15.75" customHeight="1" s="311">
      <c r="A72" s="145" t="n"/>
      <c r="B72" s="145" t="n"/>
      <c r="C72" s="145" t="n"/>
      <c r="D72" s="145" t="n"/>
      <c r="E72" s="145" t="n"/>
      <c r="F72" s="145" t="n"/>
      <c r="G72" s="145" t="n"/>
      <c r="H72" s="145" t="n"/>
      <c r="I72" s="145" t="n"/>
      <c r="J72" s="145" t="n"/>
      <c r="K72" s="145" t="n"/>
      <c r="L72" s="145" t="n"/>
      <c r="M72" s="145" t="n"/>
      <c r="N72" s="145" t="n"/>
      <c r="O72" s="145" t="n"/>
      <c r="P72" s="145" t="n"/>
      <c r="Q72" s="145" t="n"/>
      <c r="R72" s="145" t="n"/>
      <c r="S72" s="145" t="n"/>
      <c r="T72" s="145" t="n"/>
      <c r="U72" s="145" t="n"/>
      <c r="V72" s="145" t="n"/>
      <c r="W72" s="145" t="n"/>
      <c r="X72" s="145" t="n"/>
      <c r="Y72" s="145" t="n"/>
      <c r="Z72" s="145" t="n"/>
    </row>
    <row r="73" ht="15.75" customHeight="1" s="311">
      <c r="A73" s="145" t="n"/>
      <c r="B73" s="145" t="n"/>
      <c r="C73" s="145" t="n"/>
      <c r="D73" s="145" t="n"/>
      <c r="E73" s="145" t="n"/>
      <c r="F73" s="145" t="n"/>
      <c r="G73" s="145" t="n"/>
      <c r="H73" s="145" t="n"/>
      <c r="I73" s="145" t="n"/>
      <c r="J73" s="145" t="n"/>
      <c r="K73" s="145" t="n"/>
      <c r="L73" s="145" t="n"/>
      <c r="M73" s="145" t="n"/>
      <c r="N73" s="145" t="n"/>
      <c r="O73" s="145" t="n"/>
      <c r="P73" s="145" t="n"/>
      <c r="Q73" s="145" t="n"/>
      <c r="R73" s="145" t="n"/>
      <c r="S73" s="145" t="n"/>
      <c r="T73" s="145" t="n"/>
      <c r="U73" s="145" t="n"/>
      <c r="V73" s="145" t="n"/>
      <c r="W73" s="145" t="n"/>
      <c r="X73" s="145" t="n"/>
      <c r="Y73" s="145" t="n"/>
      <c r="Z73" s="145" t="n"/>
    </row>
    <row r="74" ht="15.75" customHeight="1" s="311">
      <c r="A74" s="145" t="n"/>
      <c r="B74" s="145" t="n"/>
      <c r="C74" s="145"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5" t="n"/>
      <c r="Y74" s="145" t="n"/>
      <c r="Z74" s="145" t="n"/>
    </row>
    <row r="75" ht="15.75" customHeight="1" s="311">
      <c r="A75" s="145" t="n"/>
      <c r="B75" s="145" t="n"/>
      <c r="C75" s="145"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5" t="n"/>
      <c r="Y75" s="145" t="n"/>
      <c r="Z75" s="145" t="n"/>
    </row>
    <row r="76" ht="15.75" customHeight="1" s="311">
      <c r="A76" s="145" t="n"/>
      <c r="B76" s="145" t="n"/>
      <c r="C76" s="145"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5" t="n"/>
      <c r="Y76" s="145" t="n"/>
      <c r="Z76" s="145" t="n"/>
    </row>
    <row r="77" ht="15.75" customHeight="1" s="311">
      <c r="A77" s="145" t="n"/>
      <c r="B77" s="145" t="n"/>
      <c r="C77" s="145" t="n"/>
      <c r="D77" s="145" t="n"/>
      <c r="E77" s="145" t="n"/>
      <c r="F77" s="145" t="n"/>
      <c r="G77" s="145" t="n"/>
      <c r="H77" s="145" t="n"/>
      <c r="I77" s="145" t="n"/>
      <c r="J77" s="145" t="n"/>
      <c r="K77" s="145" t="n"/>
      <c r="L77" s="145" t="n"/>
      <c r="M77" s="145" t="n"/>
      <c r="N77" s="145" t="n"/>
      <c r="O77" s="145" t="n"/>
      <c r="P77" s="145" t="n"/>
      <c r="Q77" s="145" t="n"/>
      <c r="R77" s="145" t="n"/>
      <c r="S77" s="145" t="n"/>
      <c r="T77" s="145" t="n"/>
      <c r="U77" s="145" t="n"/>
      <c r="V77" s="145" t="n"/>
      <c r="W77" s="145" t="n"/>
      <c r="X77" s="145" t="n"/>
      <c r="Y77" s="145" t="n"/>
      <c r="Z77" s="145" t="n"/>
    </row>
    <row r="78" ht="15.75" customHeight="1" s="311">
      <c r="A78" s="145" t="n"/>
      <c r="B78" s="145" t="n"/>
      <c r="C78" s="145" t="n"/>
      <c r="D78" s="145" t="n"/>
      <c r="E78" s="145" t="n"/>
      <c r="F78" s="145" t="n"/>
      <c r="G78" s="145" t="n"/>
      <c r="H78" s="145" t="n"/>
      <c r="I78" s="145" t="n"/>
      <c r="J78" s="145" t="n"/>
      <c r="K78" s="145" t="n"/>
      <c r="L78" s="145" t="n"/>
      <c r="M78" s="145" t="n"/>
      <c r="N78" s="145" t="n"/>
      <c r="O78" s="145" t="n"/>
      <c r="P78" s="145" t="n"/>
      <c r="Q78" s="145" t="n"/>
      <c r="R78" s="145" t="n"/>
      <c r="S78" s="145" t="n"/>
      <c r="T78" s="145" t="n"/>
      <c r="U78" s="145" t="n"/>
      <c r="V78" s="145" t="n"/>
      <c r="W78" s="145" t="n"/>
      <c r="X78" s="145" t="n"/>
      <c r="Y78" s="145" t="n"/>
      <c r="Z78" s="145" t="n"/>
    </row>
    <row r="79" ht="15.75" customHeight="1" s="311">
      <c r="A79" s="145" t="n"/>
      <c r="B79" s="145" t="n"/>
      <c r="C79" s="145" t="n"/>
      <c r="D79" s="145" t="n"/>
      <c r="E79" s="145" t="n"/>
      <c r="F79" s="145" t="n"/>
      <c r="G79" s="145" t="n"/>
      <c r="H79" s="145" t="n"/>
      <c r="I79" s="145" t="n"/>
      <c r="J79" s="145" t="n"/>
      <c r="K79" s="145" t="n"/>
      <c r="L79" s="145" t="n"/>
      <c r="M79" s="145" t="n"/>
      <c r="N79" s="145" t="n"/>
      <c r="O79" s="145" t="n"/>
      <c r="P79" s="145" t="n"/>
      <c r="Q79" s="145" t="n"/>
      <c r="R79" s="145" t="n"/>
      <c r="S79" s="145" t="n"/>
      <c r="T79" s="145" t="n"/>
      <c r="U79" s="145" t="n"/>
      <c r="V79" s="145" t="n"/>
      <c r="W79" s="145" t="n"/>
      <c r="X79" s="145" t="n"/>
      <c r="Y79" s="145" t="n"/>
      <c r="Z79" s="145" t="n"/>
    </row>
    <row r="80" ht="15.75" customHeight="1" s="311">
      <c r="A80" s="145" t="n"/>
      <c r="B80" s="145" t="n"/>
      <c r="C80" s="145" t="n"/>
      <c r="D80" s="145" t="n"/>
      <c r="E80" s="145" t="n"/>
      <c r="F80" s="145" t="n"/>
      <c r="G80" s="145" t="n"/>
      <c r="H80" s="145" t="n"/>
      <c r="I80" s="145" t="n"/>
      <c r="J80" s="145" t="n"/>
      <c r="K80" s="145" t="n"/>
      <c r="L80" s="145" t="n"/>
      <c r="M80" s="145" t="n"/>
      <c r="N80" s="145" t="n"/>
      <c r="O80" s="145" t="n"/>
      <c r="P80" s="145" t="n"/>
      <c r="Q80" s="145" t="n"/>
      <c r="R80" s="145" t="n"/>
      <c r="S80" s="145" t="n"/>
      <c r="T80" s="145" t="n"/>
      <c r="U80" s="145" t="n"/>
      <c r="V80" s="145" t="n"/>
      <c r="W80" s="145" t="n"/>
      <c r="X80" s="145" t="n"/>
      <c r="Y80" s="145" t="n"/>
      <c r="Z80" s="145" t="n"/>
    </row>
    <row r="81" ht="15.75" customHeight="1" s="311">
      <c r="A81" s="145" t="n"/>
      <c r="B81" s="145" t="n"/>
      <c r="C81" s="145"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5" t="n"/>
      <c r="Y81" s="145" t="n"/>
      <c r="Z81" s="145"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5" t="n"/>
      <c r="Y82" s="145" t="n"/>
      <c r="Z82" s="145"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5" t="n"/>
      <c r="Y83" s="145" t="n"/>
      <c r="Z83" s="145" t="n"/>
    </row>
    <row r="84" ht="15.75" customHeight="1" s="311">
      <c r="A84" s="145" t="n"/>
      <c r="B84" s="145" t="n"/>
      <c r="C84" s="145" t="n"/>
      <c r="D84" s="145" t="n"/>
      <c r="E84" s="145" t="n"/>
      <c r="F84" s="145" t="n"/>
      <c r="G84" s="145" t="n"/>
      <c r="H84" s="145" t="n"/>
      <c r="I84" s="145" t="n"/>
      <c r="J84" s="145" t="n"/>
      <c r="K84" s="145" t="n"/>
      <c r="L84" s="145" t="n"/>
      <c r="M84" s="145" t="n"/>
      <c r="N84" s="145" t="n"/>
      <c r="O84" s="145" t="n"/>
      <c r="P84" s="145" t="n"/>
      <c r="Q84" s="145" t="n"/>
      <c r="R84" s="145" t="n"/>
      <c r="S84" s="145" t="n"/>
      <c r="T84" s="145" t="n"/>
      <c r="U84" s="145" t="n"/>
      <c r="V84" s="145" t="n"/>
      <c r="W84" s="145" t="n"/>
      <c r="X84" s="145" t="n"/>
      <c r="Y84" s="145" t="n"/>
      <c r="Z84" s="145" t="n"/>
    </row>
    <row r="85" ht="15.75" customHeight="1" s="311">
      <c r="A85" s="145" t="n"/>
      <c r="B85" s="145" t="n"/>
      <c r="C85" s="145" t="n"/>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5" t="n"/>
      <c r="Y85" s="145" t="n"/>
      <c r="Z85" s="145" t="n"/>
    </row>
    <row r="86" ht="15.75" customHeight="1" s="311">
      <c r="A86" s="145" t="n"/>
      <c r="B86" s="145" t="n"/>
      <c r="C86" s="145" t="n"/>
      <c r="D86" s="145" t="n"/>
      <c r="E86" s="145" t="n"/>
      <c r="F86" s="145" t="n"/>
      <c r="G86" s="145" t="n"/>
      <c r="H86" s="145" t="n"/>
      <c r="I86" s="145" t="n"/>
      <c r="J86" s="145" t="n"/>
      <c r="K86" s="145" t="n"/>
      <c r="L86" s="145" t="n"/>
      <c r="M86" s="145" t="n"/>
      <c r="N86" s="145" t="n"/>
      <c r="O86" s="145" t="n"/>
      <c r="P86" s="145" t="n"/>
      <c r="Q86" s="145" t="n"/>
      <c r="R86" s="145" t="n"/>
      <c r="S86" s="145" t="n"/>
      <c r="T86" s="145" t="n"/>
      <c r="U86" s="145" t="n"/>
      <c r="V86" s="145" t="n"/>
      <c r="W86" s="145" t="n"/>
      <c r="X86" s="145" t="n"/>
      <c r="Y86" s="145" t="n"/>
      <c r="Z86" s="145" t="n"/>
    </row>
    <row r="87" ht="15.75" customHeight="1" s="311">
      <c r="A87" s="145" t="n"/>
      <c r="B87" s="145" t="n"/>
      <c r="C87" s="145" t="n"/>
      <c r="D87" s="145" t="n"/>
      <c r="E87" s="145" t="n"/>
      <c r="F87" s="145" t="n"/>
      <c r="G87" s="145" t="n"/>
      <c r="H87" s="145" t="n"/>
      <c r="I87" s="145" t="n"/>
      <c r="J87" s="145" t="n"/>
      <c r="K87" s="145" t="n"/>
      <c r="L87" s="145" t="n"/>
      <c r="M87" s="145" t="n"/>
      <c r="N87" s="145" t="n"/>
      <c r="O87" s="145" t="n"/>
      <c r="P87" s="145" t="n"/>
      <c r="Q87" s="145" t="n"/>
      <c r="R87" s="145" t="n"/>
      <c r="S87" s="145" t="n"/>
      <c r="T87" s="145" t="n"/>
      <c r="U87" s="145" t="n"/>
      <c r="V87" s="145" t="n"/>
      <c r="W87" s="145" t="n"/>
      <c r="X87" s="145" t="n"/>
      <c r="Y87" s="145" t="n"/>
      <c r="Z87" s="145" t="n"/>
    </row>
    <row r="88" ht="15.75" customHeight="1" s="311">
      <c r="A88" s="145" t="n"/>
      <c r="B88" s="145" t="n"/>
      <c r="C88" s="145" t="n"/>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5" t="n"/>
      <c r="Y88" s="145" t="n"/>
      <c r="Z88" s="145" t="n"/>
    </row>
    <row r="89" ht="15.75" customHeight="1" s="311">
      <c r="A89" s="145" t="n"/>
      <c r="B89" s="145" t="n"/>
      <c r="C89" s="145" t="n"/>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5" t="n"/>
      <c r="Y89" s="145" t="n"/>
      <c r="Z89" s="145" t="n"/>
    </row>
    <row r="90" ht="15.75" customHeight="1" s="311">
      <c r="A90" s="145" t="n"/>
      <c r="B90" s="145" t="n"/>
      <c r="C90" s="145" t="n"/>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5" t="n"/>
      <c r="Y90" s="145" t="n"/>
      <c r="Z90" s="145" t="n"/>
    </row>
    <row r="91" ht="15.75" customHeight="1" s="311">
      <c r="A91" s="145" t="n"/>
      <c r="B91" s="145" t="n"/>
      <c r="C91" s="145" t="n"/>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5" t="n"/>
      <c r="Y91" s="145" t="n"/>
      <c r="Z91" s="145" t="n"/>
    </row>
    <row r="92" ht="15.75" customHeight="1" s="311">
      <c r="A92" s="145" t="n"/>
      <c r="B92" s="145" t="n"/>
      <c r="C92" s="145"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5" t="n"/>
      <c r="Y92" s="145" t="n"/>
      <c r="Z92" s="145" t="n"/>
    </row>
    <row r="93" ht="15.75" customHeight="1" s="311">
      <c r="A93" s="145" t="n"/>
      <c r="B93" s="145" t="n"/>
      <c r="C93" s="145"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5" t="n"/>
      <c r="Y93" s="145" t="n"/>
      <c r="Z93" s="145" t="n"/>
    </row>
    <row r="94" ht="15.75" customHeight="1" s="311">
      <c r="A94" s="145" t="n"/>
      <c r="B94" s="145" t="n"/>
      <c r="C94" s="145"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5" t="n"/>
      <c r="Y94" s="145" t="n"/>
      <c r="Z94" s="145" t="n"/>
    </row>
    <row r="95" ht="15.75" customHeight="1" s="311">
      <c r="A95" s="145" t="n"/>
      <c r="B95" s="145" t="n"/>
      <c r="C95" s="145"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5" t="n"/>
      <c r="Y95" s="145" t="n"/>
      <c r="Z95" s="145" t="n"/>
    </row>
    <row r="96" ht="15.75" customHeight="1" s="311">
      <c r="A96" s="145" t="n"/>
      <c r="B96" s="145" t="n"/>
      <c r="C96" s="145"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5" t="n"/>
      <c r="Y96" s="145" t="n"/>
      <c r="Z96" s="145" t="n"/>
    </row>
    <row r="97" ht="15.75" customHeight="1" s="311">
      <c r="A97" s="145" t="n"/>
      <c r="B97" s="145" t="n"/>
      <c r="C97" s="145"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5" t="n"/>
      <c r="Y97" s="145" t="n"/>
      <c r="Z97" s="145" t="n"/>
    </row>
    <row r="98" ht="15.75" customHeight="1" s="311">
      <c r="A98" s="145" t="n"/>
      <c r="B98" s="145" t="n"/>
      <c r="C98" s="145"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5" t="n"/>
      <c r="Y98" s="145" t="n"/>
      <c r="Z98" s="145" t="n"/>
    </row>
    <row r="99" ht="15.75" customHeight="1" s="311">
      <c r="A99" s="145" t="n"/>
      <c r="B99" s="145" t="n"/>
      <c r="C99" s="145"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5" t="n"/>
      <c r="Y99" s="145" t="n"/>
      <c r="Z99" s="145" t="n"/>
    </row>
    <row r="100" ht="15.75" customHeight="1" s="311">
      <c r="A100" s="145" t="n"/>
      <c r="B100" s="145" t="n"/>
      <c r="C100" s="145" t="n"/>
      <c r="D100" s="145" t="n"/>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5" t="n"/>
      <c r="Y100" s="145" t="n"/>
      <c r="Z100" s="145" t="n"/>
    </row>
    <row r="101" ht="15.75" customHeight="1" s="311">
      <c r="A101" s="145" t="n"/>
      <c r="B101" s="145" t="n"/>
      <c r="C101" s="145" t="n"/>
      <c r="D101" s="145" t="n"/>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5" t="n"/>
      <c r="Y101" s="145" t="n"/>
      <c r="Z101" s="145" t="n"/>
    </row>
    <row r="102" ht="15.75" customHeight="1" s="311">
      <c r="A102" s="145" t="n"/>
      <c r="B102" s="145" t="n"/>
      <c r="C102" s="145" t="n"/>
      <c r="D102" s="145" t="n"/>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5" t="n"/>
      <c r="Y102" s="145" t="n"/>
      <c r="Z102" s="145" t="n"/>
    </row>
    <row r="103" ht="15.75" customHeight="1" s="311">
      <c r="A103" s="145" t="n"/>
      <c r="B103" s="145" t="n"/>
      <c r="C103" s="145" t="n"/>
      <c r="D103" s="145" t="n"/>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5" t="n"/>
      <c r="Y103" s="145" t="n"/>
      <c r="Z103" s="145" t="n"/>
    </row>
    <row r="104" ht="15.75" customHeight="1" s="311">
      <c r="A104" s="145" t="n"/>
      <c r="B104" s="145" t="n"/>
      <c r="C104" s="145" t="n"/>
      <c r="D104" s="145" t="n"/>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5" t="n"/>
      <c r="Y104" s="145" t="n"/>
      <c r="Z104" s="145" t="n"/>
    </row>
    <row r="105" ht="15.75" customHeight="1" s="311">
      <c r="A105" s="145" t="n"/>
      <c r="B105" s="145" t="n"/>
      <c r="C105" s="145" t="n"/>
      <c r="D105" s="145" t="n"/>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5" t="n"/>
      <c r="Y105" s="145" t="n"/>
      <c r="Z105" s="145" t="n"/>
    </row>
    <row r="106" ht="15.75" customHeight="1" s="311">
      <c r="A106" s="145" t="n"/>
      <c r="B106" s="145" t="n"/>
      <c r="C106" s="145"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5" t="n"/>
      <c r="Y106" s="145" t="n"/>
      <c r="Z106" s="145" t="n"/>
    </row>
    <row r="107" ht="15.75" customHeight="1" s="311">
      <c r="A107" s="145" t="n"/>
      <c r="B107" s="145" t="n"/>
      <c r="C107" s="145"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5" t="n"/>
      <c r="Y107" s="145" t="n"/>
      <c r="Z107" s="145" t="n"/>
    </row>
    <row r="108" ht="15.75" customHeight="1" s="311">
      <c r="A108" s="145" t="n"/>
      <c r="B108" s="145" t="n"/>
      <c r="C108" s="145" t="n"/>
      <c r="D108" s="145" t="n"/>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5" t="n"/>
      <c r="Y108" s="145" t="n"/>
      <c r="Z108" s="145" t="n"/>
    </row>
    <row r="109" ht="15.75" customHeight="1" s="311">
      <c r="A109" s="145" t="n"/>
      <c r="B109" s="145" t="n"/>
      <c r="C109" s="145" t="n"/>
      <c r="D109" s="145" t="n"/>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5" t="n"/>
      <c r="Y109" s="145" t="n"/>
      <c r="Z109" s="145" t="n"/>
    </row>
    <row r="110" ht="15.75" customHeight="1" s="311">
      <c r="A110" s="145" t="n"/>
      <c r="B110" s="145" t="n"/>
      <c r="C110" s="145" t="n"/>
      <c r="D110" s="145" t="n"/>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5" t="n"/>
      <c r="Y110" s="145" t="n"/>
      <c r="Z110" s="145" t="n"/>
    </row>
    <row r="111" ht="15.75" customHeight="1" s="311">
      <c r="A111" s="145" t="n"/>
      <c r="B111" s="145" t="n"/>
      <c r="C111" s="145" t="n"/>
      <c r="D111" s="145" t="n"/>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5" t="n"/>
      <c r="Y111" s="145" t="n"/>
      <c r="Z111" s="145" t="n"/>
    </row>
    <row r="112" ht="15.75" customHeight="1" s="311">
      <c r="A112" s="145" t="n"/>
      <c r="B112" s="145" t="n"/>
      <c r="C112" s="145" t="n"/>
      <c r="D112" s="145" t="n"/>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5" t="n"/>
      <c r="Y112" s="145" t="n"/>
      <c r="Z112" s="145" t="n"/>
    </row>
    <row r="113" ht="15.75" customHeight="1" s="311">
      <c r="A113" s="145" t="n"/>
      <c r="B113" s="145" t="n"/>
      <c r="C113" s="145" t="n"/>
      <c r="D113" s="145" t="n"/>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5" t="n"/>
      <c r="Y113" s="145" t="n"/>
      <c r="Z113" s="145" t="n"/>
    </row>
    <row r="114" ht="15.75" customHeight="1" s="311">
      <c r="A114" s="145" t="n"/>
      <c r="B114" s="145" t="n"/>
      <c r="C114" s="145" t="n"/>
      <c r="D114" s="145" t="n"/>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5" t="n"/>
      <c r="Y114" s="145" t="n"/>
      <c r="Z114" s="145" t="n"/>
    </row>
    <row r="115" ht="15.75" customHeight="1" s="311">
      <c r="A115" s="145" t="n"/>
      <c r="B115" s="145" t="n"/>
      <c r="C115" s="145" t="n"/>
      <c r="D115" s="145" t="n"/>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5" t="n"/>
      <c r="Y115" s="145" t="n"/>
      <c r="Z115" s="145" t="n"/>
    </row>
    <row r="116" ht="15.75" customHeight="1" s="311">
      <c r="A116" s="145" t="n"/>
      <c r="B116" s="145" t="n"/>
      <c r="C116" s="145"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5" t="n"/>
      <c r="Y116" s="145" t="n"/>
      <c r="Z116" s="145" t="n"/>
    </row>
    <row r="117" ht="15.75" customHeight="1" s="311">
      <c r="A117" s="145" t="n"/>
      <c r="B117" s="145" t="n"/>
      <c r="C117" s="145"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5" t="n"/>
      <c r="Y117" s="145" t="n"/>
      <c r="Z117" s="145" t="n"/>
    </row>
    <row r="118" ht="15.75" customHeight="1" s="311">
      <c r="A118" s="145" t="n"/>
      <c r="B118" s="145" t="n"/>
      <c r="C118" s="145"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5" t="n"/>
      <c r="Y118" s="145" t="n"/>
      <c r="Z118" s="145" t="n"/>
    </row>
    <row r="119" ht="15.75" customHeight="1" s="311">
      <c r="A119" s="145" t="n"/>
      <c r="B119" s="145" t="n"/>
      <c r="C119" s="145"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5" t="n"/>
      <c r="Y119" s="145" t="n"/>
      <c r="Z119" s="145" t="n"/>
    </row>
    <row r="120" ht="15.75" customHeight="1" s="311">
      <c r="A120" s="145" t="n"/>
      <c r="B120" s="145" t="n"/>
      <c r="C120" s="145"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5" t="n"/>
      <c r="Y120" s="145" t="n"/>
      <c r="Z120" s="145" t="n"/>
    </row>
    <row r="121" ht="15.75" customHeight="1" s="311">
      <c r="A121" s="145" t="n"/>
      <c r="B121" s="145" t="n"/>
      <c r="C121" s="145"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5" t="n"/>
      <c r="Y121" s="145" t="n"/>
      <c r="Z121" s="145" t="n"/>
    </row>
    <row r="122" ht="15.75" customHeight="1" s="311">
      <c r="A122" s="145" t="n"/>
      <c r="B122" s="145" t="n"/>
      <c r="C122" s="145"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5" t="n"/>
      <c r="Y122" s="145" t="n"/>
      <c r="Z122" s="145" t="n"/>
    </row>
    <row r="123" ht="15.75" customHeight="1" s="311">
      <c r="A123" s="145" t="n"/>
      <c r="B123" s="145" t="n"/>
      <c r="C123" s="145"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5" t="n"/>
      <c r="Y123" s="145" t="n"/>
      <c r="Z123" s="145" t="n"/>
    </row>
    <row r="124" ht="15.75" customHeight="1" s="311">
      <c r="A124" s="145" t="n"/>
      <c r="B124" s="145" t="n"/>
      <c r="C124" s="145"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5" t="n"/>
      <c r="Y124" s="145" t="n"/>
      <c r="Z124" s="145" t="n"/>
    </row>
    <row r="125" ht="15.75" customHeight="1" s="311">
      <c r="A125" s="145" t="n"/>
      <c r="B125" s="145" t="n"/>
      <c r="C125" s="145"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5" t="n"/>
      <c r="Y125" s="145" t="n"/>
      <c r="Z125" s="145" t="n"/>
    </row>
    <row r="126" ht="15.75" customHeight="1" s="311">
      <c r="A126" s="145" t="n"/>
      <c r="B126" s="145" t="n"/>
      <c r="C126" s="145"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5" t="n"/>
      <c r="Y126" s="145" t="n"/>
      <c r="Z126" s="145" t="n"/>
    </row>
    <row r="127" ht="15.75" customHeight="1" s="311">
      <c r="A127" s="145" t="n"/>
      <c r="B127" s="145" t="n"/>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45" t="n"/>
      <c r="Z127" s="145"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45" t="n"/>
      <c r="Z128" s="145" t="n"/>
    </row>
    <row r="129" ht="15.75" customHeight="1" s="311">
      <c r="A129" s="145" t="n"/>
      <c r="B129" s="145" t="n"/>
      <c r="C129" s="145"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5" t="n"/>
      <c r="Y129" s="145" t="n"/>
      <c r="Z129" s="145" t="n"/>
    </row>
    <row r="130" ht="15.75" customHeight="1" s="311">
      <c r="A130" s="145" t="n"/>
      <c r="B130" s="145" t="n"/>
      <c r="C130" s="145"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5" t="n"/>
      <c r="Y130" s="145" t="n"/>
      <c r="Z130" s="145" t="n"/>
    </row>
    <row r="131" ht="15.75" customHeight="1" s="311">
      <c r="A131" s="145" t="n"/>
      <c r="B131" s="145" t="n"/>
      <c r="C131" s="145"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5" t="n"/>
      <c r="Y131" s="145" t="n"/>
      <c r="Z131" s="145" t="n"/>
    </row>
    <row r="132" ht="15.75" customHeight="1" s="311">
      <c r="A132" s="145" t="n"/>
      <c r="B132" s="145" t="n"/>
      <c r="C132" s="145"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5" t="n"/>
      <c r="Y132" s="145" t="n"/>
      <c r="Z132" s="145" t="n"/>
    </row>
    <row r="133" ht="15.75" customHeight="1" s="311">
      <c r="A133" s="145" t="n"/>
      <c r="B133" s="145" t="n"/>
      <c r="C133" s="145"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5" t="n"/>
      <c r="Y133" s="145" t="n"/>
      <c r="Z133" s="145" t="n"/>
    </row>
    <row r="134" ht="15.75" customHeight="1" s="311">
      <c r="A134" s="145" t="n"/>
      <c r="B134" s="145" t="n"/>
      <c r="C134" s="145"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5" t="n"/>
      <c r="Y134" s="145" t="n"/>
      <c r="Z134" s="145" t="n"/>
    </row>
    <row r="135" ht="15.75" customHeight="1" s="311">
      <c r="A135" s="145" t="n"/>
      <c r="B135" s="145" t="n"/>
      <c r="C135" s="145"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5" t="n"/>
      <c r="Y135" s="145" t="n"/>
      <c r="Z135" s="145" t="n"/>
    </row>
    <row r="136" ht="15.75" customHeight="1" s="311">
      <c r="A136" s="145" t="n"/>
      <c r="B136" s="145" t="n"/>
      <c r="C136" s="145"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5" t="n"/>
      <c r="Y136" s="145" t="n"/>
      <c r="Z136" s="145" t="n"/>
    </row>
    <row r="137" ht="15.75" customHeight="1" s="311">
      <c r="A137" s="145" t="n"/>
      <c r="B137" s="145" t="n"/>
      <c r="C137" s="145"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5" t="n"/>
      <c r="Y137" s="145" t="n"/>
      <c r="Z137" s="145"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5" t="n"/>
      <c r="Y138" s="145" t="n"/>
      <c r="Z138" s="145" t="n"/>
    </row>
    <row r="139" ht="15.75" customHeight="1" s="311">
      <c r="A139" s="145" t="n"/>
      <c r="B139" s="145" t="n"/>
      <c r="C139" s="145"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5" t="n"/>
      <c r="Y139" s="145" t="n"/>
      <c r="Z139" s="145" t="n"/>
    </row>
    <row r="140" ht="15.75" customHeight="1" s="311">
      <c r="A140" s="145" t="n"/>
      <c r="B140" s="145" t="n"/>
      <c r="C140" s="145"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5" t="n"/>
      <c r="Y140" s="145" t="n"/>
      <c r="Z140" s="145" t="n"/>
    </row>
    <row r="141" ht="15.75" customHeight="1" s="311">
      <c r="A141" s="145" t="n"/>
      <c r="B141" s="145" t="n"/>
      <c r="C141" s="145"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5" t="n"/>
      <c r="Y141" s="145" t="n"/>
      <c r="Z141" s="145" t="n"/>
    </row>
    <row r="142" ht="15.75" customHeight="1" s="311">
      <c r="A142" s="145" t="n"/>
      <c r="B142" s="145" t="n"/>
      <c r="C142" s="145"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5" t="n"/>
      <c r="Y142" s="145" t="n"/>
      <c r="Z142" s="145" t="n"/>
    </row>
    <row r="143" ht="15.75" customHeight="1" s="311">
      <c r="A143" s="145" t="n"/>
      <c r="B143" s="145" t="n"/>
      <c r="C143" s="145"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5" t="n"/>
      <c r="Y143" s="145" t="n"/>
      <c r="Z143" s="145" t="n"/>
    </row>
    <row r="144" ht="15.75" customHeight="1" s="311">
      <c r="A144" s="145" t="n"/>
      <c r="B144" s="145" t="n"/>
      <c r="C144" s="145"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5" t="n"/>
      <c r="Y144" s="145" t="n"/>
      <c r="Z144" s="145" t="n"/>
    </row>
    <row r="145" ht="15.75" customHeight="1" s="311">
      <c r="A145" s="145" t="n"/>
      <c r="B145" s="145" t="n"/>
      <c r="C145" s="145"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5" t="n"/>
      <c r="Y145" s="145" t="n"/>
      <c r="Z145" s="145" t="n"/>
    </row>
    <row r="146" ht="15.75" customHeight="1" s="311">
      <c r="A146" s="145" t="n"/>
      <c r="B146" s="145" t="n"/>
      <c r="C146" s="145"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5" t="n"/>
      <c r="Y146" s="145" t="n"/>
      <c r="Z146" s="145"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5" t="n"/>
      <c r="Y147" s="145" t="n"/>
      <c r="Z147" s="145"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45" t="n"/>
      <c r="Z148" s="145" t="n"/>
    </row>
    <row r="149" ht="15.75" customHeight="1" s="311">
      <c r="A149" s="145" t="n"/>
      <c r="B149" s="145" t="n"/>
      <c r="C149" s="145"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5" t="n"/>
      <c r="Y149" s="145" t="n"/>
      <c r="Z149" s="145" t="n"/>
    </row>
    <row r="150" ht="15.75" customHeight="1" s="311">
      <c r="A150" s="145" t="n"/>
      <c r="B150" s="145" t="n"/>
      <c r="C150" s="145"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5" t="n"/>
      <c r="Y150" s="145" t="n"/>
      <c r="Z150" s="145" t="n"/>
    </row>
    <row r="151" ht="15.75" customHeight="1" s="311">
      <c r="A151" s="145" t="n"/>
      <c r="B151" s="145" t="n"/>
      <c r="C151" s="145"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45" t="n"/>
      <c r="Z151" s="145" t="n"/>
    </row>
    <row r="152" ht="15.75" customHeight="1" s="311">
      <c r="A152" s="145" t="n"/>
      <c r="B152" s="145" t="n"/>
      <c r="C152" s="145"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5" t="n"/>
      <c r="Y152" s="145" t="n"/>
      <c r="Z152" s="145" t="n"/>
    </row>
    <row r="153" ht="15.75" customHeight="1" s="311">
      <c r="A153" s="145" t="n"/>
      <c r="B153" s="145" t="n"/>
      <c r="C153" s="145"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5" t="n"/>
      <c r="Y153" s="145" t="n"/>
      <c r="Z153" s="145" t="n"/>
    </row>
    <row r="154" ht="15.75" customHeight="1" s="311">
      <c r="A154" s="145" t="n"/>
      <c r="B154" s="145" t="n"/>
      <c r="C154" s="145"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5" t="n"/>
      <c r="Y154" s="145" t="n"/>
      <c r="Z154" s="145" t="n"/>
    </row>
    <row r="155" ht="15.75" customHeight="1" s="311">
      <c r="A155" s="145" t="n"/>
      <c r="B155" s="145" t="n"/>
      <c r="C155" s="145"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5" t="n"/>
      <c r="Y155" s="145" t="n"/>
      <c r="Z155" s="145"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5" t="n"/>
      <c r="Y156" s="145" t="n"/>
      <c r="Z156" s="145" t="n"/>
    </row>
    <row r="157" ht="15.75" customHeight="1" s="311">
      <c r="A157" s="145" t="n"/>
      <c r="B157" s="145" t="n"/>
      <c r="C157" s="145"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5" t="n"/>
      <c r="Y157" s="145" t="n"/>
      <c r="Z157" s="145" t="n"/>
    </row>
    <row r="158" ht="15.75" customHeight="1" s="311">
      <c r="A158" s="145" t="n"/>
      <c r="B158" s="145" t="n"/>
      <c r="C158" s="145"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5" t="n"/>
      <c r="Y158" s="145" t="n"/>
      <c r="Z158" s="145" t="n"/>
    </row>
    <row r="159" ht="15.75" customHeight="1" s="311">
      <c r="A159" s="145" t="n"/>
      <c r="B159" s="145" t="n"/>
      <c r="C159" s="145"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5" t="n"/>
      <c r="Y159" s="145" t="n"/>
      <c r="Z159" s="145" t="n"/>
    </row>
    <row r="160" ht="15.75" customHeight="1" s="311">
      <c r="A160" s="145" t="n"/>
      <c r="B160" s="145" t="n"/>
      <c r="C160" s="145"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45" t="n"/>
      <c r="Z160" s="145" t="n"/>
    </row>
    <row r="161" ht="15.75" customHeight="1" s="311">
      <c r="A161" s="145" t="n"/>
      <c r="B161" s="145" t="n"/>
      <c r="C161" s="145"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5" t="n"/>
      <c r="Y161" s="145" t="n"/>
      <c r="Z161" s="145"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5" t="n"/>
      <c r="Y162" s="145" t="n"/>
      <c r="Z162" s="145" t="n"/>
    </row>
    <row r="163" ht="15.75" customHeight="1" s="311">
      <c r="A163" s="145" t="n"/>
      <c r="B163" s="145" t="n"/>
      <c r="C163" s="145"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5" t="n"/>
      <c r="Y163" s="145" t="n"/>
      <c r="Z163" s="145" t="n"/>
    </row>
    <row r="164" ht="15.75" customHeight="1" s="311">
      <c r="A164" s="145" t="n"/>
      <c r="B164" s="145" t="n"/>
      <c r="C164" s="145"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5" t="n"/>
      <c r="Y164" s="145" t="n"/>
      <c r="Z164" s="145" t="n"/>
    </row>
    <row r="165" ht="15.75" customHeight="1" s="311">
      <c r="A165" s="145" t="n"/>
      <c r="B165" s="145" t="n"/>
      <c r="C165" s="145"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5" t="n"/>
      <c r="Y165" s="145" t="n"/>
      <c r="Z165" s="145" t="n"/>
    </row>
    <row r="166" ht="15.75" customHeight="1" s="311">
      <c r="A166" s="145" t="n"/>
      <c r="B166" s="145" t="n"/>
      <c r="C166" s="145"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5" t="n"/>
      <c r="Y166" s="145" t="n"/>
      <c r="Z166" s="145" t="n"/>
    </row>
    <row r="167" ht="15.75" customHeight="1" s="311">
      <c r="A167" s="145" t="n"/>
      <c r="B167" s="145" t="n"/>
      <c r="C167" s="145"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5" t="n"/>
      <c r="Y167" s="145" t="n"/>
      <c r="Z167" s="145" t="n"/>
    </row>
    <row r="168" ht="15.75" customHeight="1" s="311">
      <c r="A168" s="145" t="n"/>
      <c r="B168" s="145" t="n"/>
      <c r="C168" s="145"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5" t="n"/>
      <c r="Y168" s="145" t="n"/>
      <c r="Z168" s="145"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5" t="n"/>
      <c r="Y169" s="145" t="n"/>
      <c r="Z169" s="145" t="n"/>
    </row>
    <row r="170" ht="15.75" customHeight="1" s="311">
      <c r="A170" s="145" t="n"/>
      <c r="B170" s="145" t="n"/>
      <c r="C170" s="145"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5" t="n"/>
      <c r="Y170" s="145" t="n"/>
      <c r="Z170" s="145"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5" t="n"/>
      <c r="Y171" s="145" t="n"/>
      <c r="Z171" s="145"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5" t="n"/>
      <c r="Y172" s="145" t="n"/>
      <c r="Z172" s="145"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5" t="n"/>
      <c r="Y173" s="145" t="n"/>
      <c r="Z173" s="145"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5" t="n"/>
      <c r="Y174" s="145" t="n"/>
      <c r="Z174" s="145"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5" t="n"/>
      <c r="Y175" s="145" t="n"/>
      <c r="Z175" s="145"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5" t="n"/>
      <c r="Y176" s="145" t="n"/>
      <c r="Z176" s="145"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5" t="n"/>
      <c r="Y177" s="145" t="n"/>
      <c r="Z177" s="145"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5" t="n"/>
      <c r="Y178" s="145" t="n"/>
      <c r="Z178" s="145"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5" t="n"/>
      <c r="Y179" s="145" t="n"/>
      <c r="Z179" s="145"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5" t="n"/>
      <c r="Y180" s="145" t="n"/>
      <c r="Z180" s="145"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5" t="n"/>
      <c r="Y181" s="145" t="n"/>
      <c r="Z181" s="145"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5" t="n"/>
      <c r="Y182" s="145" t="n"/>
      <c r="Z182" s="145"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5" t="n"/>
      <c r="Y183" s="145" t="n"/>
      <c r="Z183" s="145"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5" t="n"/>
      <c r="Y184" s="145" t="n"/>
      <c r="Z184" s="145"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5" t="n"/>
      <c r="Y185" s="145" t="n"/>
      <c r="Z185" s="145"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5" t="n"/>
      <c r="Y186" s="145" t="n"/>
      <c r="Z186" s="145"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5" t="n"/>
      <c r="Y187" s="145" t="n"/>
      <c r="Z187" s="145"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5" t="n"/>
      <c r="Y188" s="145" t="n"/>
      <c r="Z188" s="145"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5" t="n"/>
      <c r="Y189" s="145" t="n"/>
      <c r="Z189" s="145"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5" t="n"/>
      <c r="Y190" s="145" t="n"/>
      <c r="Z190" s="145"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5" t="n"/>
      <c r="Y191" s="145" t="n"/>
      <c r="Z191" s="145"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5" t="n"/>
      <c r="Y192" s="145" t="n"/>
      <c r="Z192" s="145"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5" t="n"/>
      <c r="Y193" s="145" t="n"/>
      <c r="Z193" s="145"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5" t="n"/>
      <c r="Y194" s="145" t="n"/>
      <c r="Z194" s="145"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5" t="n"/>
      <c r="Y195" s="145" t="n"/>
      <c r="Z195" s="145"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5" t="n"/>
      <c r="Y196" s="145" t="n"/>
      <c r="Z196" s="145"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5" t="n"/>
      <c r="Y197" s="145" t="n"/>
      <c r="Z197" s="145"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5" t="n"/>
      <c r="Y198" s="145" t="n"/>
      <c r="Z198" s="145"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5" t="n"/>
      <c r="Y199" s="145" t="n"/>
      <c r="Z199" s="145"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5" t="n"/>
      <c r="Y200" s="145" t="n"/>
      <c r="Z200" s="145"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5" t="n"/>
      <c r="Y201" s="145" t="n"/>
      <c r="Z201" s="145"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5" t="n"/>
      <c r="Y202" s="145" t="n"/>
      <c r="Z202" s="145"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5" t="n"/>
      <c r="Y203" s="145" t="n"/>
      <c r="Z203" s="145"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5" t="n"/>
      <c r="Y204" s="145" t="n"/>
      <c r="Z204" s="145"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5" t="n"/>
      <c r="Y205" s="145" t="n"/>
      <c r="Z205" s="145"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5" t="n"/>
      <c r="Y206" s="145" t="n"/>
      <c r="Z206" s="145"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5" t="n"/>
      <c r="Y207" s="145" t="n"/>
      <c r="Z207" s="145"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5" t="n"/>
      <c r="Y208" s="145" t="n"/>
      <c r="Z208" s="145"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5" t="n"/>
      <c r="Y209" s="145" t="n"/>
      <c r="Z209" s="145"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5" t="n"/>
      <c r="Y210" s="145" t="n"/>
      <c r="Z210" s="145"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5" t="n"/>
      <c r="Y211" s="145" t="n"/>
      <c r="Z211" s="145"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5" t="n"/>
      <c r="Y212" s="145" t="n"/>
      <c r="Z212" s="145"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5" t="n"/>
      <c r="Y213" s="145" t="n"/>
      <c r="Z213" s="145"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5" t="n"/>
      <c r="Y214" s="145" t="n"/>
      <c r="Z214" s="145"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5" t="n"/>
      <c r="Y215" s="145" t="n"/>
      <c r="Z215" s="145"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5" t="n"/>
      <c r="Y216" s="145" t="n"/>
      <c r="Z216" s="145"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5" t="n"/>
      <c r="Y217" s="145" t="n"/>
      <c r="Z217" s="145"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5" t="n"/>
      <c r="Y218" s="145" t="n"/>
      <c r="Z218" s="145"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5" t="n"/>
      <c r="Y219" s="145" t="n"/>
      <c r="Z219" s="145"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5" t="n"/>
      <c r="Y220" s="145" t="n"/>
      <c r="Z220" s="145"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5" t="n"/>
      <c r="Y221" s="145" t="n"/>
      <c r="Z221" s="145"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5" t="n"/>
      <c r="Y222" s="145" t="n"/>
      <c r="Z222" s="145"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5" t="n"/>
      <c r="Y223" s="145" t="n"/>
      <c r="Z223" s="145"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5" t="n"/>
      <c r="Y224" s="145" t="n"/>
      <c r="Z224" s="145"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5" t="n"/>
      <c r="Y225" s="145" t="n"/>
      <c r="Z225" s="145"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5" t="n"/>
      <c r="Y226" s="145" t="n"/>
      <c r="Z226" s="145"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5" t="n"/>
      <c r="Y227" s="145" t="n"/>
      <c r="Z227" s="145"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5" t="n"/>
      <c r="Y228" s="145" t="n"/>
      <c r="Z228" s="145"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5" t="n"/>
      <c r="Y229" s="145" t="n"/>
      <c r="Z229" s="145"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5" t="n"/>
      <c r="Y230" s="145" t="n"/>
      <c r="Z230" s="145"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5" t="n"/>
      <c r="Y231" s="145" t="n"/>
      <c r="Z231" s="145"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5" t="n"/>
      <c r="Y232" s="145" t="n"/>
      <c r="Z232" s="145"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5" t="n"/>
      <c r="Y233" s="145" t="n"/>
      <c r="Z233" s="145"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5" t="n"/>
      <c r="Y234" s="145" t="n"/>
      <c r="Z234" s="145"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5" t="n"/>
      <c r="Y235" s="145" t="n"/>
      <c r="Z235" s="145"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5" t="n"/>
      <c r="Y236" s="145" t="n"/>
      <c r="Z236" s="145"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5" t="n"/>
      <c r="Y237" s="145" t="n"/>
      <c r="Z237" s="145"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5" t="n"/>
      <c r="Y238" s="145" t="n"/>
      <c r="Z238" s="145"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5" t="n"/>
      <c r="Y239" s="145" t="n"/>
      <c r="Z239" s="145"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5" t="n"/>
      <c r="Y240" s="145" t="n"/>
      <c r="Z240" s="145"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5" t="n"/>
      <c r="Y241" s="145" t="n"/>
      <c r="Z241" s="145"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5" t="n"/>
      <c r="Y242" s="145" t="n"/>
      <c r="Z242" s="145"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5" t="n"/>
      <c r="Y243" s="145" t="n"/>
      <c r="Z243" s="145"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5" t="n"/>
      <c r="Y244" s="145" t="n"/>
      <c r="Z244" s="145"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5" t="n"/>
      <c r="Y245" s="145" t="n"/>
      <c r="Z245" s="145"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5" t="n"/>
      <c r="Y246" s="145" t="n"/>
      <c r="Z246" s="145"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5" t="n"/>
      <c r="Y247" s="145" t="n"/>
      <c r="Z247" s="145"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5" t="n"/>
      <c r="Y248" s="145" t="n"/>
      <c r="Z248" s="145"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5" t="n"/>
      <c r="Y249" s="145" t="n"/>
      <c r="Z249" s="145"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5" t="n"/>
      <c r="Y250" s="145" t="n"/>
      <c r="Z250" s="145"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5" t="n"/>
      <c r="Y251" s="145" t="n"/>
      <c r="Z251" s="145"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5" t="n"/>
      <c r="Y252" s="145" t="n"/>
      <c r="Z252" s="145"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5" t="n"/>
      <c r="Y253" s="145" t="n"/>
      <c r="Z253" s="145"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5" t="n"/>
      <c r="Y254" s="145" t="n"/>
      <c r="Z254" s="145" t="n"/>
    </row>
    <row r="255" ht="15.75" customHeight="1" s="311">
      <c r="A255" s="145" t="n"/>
      <c r="B255" s="145" t="n"/>
      <c r="C255" s="145"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5" t="n"/>
      <c r="Y255" s="145" t="n"/>
      <c r="Z255" s="145" t="n"/>
    </row>
    <row r="256" ht="15.75" customHeight="1" s="311">
      <c r="A256" s="145" t="n"/>
      <c r="B256" s="145" t="n"/>
      <c r="C256" s="145"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5" t="n"/>
      <c r="Y256" s="145" t="n"/>
      <c r="Z256" s="145" t="n"/>
    </row>
    <row r="257" ht="15.75" customHeight="1" s="311">
      <c r="A257" s="145" t="n"/>
      <c r="B257" s="145" t="n"/>
      <c r="C257" s="145"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5" t="n"/>
      <c r="Y257" s="145" t="n"/>
      <c r="Z257" s="145" t="n"/>
    </row>
    <row r="258" ht="15.75" customHeight="1" s="311">
      <c r="A258" s="145" t="n"/>
      <c r="B258" s="145" t="n"/>
      <c r="C258" s="145"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5" t="n"/>
      <c r="Y258" s="145" t="n"/>
      <c r="Z258" s="145" t="n"/>
    </row>
    <row r="259" ht="15.75" customHeight="1" s="31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row>
    <row r="260" ht="15.75" customHeight="1" s="31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row>
    <row r="261" ht="15.75" customHeight="1" s="31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row>
    <row r="262" ht="15.75" customHeight="1" s="31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row>
  </sheetData>
  <mergeCells count="13">
    <mergeCell ref="K57:O58"/>
    <mergeCell ref="B2:G2"/>
    <mergeCell ref="K23:N23"/>
    <mergeCell ref="K31:N31"/>
    <mergeCell ref="C45:F45"/>
    <mergeCell ref="K41:P41"/>
    <mergeCell ref="K37:P37"/>
    <mergeCell ref="K17:N17"/>
    <mergeCell ref="K16:N16"/>
    <mergeCell ref="K42:O42"/>
    <mergeCell ref="K15:N15"/>
    <mergeCell ref="K33:N33"/>
    <mergeCell ref="K32:N32"/>
  </mergeCells>
  <conditionalFormatting sqref="J23:J26">
    <cfRule type="cellIs" priority="1" operator="greaterThan" dxfId="3">
      <formula>0.3</formula>
    </cfRule>
  </conditionalFormatting>
  <conditionalFormatting sqref="G40">
    <cfRule type="cellIs" priority="2" operator="lessThan" dxfId="3">
      <formula>0</formula>
    </cfRule>
  </conditionalFormatting>
  <conditionalFormatting sqref="G41">
    <cfRule type="cellIs" priority="3" operator="lessThan" dxfId="3">
      <formula>1</formula>
    </cfRule>
  </conditionalFormatting>
  <conditionalFormatting sqref="G43">
    <cfRule type="cellIs" priority="4" operator="lessThan" dxfId="4">
      <formula>7</formula>
    </cfRule>
  </conditionalFormatting>
  <conditionalFormatting sqref="S6:S18">
    <cfRule type="cellIs" priority="5" operator="notEqual" dxfId="4">
      <formula>0</formula>
    </cfRule>
  </conditionalFormatting>
  <conditionalFormatting sqref="G6:G18">
    <cfRule type="cellIs" priority="6" operator="lessThan" dxfId="0">
      <formula>0</formula>
    </cfRule>
  </conditionalFormatting>
  <dataValidations count="4">
    <dataValidation sqref="C6:C18" showDropDown="0" showInputMessage="0" showErrorMessage="0" allowBlank="1" type="list">
      <formula1>"Efectivo,Cuenta corriente,Cuenta de ahorro,Cuenta en divisa,Comprometido"</formula1>
    </dataValidation>
    <dataValidation sqref="D6:D18" showDropDown="0" showInputMessage="0" showErrorMessage="0" allowBlank="1" type="list">
      <formula1>$M$6:$M$9</formula1>
    </dataValidation>
    <dataValidation sqref="H6:H18" showDropDown="0" showInputMessage="0" showErrorMessage="0" allowBlank="1" type="list">
      <formula1>"Sí,No"</formula1>
    </dataValidation>
    <dataValidation sqref="O6:O18 O23:O26" showDropDown="0" showInputMessage="0" showErrorMessage="0" allowBlank="1" type="list">
      <formula1>"Tú,Hogar"</formula1>
    </dataValidation>
  </dataValidations>
  <pageMargins left="0.75" right="0.75" top="1" bottom="1"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tabColor rgb="FF1F6FB2"/>
    <outlinePr summaryBelow="1" summaryRight="1"/>
    <pageSetUpPr/>
  </sheetPr>
  <dimension ref="A1:Z1000"/>
  <sheetViews>
    <sheetView showGridLines="0" workbookViewId="0">
      <pane ySplit="5" topLeftCell="A6" activePane="bottomLeft" state="frozen"/>
      <selection pane="bottomLeft" activeCell="B7" sqref="B7"/>
    </sheetView>
  </sheetViews>
  <sheetFormatPr baseColWidth="8" defaultColWidth="14.43" defaultRowHeight="15" customHeight="1"/>
  <cols>
    <col width="5" customWidth="1" style="311" min="1" max="1"/>
    <col width="12" customWidth="1" style="311" min="2" max="2"/>
    <col width="11" customWidth="1" style="311" min="3" max="3"/>
    <col width="38" customWidth="1" style="311" min="4" max="4"/>
    <col width="28" customWidth="1" style="311" min="5" max="5"/>
    <col width="27" customWidth="1" style="311" min="6" max="6"/>
    <col width="10" customWidth="1" style="311" min="7" max="7"/>
    <col width="14" customWidth="1" style="311" min="8" max="8"/>
    <col width="15" customWidth="1" style="311" min="9" max="9"/>
    <col width="11" customWidth="1" style="311" min="10" max="10"/>
    <col width="10" customWidth="1" style="311" min="11" max="11"/>
    <col width="44" customWidth="1" style="311" min="12" max="12"/>
    <col width="3" customWidth="1" style="311" min="13" max="13"/>
    <col width="30" customWidth="1" style="311" min="14" max="14"/>
    <col width="3" customWidth="1" style="311" min="15" max="15"/>
    <col width="14" customWidth="1" style="311" min="16" max="16"/>
    <col width="15" customWidth="1" style="311" min="17" max="19"/>
    <col width="22" customWidth="1" style="311" min="20" max="20"/>
  </cols>
  <sheetData>
    <row r="1" ht="21.75" customHeight="1" s="311">
      <c r="A1" s="145" t="n"/>
      <c r="B1" s="19" t="inlineStr">
        <is>
          <t>LIBRO DE CAJA  —  cobros y pagos reales</t>
        </is>
      </c>
      <c r="C1" s="145" t="n"/>
      <c r="D1" s="145" t="n"/>
      <c r="E1" s="145" t="n"/>
      <c r="F1" s="145" t="n"/>
      <c r="G1" s="145" t="n"/>
      <c r="H1" s="145" t="n"/>
      <c r="I1" s="145" t="n"/>
      <c r="J1" s="145" t="n"/>
      <c r="K1" s="145" t="n"/>
      <c r="L1" s="145" t="n"/>
      <c r="M1" s="145" t="n"/>
      <c r="N1" s="145" t="n"/>
      <c r="O1" s="145" t="n"/>
      <c r="P1" s="145" t="n"/>
      <c r="Q1" s="145" t="n"/>
      <c r="R1" s="145" t="n"/>
      <c r="S1" s="145" t="n"/>
      <c r="T1" s="145" t="n"/>
      <c r="U1" s="1" t="n"/>
      <c r="V1" s="1" t="n"/>
      <c r="W1" s="1" t="n"/>
      <c r="X1" s="1" t="n"/>
      <c r="Y1" s="1" t="n"/>
      <c r="Z1" s="1" t="n"/>
    </row>
    <row r="2" ht="48" customHeight="1" s="311">
      <c r="A2" s="145" t="n"/>
      <c r="B2" s="20" t="inlineStr">
        <is>
          <t>Aquí se registra el dinero que entra y sale de verdad. Cada apunte mueve DOS cosas a la vez: el SALDO de la cuenta en la hoja Disponibilidad (columnas Depósitos / Retiros) y, si enlazas la factura, el saldo pendiente de esa factura. Un traspaso entre cuentas tuyas son DOS filas: un Pago en la de origen y un Cobro en la de destino, ambos con categoría "Traspaso entre cuentas".</t>
        </is>
      </c>
      <c r="I2" s="145" t="n"/>
      <c r="J2" s="145" t="n"/>
      <c r="K2" s="145" t="n"/>
      <c r="L2" s="145" t="n"/>
      <c r="M2" s="145" t="n"/>
      <c r="N2" s="145" t="n"/>
      <c r="O2" s="145" t="n"/>
      <c r="P2" s="145" t="n"/>
      <c r="Q2" s="145" t="n"/>
      <c r="R2" s="145" t="n"/>
      <c r="S2" s="145" t="n"/>
      <c r="T2" s="145" t="n"/>
      <c r="U2" s="1" t="n"/>
      <c r="V2" s="1" t="n"/>
      <c r="W2" s="1" t="n"/>
      <c r="X2" s="1" t="n"/>
      <c r="Y2" s="1" t="n"/>
      <c r="Z2" s="1" t="n"/>
    </row>
    <row r="3" ht="27.75" customHeight="1" s="311">
      <c r="A3" s="145" t="n"/>
      <c r="B3" s="20" t="inlineStr">
        <is>
          <t>CÓMO SE USA: para pagar una factura, escribe una fila con Tipo = Pago, la cuenta desde la que sale el dinero, el importe, y en "Factura vinculada" el número (#) que esa factura tiene en la hoja Facturas. Con ese único apunte baja el saldo de la factura y baja el saldo del banco. Para un cobro, Tipo = Cobro y deja la factura vinculada en blanco.</t>
        </is>
      </c>
      <c r="C3" s="145" t="n"/>
      <c r="D3" s="145" t="n"/>
      <c r="E3" s="145" t="n"/>
      <c r="F3" s="145" t="n"/>
      <c r="G3" s="145" t="n"/>
      <c r="H3" s="145" t="n"/>
      <c r="I3" s="145" t="n"/>
      <c r="J3" s="145" t="n"/>
      <c r="K3" s="145" t="n"/>
      <c r="L3" s="145" t="n"/>
      <c r="M3" s="145" t="n"/>
      <c r="N3" s="145" t="n"/>
      <c r="O3" s="145" t="n"/>
      <c r="P3" s="145" t="n"/>
      <c r="Q3" s="145" t="n"/>
      <c r="R3" s="145" t="n"/>
      <c r="S3" s="145" t="n"/>
      <c r="T3" s="145" t="n"/>
      <c r="U3" s="1" t="n"/>
      <c r="V3" s="1" t="n"/>
      <c r="W3" s="1" t="n"/>
      <c r="X3" s="1" t="n"/>
      <c r="Y3" s="1" t="n"/>
      <c r="Z3" s="1" t="n"/>
    </row>
    <row r="4" ht="21.75" customHeight="1" s="311">
      <c r="A4" s="21" t="inlineStr">
        <is>
          <t>MOVIMIENTOS</t>
        </is>
      </c>
      <c r="B4" s="22" t="n"/>
      <c r="C4" s="22" t="n"/>
      <c r="D4" s="22" t="n"/>
      <c r="E4" s="22" t="n"/>
      <c r="F4" s="22" t="n"/>
      <c r="G4" s="22" t="n"/>
      <c r="H4" s="22" t="n"/>
      <c r="I4" s="22" t="n"/>
      <c r="J4" s="22" t="n"/>
      <c r="K4" s="22" t="n"/>
      <c r="L4" s="22" t="n"/>
      <c r="M4" s="145" t="n"/>
      <c r="N4" s="38" t="inlineStr">
        <is>
          <t>Categorías</t>
        </is>
      </c>
      <c r="O4" s="145" t="n"/>
      <c r="P4" s="32" t="inlineStr">
        <is>
          <t>RESUMEN MENSUAL</t>
        </is>
      </c>
      <c r="Q4" s="30" t="n"/>
      <c r="R4" s="30" t="n"/>
      <c r="S4" s="30" t="n"/>
      <c r="T4" s="30" t="n"/>
      <c r="U4" s="1" t="n"/>
      <c r="V4" s="1" t="n"/>
      <c r="W4" s="1" t="n"/>
      <c r="X4" s="1" t="n"/>
      <c r="Y4" s="1" t="n"/>
      <c r="Z4" s="1" t="n"/>
    </row>
    <row r="5" ht="25.5" customHeight="1" s="311">
      <c r="A5" s="33" t="inlineStr">
        <is>
          <t>#</t>
        </is>
      </c>
      <c r="B5" s="33" t="inlineStr">
        <is>
          <t>Fecha</t>
        </is>
      </c>
      <c r="C5" s="33" t="inlineStr">
        <is>
          <t>Tipo</t>
        </is>
      </c>
      <c r="D5" s="33" t="inlineStr">
        <is>
          <t>Concepto</t>
        </is>
      </c>
      <c r="E5" s="33" t="inlineStr">
        <is>
          <t>Categoría</t>
        </is>
      </c>
      <c r="F5" s="33" t="inlineStr">
        <is>
          <t>Cuenta</t>
        </is>
      </c>
      <c r="G5" s="33" t="inlineStr">
        <is>
          <t>Ámbito</t>
        </is>
      </c>
      <c r="H5" s="33" t="inlineStr">
        <is>
          <t>Importe (€)</t>
        </is>
      </c>
      <c r="I5" s="33" t="inlineStr">
        <is>
          <t>Efecto en caja (€)</t>
        </is>
      </c>
      <c r="J5" s="33" t="inlineStr">
        <is>
          <t>Factura
vinculada (#)</t>
        </is>
      </c>
      <c r="K5" s="33" t="inlineStr">
        <is>
          <t>Mes</t>
        </is>
      </c>
      <c r="L5" s="33" t="inlineStr">
        <is>
          <t>Notas</t>
        </is>
      </c>
      <c r="M5" s="145" t="n"/>
      <c r="N5" s="40" t="inlineStr">
        <is>
          <t>Nómina y salarios</t>
        </is>
      </c>
      <c r="O5" s="145" t="n"/>
      <c r="P5" s="33" t="inlineStr">
        <is>
          <t>Mes</t>
        </is>
      </c>
      <c r="Q5" s="33" t="inlineStr">
        <is>
          <t>Cobros (€)</t>
        </is>
      </c>
      <c r="R5" s="33" t="inlineStr">
        <is>
          <t>Pagos (€)</t>
        </is>
      </c>
      <c r="S5" s="33" t="inlineStr">
        <is>
          <t>Neto (€)</t>
        </is>
      </c>
      <c r="T5" s="33" t="inlineStr">
        <is>
          <t>Nº apuntes</t>
        </is>
      </c>
      <c r="U5" s="1" t="n"/>
      <c r="V5" s="1" t="n"/>
      <c r="W5" s="1" t="n"/>
      <c r="X5" s="1" t="n"/>
      <c r="Y5" s="1" t="n"/>
      <c r="Z5" s="1" t="n"/>
    </row>
    <row r="6" ht="32.25" customHeight="1" s="311">
      <c r="A6" s="41">
        <f>IF($D6="","",ROW()-5)</f>
        <v/>
      </c>
      <c r="B6" s="136" t="n">
        <v>46235</v>
      </c>
      <c r="C6" s="146" t="inlineStr">
        <is>
          <t>Cobro</t>
        </is>
      </c>
      <c r="D6" s="146" t="inlineStr">
        <is>
          <t>prestamo Jose Antonio</t>
        </is>
      </c>
      <c r="E6" s="146" t="inlineStr">
        <is>
          <t>Préstamo particular</t>
        </is>
      </c>
      <c r="F6" s="146" t="inlineStr">
        <is>
          <t>CaixaBank (corriente 9914)</t>
        </is>
      </c>
      <c r="G6" s="164">
        <f t="array" ref="G6">IF($F6="","",IFERROR(INDEX(Disponibilidad!$O$6:$O$18,MATCH($F6,Disponibilidad!$B$6:$B$18,0)),"Hogar"))</f>
        <v/>
      </c>
      <c r="H6" s="76" t="n">
        <v>60</v>
      </c>
      <c r="I6" s="57">
        <f>IF($D6="","",IF($C6="Cobro",N($H6),-N($H6)))</f>
        <v/>
      </c>
      <c r="J6" s="165" t="n"/>
      <c r="K6" s="64">
        <f>IF($B6="","",TEXT($B6,"YYYY-MM"))</f>
        <v/>
      </c>
      <c r="L6" s="146" t="inlineStr">
        <is>
          <t>Dinero recibido de un préstamo particular: sube la caja y sube la deuda de la hoja Facturas.</t>
        </is>
      </c>
      <c r="M6" s="145" t="n"/>
      <c r="N6" s="40" t="inlineStr">
        <is>
          <t>Otros ingresos</t>
        </is>
      </c>
      <c r="O6" s="145" t="n"/>
      <c r="P6" s="64">
        <f>TEXT(EDATE(Panel!$H$5,-6),"YYYY-MM")</f>
        <v/>
      </c>
      <c r="Q6" s="42">
        <f>SUMIFS($H$6:$H$505,$K$6:$K$505,$P6,$C$6:$C$505,"Cobro",$E$6:$E$505,"&lt;&gt;Traspaso entre cuentas")</f>
        <v/>
      </c>
      <c r="R6" s="42">
        <f>SUMIFS($H$6:$H$505,$K$6:$K$505,$P6,$C$6:$C$505,"Pago",$E$6:$E$505,"&lt;&gt;Traspaso entre cuentas")</f>
        <v/>
      </c>
      <c r="S6" s="57">
        <f>$Q6-$R6</f>
        <v/>
      </c>
      <c r="T6" s="59">
        <f>COUNTIFS($K$6:$K$505,$P6)</f>
        <v/>
      </c>
      <c r="U6" s="1" t="n"/>
      <c r="V6" s="1" t="n"/>
      <c r="W6" s="1" t="n"/>
      <c r="X6" s="1" t="n"/>
      <c r="Y6" s="1" t="n"/>
      <c r="Z6" s="1" t="n"/>
    </row>
    <row r="7" ht="15" customHeight="1" s="311">
      <c r="A7" s="41">
        <f>IF($D7="","",ROW()-5)</f>
        <v/>
      </c>
      <c r="B7" s="136" t="n">
        <v>46235</v>
      </c>
      <c r="C7" s="83" t="inlineStr">
        <is>
          <t>Cobro</t>
        </is>
      </c>
      <c r="D7" s="146" t="inlineStr">
        <is>
          <t>prestamo Jose Antonio</t>
        </is>
      </c>
      <c r="E7" s="146" t="inlineStr">
        <is>
          <t>Préstamo particular</t>
        </is>
      </c>
      <c r="F7" s="146" t="inlineStr">
        <is>
          <t>Revolut (corriente)</t>
        </is>
      </c>
      <c r="G7" s="164">
        <f t="array" ref="G7">IF($F7="","",IFERROR(INDEX(Disponibilidad!$O$6:$O$18,MATCH($F7,Disponibilidad!$B$6:$B$18,0)),"Hogar"))</f>
        <v/>
      </c>
      <c r="H7" s="76" t="n">
        <v>15</v>
      </c>
      <c r="I7" s="57">
        <f>IF($D7="","",IF($C7="Cobro",N($H7),-N($H7)))</f>
        <v/>
      </c>
      <c r="J7" s="141" t="n"/>
      <c r="K7" s="64">
        <f>IF($B7="","",TEXT($B7,"YYYY-MM"))</f>
        <v/>
      </c>
      <c r="L7" s="145" t="inlineStr">
        <is>
          <t>Dinero recibido de un préstamo particular: sube la caja y sube la deuda de la hoja Facturas.</t>
        </is>
      </c>
      <c r="M7" s="145" t="n"/>
      <c r="N7" s="40" t="inlineStr">
        <is>
          <t>Intereses y dividendos</t>
        </is>
      </c>
      <c r="O7" s="145" t="n"/>
      <c r="P7" s="64">
        <f>TEXT(EDATE(Panel!$H$5,-5),"YYYY-MM")</f>
        <v/>
      </c>
      <c r="Q7" s="42">
        <f>SUMIFS($H$6:$H$505,$K$6:$K$505,$P7,$C$6:$C$505,"Cobro",$E$6:$E$505,"&lt;&gt;Traspaso entre cuentas")</f>
        <v/>
      </c>
      <c r="R7" s="42">
        <f>SUMIFS($H$6:$H$505,$K$6:$K$505,$P7,$C$6:$C$505,"Pago",$E$6:$E$505,"&lt;&gt;Traspaso entre cuentas")</f>
        <v/>
      </c>
      <c r="S7" s="57">
        <f>$Q7-$R7</f>
        <v/>
      </c>
      <c r="T7" s="59">
        <f>COUNTIFS($K$6:$K$505,$P7)</f>
        <v/>
      </c>
      <c r="U7" s="1" t="n"/>
      <c r="V7" s="1" t="n"/>
      <c r="W7" s="1" t="n"/>
      <c r="X7" s="1" t="n"/>
      <c r="Y7" s="1" t="n"/>
      <c r="Z7" s="1" t="n"/>
    </row>
    <row r="8" ht="15" customHeight="1" s="311">
      <c r="A8" s="41">
        <f>IF($D8="","",ROW()-5)</f>
        <v/>
      </c>
      <c r="B8" s="144" t="n">
        <v>46235</v>
      </c>
      <c r="C8" s="83" t="inlineStr">
        <is>
          <t>Pago</t>
        </is>
      </c>
      <c r="D8" s="146" t="inlineStr">
        <is>
          <t>Compra supermercados</t>
        </is>
      </c>
      <c r="E8" s="146" t="inlineStr">
        <is>
          <t>Alimentación</t>
        </is>
      </c>
      <c r="F8" s="146" t="inlineStr">
        <is>
          <t>Revolut (corriente)</t>
        </is>
      </c>
      <c r="G8" s="164">
        <f t="array" ref="G8">IF($F8="","",IFERROR(INDEX(Disponibilidad!$O$6:$O$18,MATCH($F8,Disponibilidad!$B$6:$B$18,0)),"Hogar"))</f>
        <v/>
      </c>
      <c r="H8" s="76" t="n">
        <v>48.21</v>
      </c>
      <c r="I8" s="57">
        <f>IF($D8="","",IF($C8="Cobro",N($H8),-N($H8)))</f>
        <v/>
      </c>
      <c r="J8" s="141" t="n"/>
      <c r="K8" s="64">
        <f>IF($B8="","",TEXT($B8,"YYYY-MM"))</f>
        <v/>
      </c>
      <c r="L8" s="145" t="n"/>
      <c r="M8" s="145" t="n"/>
      <c r="N8" s="40" t="inlineStr">
        <is>
          <t>Devoluciones y reembolsos</t>
        </is>
      </c>
      <c r="O8" s="145" t="n"/>
      <c r="P8" s="64">
        <f>TEXT(EDATE(Panel!$H$5,-4),"YYYY-MM")</f>
        <v/>
      </c>
      <c r="Q8" s="42">
        <f>SUMIFS($H$6:$H$505,$K$6:$K$505,$P8,$C$6:$C$505,"Cobro",$E$6:$E$505,"&lt;&gt;Traspaso entre cuentas")</f>
        <v/>
      </c>
      <c r="R8" s="42">
        <f>SUMIFS($H$6:$H$505,$K$6:$K$505,$P8,$C$6:$C$505,"Pago",$E$6:$E$505,"&lt;&gt;Traspaso entre cuentas")</f>
        <v/>
      </c>
      <c r="S8" s="57">
        <f>$Q8-$R8</f>
        <v/>
      </c>
      <c r="T8" s="59">
        <f>COUNTIFS($K$6:$K$505,$P8)</f>
        <v/>
      </c>
      <c r="U8" s="1" t="n"/>
      <c r="V8" s="1" t="n"/>
      <c r="W8" s="1" t="n"/>
      <c r="X8" s="1" t="n"/>
      <c r="Y8" s="1" t="n"/>
      <c r="Z8" s="1" t="n"/>
    </row>
    <row r="9" ht="15" customHeight="1" s="311">
      <c r="A9" s="41">
        <f>IF($D9="","",ROW()-5)</f>
        <v/>
      </c>
      <c r="B9" s="144" t="n">
        <v>46235</v>
      </c>
      <c r="C9" s="83" t="inlineStr">
        <is>
          <t>Pago</t>
        </is>
      </c>
      <c r="D9" s="146" t="inlineStr">
        <is>
          <t>Hipoteca</t>
        </is>
      </c>
      <c r="E9" s="146" t="inlineStr">
        <is>
          <t>Hipoteca</t>
        </is>
      </c>
      <c r="F9" s="146" t="inlineStr">
        <is>
          <t>ABANCA (proyecto hipoteca)</t>
        </is>
      </c>
      <c r="G9" s="164">
        <f t="array" ref="G9">IF($F9="","",IFERROR(INDEX(Disponibilidad!$O$6:$O$18,MATCH($F9,Disponibilidad!$B$6:$B$18,0)),"Hogar"))</f>
        <v/>
      </c>
      <c r="H9" s="76" t="n">
        <v>336.4</v>
      </c>
      <c r="I9" s="57">
        <f>IF($D9="","",IF($C9="Cobro",N($H9),-N($H9)))</f>
        <v/>
      </c>
      <c r="J9" s="141" t="n"/>
      <c r="K9" s="64">
        <f>IF($B9="","",TEXT($B9,"YYYY-MM"))</f>
        <v/>
      </c>
      <c r="L9" s="145" t="n"/>
      <c r="M9" s="145" t="n"/>
      <c r="N9" s="40" t="inlineStr">
        <is>
          <t>Regalos recibidos</t>
        </is>
      </c>
      <c r="O9" s="145" t="n"/>
      <c r="P9" s="64">
        <f>TEXT(EDATE(Panel!$H$5,-3),"YYYY-MM")</f>
        <v/>
      </c>
      <c r="Q9" s="42">
        <f>SUMIFS($H$6:$H$505,$K$6:$K$505,$P9,$C$6:$C$505,"Cobro",$E$6:$E$505,"&lt;&gt;Traspaso entre cuentas")</f>
        <v/>
      </c>
      <c r="R9" s="42">
        <f>SUMIFS($H$6:$H$505,$K$6:$K$505,$P9,$C$6:$C$505,"Pago",$E$6:$E$505,"&lt;&gt;Traspaso entre cuentas")</f>
        <v/>
      </c>
      <c r="S9" s="57">
        <f>$Q9-$R9</f>
        <v/>
      </c>
      <c r="T9" s="59">
        <f>COUNTIFS($K$6:$K$505,$P9)</f>
        <v/>
      </c>
      <c r="U9" s="1" t="n"/>
      <c r="V9" s="1" t="n"/>
      <c r="W9" s="1" t="n"/>
      <c r="X9" s="1" t="n"/>
      <c r="Y9" s="1" t="n"/>
      <c r="Z9" s="1" t="n"/>
    </row>
    <row r="10" ht="15" customHeight="1" s="311">
      <c r="A10" s="41">
        <f>IF($D10="","",ROW()-5)</f>
        <v/>
      </c>
      <c r="B10" s="144" t="n">
        <v>46235</v>
      </c>
      <c r="C10" s="83" t="inlineStr">
        <is>
          <t>Pago</t>
        </is>
      </c>
      <c r="D10" s="146" t="inlineStr">
        <is>
          <t>Amortizacion deuda  Tarjeta Abanca</t>
        </is>
      </c>
      <c r="E10" s="146" t="inlineStr">
        <is>
          <t>Amortización de deuda</t>
        </is>
      </c>
      <c r="F10" s="146" t="inlineStr">
        <is>
          <t>ABANCA (proyecto hipoteca)</t>
        </is>
      </c>
      <c r="G10" s="164">
        <f t="array" ref="G10">IF($F10="","",IFERROR(INDEX(Disponibilidad!$O$6:$O$18,MATCH($F10,Disponibilidad!$B$6:$B$18,0)),"Hogar"))</f>
        <v/>
      </c>
      <c r="H10" s="76" t="n">
        <v>92.15000000000001</v>
      </c>
      <c r="I10" s="57">
        <f>IF($D10="","",IF($C10="Cobro",N($H10),-N($H10)))</f>
        <v/>
      </c>
      <c r="J10" s="141" t="n"/>
      <c r="K10" s="64">
        <f>IF($B10="","",TEXT($B10,"YYYY-MM"))</f>
        <v/>
      </c>
      <c r="L10" s="145" t="n"/>
      <c r="M10" s="145" t="n"/>
      <c r="N10" s="40" t="inlineStr">
        <is>
          <t>Hipoteca</t>
        </is>
      </c>
      <c r="O10" s="145" t="n"/>
      <c r="P10" s="64">
        <f>TEXT(EDATE(Panel!$H$5,-2),"YYYY-MM")</f>
        <v/>
      </c>
      <c r="Q10" s="42">
        <f>SUMIFS($H$6:$H$505,$K$6:$K$505,$P10,$C$6:$C$505,"Cobro",$E$6:$E$505,"&lt;&gt;Traspaso entre cuentas")</f>
        <v/>
      </c>
      <c r="R10" s="42">
        <f>SUMIFS($H$6:$H$505,$K$6:$K$505,$P10,$C$6:$C$505,"Pago",$E$6:$E$505,"&lt;&gt;Traspaso entre cuentas")</f>
        <v/>
      </c>
      <c r="S10" s="57">
        <f>$Q10-$R10</f>
        <v/>
      </c>
      <c r="T10" s="59">
        <f>COUNTIFS($K$6:$K$505,$P10)</f>
        <v/>
      </c>
      <c r="U10" s="1" t="n"/>
      <c r="V10" s="1" t="n"/>
      <c r="W10" s="1" t="n"/>
      <c r="X10" s="1" t="n"/>
      <c r="Y10" s="1" t="n"/>
      <c r="Z10" s="1" t="n"/>
    </row>
    <row r="11" ht="15" customHeight="1" s="311">
      <c r="A11" s="41">
        <f>IF($D11="","",ROW()-5)</f>
        <v/>
      </c>
      <c r="B11" s="144" t="n">
        <v>46235</v>
      </c>
      <c r="C11" s="83" t="inlineStr">
        <is>
          <t>Pago</t>
        </is>
      </c>
      <c r="D11" s="146" t="inlineStr">
        <is>
          <t>Amortizacion deuda  Tarjeta Abanca</t>
        </is>
      </c>
      <c r="E11" s="146" t="inlineStr">
        <is>
          <t>Amortización de deuda</t>
        </is>
      </c>
      <c r="F11" s="146" t="inlineStr">
        <is>
          <t>ABANCA (proyecto hipoteca)</t>
        </is>
      </c>
      <c r="G11" s="164">
        <f t="array" ref="G11">IF($F11="","",IFERROR(INDEX(Disponibilidad!$O$6:$O$18,MATCH($F11,Disponibilidad!$B$6:$B$18,0)),"Hogar"))</f>
        <v/>
      </c>
      <c r="H11" s="76" t="n">
        <v>120</v>
      </c>
      <c r="I11" s="57">
        <f>IF($D11="","",IF($C11="Cobro",N($H11),-N($H11)))</f>
        <v/>
      </c>
      <c r="J11" s="141" t="n"/>
      <c r="K11" s="64">
        <f>IF($B11="","",TEXT($B11,"YYYY-MM"))</f>
        <v/>
      </c>
      <c r="L11" s="145" t="n"/>
      <c r="M11" s="145" t="n"/>
      <c r="N11" s="40" t="inlineStr">
        <is>
          <t>Alquiler / habitación</t>
        </is>
      </c>
      <c r="O11" s="145" t="n"/>
      <c r="P11" s="64">
        <f>TEXT(EDATE(Panel!$H$5,-1),"YYYY-MM")</f>
        <v/>
      </c>
      <c r="Q11" s="42">
        <f>SUMIFS($H$6:$H$505,$K$6:$K$505,$P11,$C$6:$C$505,"Cobro",$E$6:$E$505,"&lt;&gt;Traspaso entre cuentas")</f>
        <v/>
      </c>
      <c r="R11" s="42">
        <f>SUMIFS($H$6:$H$505,$K$6:$K$505,$P11,$C$6:$C$505,"Pago",$E$6:$E$505,"&lt;&gt;Traspaso entre cuentas")</f>
        <v/>
      </c>
      <c r="S11" s="57">
        <f>$Q11-$R11</f>
        <v/>
      </c>
      <c r="T11" s="59">
        <f>COUNTIFS($K$6:$K$505,$P11)</f>
        <v/>
      </c>
      <c r="U11" s="1" t="n"/>
      <c r="V11" s="1" t="n"/>
      <c r="W11" s="1" t="n"/>
      <c r="X11" s="1" t="n"/>
      <c r="Y11" s="1" t="n"/>
      <c r="Z11" s="1" t="n"/>
    </row>
    <row r="12" ht="15" customHeight="1" s="311">
      <c r="A12" s="41">
        <f>IF($D12="","",ROW()-5)</f>
        <v/>
      </c>
      <c r="B12" s="144" t="n">
        <v>46236</v>
      </c>
      <c r="C12" s="83" t="inlineStr">
        <is>
          <t>Pago</t>
        </is>
      </c>
      <c r="D12" s="146" t="inlineStr">
        <is>
          <t>Combustible Toyota</t>
        </is>
      </c>
      <c r="E12" s="146" t="inlineStr">
        <is>
          <t>Transporte</t>
        </is>
      </c>
      <c r="F12" s="146" t="inlineStr">
        <is>
          <t>Revolut (corriente)</t>
        </is>
      </c>
      <c r="G12" s="164">
        <f t="array" ref="G12">IF($F12="","",IFERROR(INDEX(Disponibilidad!$O$6:$O$18,MATCH($F12,Disponibilidad!$B$6:$B$18,0)),"Hogar"))</f>
        <v/>
      </c>
      <c r="H12" s="76" t="n">
        <v>10</v>
      </c>
      <c r="I12" s="57">
        <f>IF($D12="","",IF($C12="Cobro",N($H12),-N($H12)))</f>
        <v/>
      </c>
      <c r="J12" s="141" t="n"/>
      <c r="K12" s="64">
        <f>IF($B12="","",TEXT($B12,"YYYY-MM"))</f>
        <v/>
      </c>
      <c r="L12" s="145" t="n"/>
      <c r="M12" s="145" t="n"/>
      <c r="N12" s="40" t="inlineStr">
        <is>
          <t>Agua</t>
        </is>
      </c>
      <c r="O12" s="145" t="n"/>
      <c r="P12" s="64">
        <f>TEXT(EDATE(Panel!$H$5,0),"YYYY-MM")</f>
        <v/>
      </c>
      <c r="Q12" s="42">
        <f>SUMIFS($H$6:$H$505,$K$6:$K$505,$P12,$C$6:$C$505,"Cobro",$E$6:$E$505,"&lt;&gt;Traspaso entre cuentas")</f>
        <v/>
      </c>
      <c r="R12" s="42">
        <f>SUMIFS($H$6:$H$505,$K$6:$K$505,$P12,$C$6:$C$505,"Pago",$E$6:$E$505,"&lt;&gt;Traspaso entre cuentas")</f>
        <v/>
      </c>
      <c r="S12" s="57">
        <f>$Q12-$R12</f>
        <v/>
      </c>
      <c r="T12" s="59">
        <f>COUNTIFS($K$6:$K$505,$P12)</f>
        <v/>
      </c>
      <c r="U12" s="1" t="n"/>
      <c r="V12" s="1" t="n"/>
      <c r="W12" s="1" t="n"/>
      <c r="X12" s="1" t="n"/>
      <c r="Y12" s="1" t="n"/>
      <c r="Z12" s="1" t="n"/>
    </row>
    <row r="13" ht="15" customHeight="1" s="311">
      <c r="A13" s="41">
        <f>IF($D13="","",ROW()-5)</f>
        <v/>
      </c>
      <c r="B13" s="144" t="n">
        <v>46235</v>
      </c>
      <c r="C13" s="83" t="inlineStr">
        <is>
          <t>Pago</t>
        </is>
      </c>
      <c r="D13" s="146" t="inlineStr">
        <is>
          <t>pago cuota tarjeta imagin</t>
        </is>
      </c>
      <c r="E13" s="146" t="inlineStr">
        <is>
          <t>Tarjeta de crédito</t>
        </is>
      </c>
      <c r="F13" s="146" t="inlineStr">
        <is>
          <t>CaixaBank (corriente 9914)</t>
        </is>
      </c>
      <c r="G13" s="164">
        <f t="array" ref="G13">IF($F13="","",IFERROR(INDEX(Disponibilidad!$O$6:$O$18,MATCH($F13,Disponibilidad!$B$6:$B$18,0)),"Hogar"))</f>
        <v/>
      </c>
      <c r="H13" s="76" t="n">
        <v>50</v>
      </c>
      <c r="I13" s="57">
        <f>IF($D13="","",IF($C13="Cobro",N($H13),-N($H13)))</f>
        <v/>
      </c>
      <c r="J13" s="141" t="n"/>
      <c r="K13" s="64">
        <f>IF($B13="","",TEXT($B13,"YYYY-MM"))</f>
        <v/>
      </c>
      <c r="L13" s="145" t="n"/>
      <c r="M13" s="145" t="n"/>
      <c r="N13" s="40" t="inlineStr">
        <is>
          <t>Luz</t>
        </is>
      </c>
      <c r="O13" s="145" t="n"/>
      <c r="P13" s="64">
        <f>TEXT(EDATE(Panel!$H$5,1),"YYYY-MM")</f>
        <v/>
      </c>
      <c r="Q13" s="42">
        <f>SUMIFS($H$6:$H$505,$K$6:$K$505,$P13,$C$6:$C$505,"Cobro",$E$6:$E$505,"&lt;&gt;Traspaso entre cuentas")</f>
        <v/>
      </c>
      <c r="R13" s="42">
        <f>SUMIFS($H$6:$H$505,$K$6:$K$505,$P13,$C$6:$C$505,"Pago",$E$6:$E$505,"&lt;&gt;Traspaso entre cuentas")</f>
        <v/>
      </c>
      <c r="S13" s="57">
        <f>$Q13-$R13</f>
        <v/>
      </c>
      <c r="T13" s="59">
        <f>COUNTIFS($K$6:$K$505,$P13)</f>
        <v/>
      </c>
      <c r="U13" s="1" t="n"/>
      <c r="V13" s="1" t="n"/>
      <c r="W13" s="1" t="n"/>
      <c r="X13" s="1" t="n"/>
      <c r="Y13" s="1" t="n"/>
      <c r="Z13" s="1" t="n"/>
    </row>
    <row r="14" ht="15" customHeight="1" s="311">
      <c r="A14" s="41">
        <f>IF($D14="","",ROW()-5)</f>
        <v/>
      </c>
      <c r="B14" s="144" t="n">
        <v>46237</v>
      </c>
      <c r="C14" s="83" t="inlineStr">
        <is>
          <t>Pago</t>
        </is>
      </c>
      <c r="D14" s="146" t="inlineStr">
        <is>
          <t>Supermercado aldi</t>
        </is>
      </c>
      <c r="E14" s="146" t="inlineStr">
        <is>
          <t>Alimentación</t>
        </is>
      </c>
      <c r="F14" s="146" t="inlineStr">
        <is>
          <t>Revolut (corriente)</t>
        </is>
      </c>
      <c r="G14" s="164">
        <f t="array" ref="G14">IF($F14="","",IFERROR(INDEX(Disponibilidad!$O$6:$O$18,MATCH($F14,Disponibilidad!$B$6:$B$18,0)),"Hogar"))</f>
        <v/>
      </c>
      <c r="H14" s="76" t="n">
        <v>6.12</v>
      </c>
      <c r="I14" s="57">
        <f>IF($D14="","",IF($C14="Cobro",N($H14),-N($H14)))</f>
        <v/>
      </c>
      <c r="J14" s="141" t="n"/>
      <c r="K14" s="64">
        <f>IF($B14="","",TEXT($B14,"YYYY-MM"))</f>
        <v/>
      </c>
      <c r="L14" s="145" t="n"/>
      <c r="M14" s="145" t="n"/>
      <c r="N14" s="40" t="inlineStr">
        <is>
          <t>Gas</t>
        </is>
      </c>
      <c r="O14" s="145" t="n"/>
      <c r="P14" s="64">
        <f>TEXT(EDATE(Panel!$H$5,2),"YYYY-MM")</f>
        <v/>
      </c>
      <c r="Q14" s="42">
        <f>SUMIFS($H$6:$H$505,$K$6:$K$505,$P14,$C$6:$C$505,"Cobro",$E$6:$E$505,"&lt;&gt;Traspaso entre cuentas")</f>
        <v/>
      </c>
      <c r="R14" s="42">
        <f>SUMIFS($H$6:$H$505,$K$6:$K$505,$P14,$C$6:$C$505,"Pago",$E$6:$E$505,"&lt;&gt;Traspaso entre cuentas")</f>
        <v/>
      </c>
      <c r="S14" s="57">
        <f>$Q14-$R14</f>
        <v/>
      </c>
      <c r="T14" s="59">
        <f>COUNTIFS($K$6:$K$505,$P14)</f>
        <v/>
      </c>
      <c r="U14" s="1" t="n"/>
      <c r="V14" s="1" t="n"/>
      <c r="W14" s="1" t="n"/>
      <c r="X14" s="1" t="n"/>
      <c r="Y14" s="1" t="n"/>
      <c r="Z14" s="1" t="n"/>
    </row>
    <row r="15" ht="15" customHeight="1" s="311">
      <c r="A15" s="41">
        <f>IF($D15="","",ROW()-5)</f>
        <v/>
      </c>
      <c r="B15" s="144" t="n">
        <v>46239</v>
      </c>
      <c r="C15" s="83" t="inlineStr">
        <is>
          <t>Cobro</t>
        </is>
      </c>
      <c r="D15" s="148" t="inlineStr">
        <is>
          <t>VIVUS.ES</t>
        </is>
      </c>
      <c r="E15" s="146" t="inlineStr">
        <is>
          <t>Crédito comercial</t>
        </is>
      </c>
      <c r="F15" s="146" t="inlineStr">
        <is>
          <t>Revolut (corriente)</t>
        </is>
      </c>
      <c r="G15" s="164">
        <f t="array" ref="G15">IF($F15="","",IFERROR(INDEX(Disponibilidad!$O$6:$O$18,MATCH($F15,Disponibilidad!$B$6:$B$18,0)),"Hogar"))</f>
        <v/>
      </c>
      <c r="H15" s="76" t="n">
        <v>300</v>
      </c>
      <c r="I15" s="57">
        <f>IF($D15="","",IF($C15="Cobro",N($H15),-N($H15)))</f>
        <v/>
      </c>
      <c r="J15" s="141" t="n"/>
      <c r="K15" s="64">
        <f>IF($B15="","",TEXT($B15,"YYYY-MM"))</f>
        <v/>
      </c>
      <c r="L15" s="145" t="n"/>
      <c r="M15" s="145" t="n"/>
      <c r="N15" s="40" t="inlineStr">
        <is>
          <t>Comunidad</t>
        </is>
      </c>
      <c r="O15" s="145" t="n"/>
      <c r="P15" s="64">
        <f>TEXT(EDATE(Panel!$H$5,3),"YYYY-MM")</f>
        <v/>
      </c>
      <c r="Q15" s="42">
        <f>SUMIFS($H$6:$H$505,$K$6:$K$505,$P15,$C$6:$C$505,"Cobro",$E$6:$E$505,"&lt;&gt;Traspaso entre cuentas")</f>
        <v/>
      </c>
      <c r="R15" s="42">
        <f>SUMIFS($H$6:$H$505,$K$6:$K$505,$P15,$C$6:$C$505,"Pago",$E$6:$E$505,"&lt;&gt;Traspaso entre cuentas")</f>
        <v/>
      </c>
      <c r="S15" s="57">
        <f>$Q15-$R15</f>
        <v/>
      </c>
      <c r="T15" s="59">
        <f>COUNTIFS($K$6:$K$505,$P15)</f>
        <v/>
      </c>
      <c r="U15" s="1" t="n"/>
      <c r="V15" s="1" t="n"/>
      <c r="W15" s="1" t="n"/>
      <c r="X15" s="1" t="n"/>
      <c r="Y15" s="1" t="n"/>
      <c r="Z15" s="1" t="n"/>
    </row>
    <row r="16" ht="15" customHeight="1" s="311">
      <c r="A16" s="41">
        <f>IF($D16="","",ROW()-5)</f>
        <v/>
      </c>
      <c r="B16" s="144" t="n">
        <v>46239</v>
      </c>
      <c r="C16" s="83" t="inlineStr">
        <is>
          <t>Cobro</t>
        </is>
      </c>
      <c r="D16" s="146" t="inlineStr">
        <is>
          <t>prestamo Jose Antonio</t>
        </is>
      </c>
      <c r="E16" s="146" t="inlineStr">
        <is>
          <t>Préstamo particular</t>
        </is>
      </c>
      <c r="F16" s="146" t="inlineStr">
        <is>
          <t>Revolut (corriente)</t>
        </is>
      </c>
      <c r="G16" s="164">
        <f t="array" ref="G16">IF($F16="","",IFERROR(INDEX(Disponibilidad!$O$6:$O$18,MATCH($F16,Disponibilidad!$B$6:$B$18,0)),"Hogar"))</f>
        <v/>
      </c>
      <c r="H16" s="76" t="n">
        <v>100</v>
      </c>
      <c r="I16" s="57">
        <f>IF($D16="","",IF($C16="Cobro",N($H16),-N($H16)))</f>
        <v/>
      </c>
      <c r="J16" s="141" t="n"/>
      <c r="K16" s="64">
        <f>IF($B16="","",TEXT($B16,"YYYY-MM"))</f>
        <v/>
      </c>
      <c r="L16" s="145" t="n"/>
      <c r="M16" s="145" t="n"/>
      <c r="N16" s="40" t="inlineStr">
        <is>
          <t>Telefonía y datos</t>
        </is>
      </c>
      <c r="O16" s="145" t="n"/>
      <c r="P16" s="64">
        <f>TEXT(EDATE(Panel!$H$5,4),"YYYY-MM")</f>
        <v/>
      </c>
      <c r="Q16" s="42">
        <f>SUMIFS($H$6:$H$505,$K$6:$K$505,$P16,$C$6:$C$505,"Cobro",$E$6:$E$505,"&lt;&gt;Traspaso entre cuentas")</f>
        <v/>
      </c>
      <c r="R16" s="42">
        <f>SUMIFS($H$6:$H$505,$K$6:$K$505,$P16,$C$6:$C$505,"Pago",$E$6:$E$505,"&lt;&gt;Traspaso entre cuentas")</f>
        <v/>
      </c>
      <c r="S16" s="57">
        <f>$Q16-$R16</f>
        <v/>
      </c>
      <c r="T16" s="59">
        <f>COUNTIFS($K$6:$K$505,$P16)</f>
        <v/>
      </c>
      <c r="U16" s="1" t="n"/>
      <c r="V16" s="1" t="n"/>
      <c r="W16" s="1" t="n"/>
      <c r="X16" s="1" t="n"/>
      <c r="Y16" s="1" t="n"/>
      <c r="Z16" s="1" t="n"/>
    </row>
    <row r="17" ht="15" customHeight="1" s="311">
      <c r="A17" s="41">
        <f>IF($D17="","",ROW()-5)</f>
        <v/>
      </c>
      <c r="B17" s="144" t="n">
        <v>46239</v>
      </c>
      <c r="C17" s="83" t="inlineStr">
        <is>
          <t>Cobro</t>
        </is>
      </c>
      <c r="D17" s="146" t="inlineStr">
        <is>
          <t>otros ingresos</t>
        </is>
      </c>
      <c r="E17" s="146" t="inlineStr">
        <is>
          <t>Otros ingresos</t>
        </is>
      </c>
      <c r="F17" s="146" t="inlineStr">
        <is>
          <t>Efectivo</t>
        </is>
      </c>
      <c r="G17" s="164">
        <f t="array" ref="G17">IF($F17="","",IFERROR(INDEX(Disponibilidad!$O$6:$O$18,MATCH($F17,Disponibilidad!$B$6:$B$18,0)),"Hogar"))</f>
        <v/>
      </c>
      <c r="H17" s="76" t="n">
        <v>15</v>
      </c>
      <c r="I17" s="57">
        <f>IF($D17="","",IF($C17="Cobro",N($H17),-N($H17)))</f>
        <v/>
      </c>
      <c r="J17" s="141" t="n"/>
      <c r="K17" s="64">
        <f>IF($B17="","",TEXT($B17,"YYYY-MM"))</f>
        <v/>
      </c>
      <c r="L17" s="145" t="n"/>
      <c r="M17" s="145" t="n"/>
      <c r="N17" s="40" t="inlineStr">
        <is>
          <t>Alimentación</t>
        </is>
      </c>
      <c r="O17" s="145" t="n"/>
      <c r="P17" s="64">
        <f>TEXT(EDATE(Panel!$H$5,5),"YYYY-MM")</f>
        <v/>
      </c>
      <c r="Q17" s="42">
        <f>SUMIFS($H$6:$H$505,$K$6:$K$505,$P17,$C$6:$C$505,"Cobro",$E$6:$E$505,"&lt;&gt;Traspaso entre cuentas")</f>
        <v/>
      </c>
      <c r="R17" s="42">
        <f>SUMIFS($H$6:$H$505,$K$6:$K$505,$P17,$C$6:$C$505,"Pago",$E$6:$E$505,"&lt;&gt;Traspaso entre cuentas")</f>
        <v/>
      </c>
      <c r="S17" s="57">
        <f>$Q17-$R17</f>
        <v/>
      </c>
      <c r="T17" s="59">
        <f>COUNTIFS($K$6:$K$505,$P17)</f>
        <v/>
      </c>
      <c r="U17" s="1" t="n"/>
      <c r="V17" s="1" t="n"/>
      <c r="W17" s="1" t="n"/>
      <c r="X17" s="1" t="n"/>
      <c r="Y17" s="1" t="n"/>
      <c r="Z17" s="1" t="n"/>
    </row>
    <row r="18" ht="15" customHeight="1" s="311">
      <c r="A18" s="41">
        <f>IF($D18="","",ROW()-5)</f>
        <v/>
      </c>
      <c r="B18" s="144" t="n">
        <v>46239</v>
      </c>
      <c r="C18" s="83" t="inlineStr">
        <is>
          <t>Pago</t>
        </is>
      </c>
      <c r="D18" s="146" t="inlineStr">
        <is>
          <t>Jose Stalin Garcia</t>
        </is>
      </c>
      <c r="E18" s="146" t="inlineStr">
        <is>
          <t>Préstamo particular</t>
        </is>
      </c>
      <c r="F18" s="146" t="inlineStr">
        <is>
          <t>Revolut (corriente)</t>
        </is>
      </c>
      <c r="G18" s="164">
        <f t="array" ref="G18">IF($F18="","",IFERROR(INDEX(Disponibilidad!$O$6:$O$18,MATCH($F18,Disponibilidad!$B$6:$B$18,0)),"Hogar"))</f>
        <v/>
      </c>
      <c r="H18" s="76" t="n">
        <v>60</v>
      </c>
      <c r="I18" s="57">
        <f>IF($D18="","",IF($C18="Cobro",N($H18),-N($H18)))</f>
        <v/>
      </c>
      <c r="J18" s="141" t="n"/>
      <c r="K18" s="64">
        <f>IF($B18="","",TEXT($B18,"YYYY-MM"))</f>
        <v/>
      </c>
      <c r="L18" s="145" t="n"/>
      <c r="M18" s="145" t="n"/>
      <c r="N18" s="40" t="inlineStr">
        <is>
          <t>Transporte</t>
        </is>
      </c>
      <c r="O18" s="145" t="n"/>
      <c r="P18" s="64">
        <f>TEXT(EDATE(Panel!$H$5,6),"YYYY-MM")</f>
        <v/>
      </c>
      <c r="Q18" s="42">
        <f>SUMIFS($H$6:$H$505,$K$6:$K$505,$P18,$C$6:$C$505,"Cobro",$E$6:$E$505,"&lt;&gt;Traspaso entre cuentas")</f>
        <v/>
      </c>
      <c r="R18" s="42">
        <f>SUMIFS($H$6:$H$505,$K$6:$K$505,$P18,$C$6:$C$505,"Pago",$E$6:$E$505,"&lt;&gt;Traspaso entre cuentas")</f>
        <v/>
      </c>
      <c r="S18" s="57">
        <f>$Q18-$R18</f>
        <v/>
      </c>
      <c r="T18" s="59">
        <f>COUNTIFS($K$6:$K$505,$P18)</f>
        <v/>
      </c>
      <c r="U18" s="1" t="n"/>
      <c r="V18" s="1" t="n"/>
      <c r="W18" s="1" t="n"/>
      <c r="X18" s="1" t="n"/>
      <c r="Y18" s="1" t="n"/>
      <c r="Z18" s="1" t="n"/>
    </row>
    <row r="19" ht="15" customHeight="1" s="311">
      <c r="A19" s="41">
        <f>IF($D19="","",ROW()-5)</f>
        <v/>
      </c>
      <c r="B19" s="144" t="n">
        <v>46239</v>
      </c>
      <c r="C19" s="83" t="inlineStr">
        <is>
          <t>Pago</t>
        </is>
      </c>
      <c r="D19" s="146" t="inlineStr">
        <is>
          <t>Veolia</t>
        </is>
      </c>
      <c r="E19" s="146" t="inlineStr">
        <is>
          <t>Agua</t>
        </is>
      </c>
      <c r="F19" s="146" t="inlineStr">
        <is>
          <t>Revolut (corriente)</t>
        </is>
      </c>
      <c r="G19" s="164">
        <f t="array" ref="G19">IF($F19="","",IFERROR(INDEX(Disponibilidad!$O$6:$O$18,MATCH($F19,Disponibilidad!$B$6:$B$18,0)),"Hogar"))</f>
        <v/>
      </c>
      <c r="H19" s="76" t="n">
        <v>98.2</v>
      </c>
      <c r="I19" s="57">
        <f>IF($D19="","",IF($C19="Cobro",N($H19),-N($H19)))</f>
        <v/>
      </c>
      <c r="J19" s="141" t="n"/>
      <c r="K19" s="64">
        <f>IF($B19="","",TEXT($B19,"YYYY-MM"))</f>
        <v/>
      </c>
      <c r="L19" s="145" t="n"/>
      <c r="M19" s="145" t="n"/>
      <c r="N19" s="40" t="inlineStr">
        <is>
          <t>Taxi</t>
        </is>
      </c>
      <c r="O19" s="145" t="n"/>
      <c r="P19" s="64">
        <f>TEXT(EDATE(Panel!$H$5,7),"YYYY-MM")</f>
        <v/>
      </c>
      <c r="Q19" s="42">
        <f>SUMIFS($H$6:$H$505,$K$6:$K$505,$P19,$C$6:$C$505,"Cobro",$E$6:$E$505,"&lt;&gt;Traspaso entre cuentas")</f>
        <v/>
      </c>
      <c r="R19" s="42">
        <f>SUMIFS($H$6:$H$505,$K$6:$K$505,$P19,$C$6:$C$505,"Pago",$E$6:$E$505,"&lt;&gt;Traspaso entre cuentas")</f>
        <v/>
      </c>
      <c r="S19" s="57">
        <f>$Q19-$R19</f>
        <v/>
      </c>
      <c r="T19" s="59">
        <f>COUNTIFS($K$6:$K$505,$P19)</f>
        <v/>
      </c>
      <c r="U19" s="1" t="n"/>
      <c r="V19" s="1" t="n"/>
      <c r="W19" s="1" t="n"/>
      <c r="X19" s="1" t="n"/>
      <c r="Y19" s="1" t="n"/>
      <c r="Z19" s="1" t="n"/>
    </row>
    <row r="20" ht="15" customHeight="1" s="311">
      <c r="A20" s="41">
        <f>IF($D20="","",ROW()-5)</f>
        <v/>
      </c>
      <c r="B20" s="144" t="n">
        <v>46239</v>
      </c>
      <c r="C20" s="83" t="inlineStr">
        <is>
          <t>Pago</t>
        </is>
      </c>
      <c r="D20" s="146" t="inlineStr">
        <is>
          <t>Agencia Tributaria  (factura agosto 2026)</t>
        </is>
      </c>
      <c r="E20" s="146" t="inlineStr">
        <is>
          <t>Impuestos y hacienda</t>
        </is>
      </c>
      <c r="F20" s="146" t="inlineStr">
        <is>
          <t>Revolut (corriente)</t>
        </is>
      </c>
      <c r="G20" s="164">
        <f t="array" ref="G20">IF($F20="","",IFERROR(INDEX(Disponibilidad!$O$6:$O$18,MATCH($F20,Disponibilidad!$B$6:$B$18,0)),"Hogar"))</f>
        <v/>
      </c>
      <c r="H20" s="76" t="n">
        <v>72.90000000000001</v>
      </c>
      <c r="I20" s="57">
        <f>IF($D20="","",IF($C20="Cobro",N($H20),-N($H20)))</f>
        <v/>
      </c>
      <c r="J20" s="141" t="n"/>
      <c r="K20" s="64">
        <f>IF($B20="","",TEXT($B20,"YYYY-MM"))</f>
        <v/>
      </c>
      <c r="L20" s="145" t="n"/>
      <c r="M20" s="145" t="n"/>
      <c r="N20" s="40" t="inlineStr">
        <is>
          <t>Salud</t>
        </is>
      </c>
      <c r="O20" s="145" t="n"/>
      <c r="P20" s="38" t="inlineStr">
        <is>
          <t>TOTAL</t>
        </is>
      </c>
      <c r="Q20" s="86">
        <f>SUM(Q$6:Q$19)</f>
        <v/>
      </c>
      <c r="R20" s="86">
        <f>SUM(R$6:R$19)</f>
        <v/>
      </c>
      <c r="S20" s="86">
        <f>SUM(S$6:S$19)</f>
        <v/>
      </c>
      <c r="T20" s="109">
        <f>SUM($T$6:$T$19)</f>
        <v/>
      </c>
      <c r="U20" s="1" t="n"/>
      <c r="V20" s="1" t="n"/>
      <c r="W20" s="1" t="n"/>
      <c r="X20" s="1" t="n"/>
      <c r="Y20" s="1" t="n"/>
      <c r="Z20" s="1" t="n"/>
    </row>
    <row r="21" ht="15" customHeight="1" s="311">
      <c r="A21" s="41">
        <f>IF($D21="","",ROW()-5)</f>
        <v/>
      </c>
      <c r="B21" s="144" t="n">
        <v>46239</v>
      </c>
      <c r="C21" s="83" t="inlineStr">
        <is>
          <t>Pago</t>
        </is>
      </c>
      <c r="D21" s="146" t="inlineStr">
        <is>
          <t>Restaurant. Imprevisto</t>
        </is>
      </c>
      <c r="E21" s="146" t="inlineStr">
        <is>
          <t>Ocio y cuidado personal</t>
        </is>
      </c>
      <c r="F21" s="146" t="inlineStr">
        <is>
          <t>Revolut (corriente)</t>
        </is>
      </c>
      <c r="G21" s="164">
        <f t="array" ref="G21">IF($F21="","",IFERROR(INDEX(Disponibilidad!$O$6:$O$18,MATCH($F21,Disponibilidad!$B$6:$B$18,0)),"Hogar"))</f>
        <v/>
      </c>
      <c r="H21" s="76" t="n">
        <v>4.84</v>
      </c>
      <c r="I21" s="57">
        <f>IF($D21="","",IF($C21="Cobro",N($H21),-N($H21)))</f>
        <v/>
      </c>
      <c r="J21" s="141" t="n"/>
      <c r="K21" s="64">
        <f>IF($B21="","",TEXT($B21,"YYYY-MM"))</f>
        <v/>
      </c>
      <c r="L21" s="145" t="n"/>
      <c r="M21" s="145" t="n"/>
      <c r="N21" s="40" t="inlineStr">
        <is>
          <t>Ropa</t>
        </is>
      </c>
      <c r="O21" s="145" t="n"/>
      <c r="P21" s="145" t="n"/>
      <c r="Q21" s="145" t="n"/>
      <c r="R21" s="145" t="n"/>
      <c r="S21" s="145" t="n"/>
      <c r="T21" s="145" t="n"/>
      <c r="U21" s="1" t="n"/>
      <c r="V21" s="1" t="n"/>
      <c r="W21" s="1" t="n"/>
      <c r="X21" s="1" t="n"/>
      <c r="Y21" s="1" t="n"/>
      <c r="Z21" s="1" t="n"/>
    </row>
    <row r="22" ht="27.75" customHeight="1" s="311">
      <c r="A22" s="41">
        <f>IF($D22="","",ROW()-5)</f>
        <v/>
      </c>
      <c r="B22" s="144" t="n">
        <v>46239</v>
      </c>
      <c r="C22" s="83" t="inlineStr">
        <is>
          <t>Pago</t>
        </is>
      </c>
      <c r="D22" s="146" t="inlineStr">
        <is>
          <t>Completivo Hipoteca</t>
        </is>
      </c>
      <c r="E22" s="146" t="inlineStr">
        <is>
          <t>Hipoteca</t>
        </is>
      </c>
      <c r="F22" s="146" t="inlineStr">
        <is>
          <t>Revolut (corriente)</t>
        </is>
      </c>
      <c r="G22" s="164">
        <f t="array" ref="G22">IF($F22="","",IFERROR(INDEX(Disponibilidad!$O$6:$O$18,MATCH($F22,Disponibilidad!$B$6:$B$18,0)),"Hogar"))</f>
        <v/>
      </c>
      <c r="H22" s="76" t="n">
        <v>95.22</v>
      </c>
      <c r="I22" s="57">
        <f>IF($D22="","",IF($C22="Cobro",N($H22),-N($H22)))</f>
        <v/>
      </c>
      <c r="J22" s="141" t="n"/>
      <c r="K22" s="64">
        <f>IF($B22="","",TEXT($B22,"YYYY-MM"))</f>
        <v/>
      </c>
      <c r="L22" s="145" t="n"/>
      <c r="M22" s="145" t="n"/>
      <c r="N22" s="40" t="inlineStr">
        <is>
          <t>Ocio y cuidado personal</t>
        </is>
      </c>
      <c r="O22" s="145" t="n"/>
      <c r="P22" s="20" t="inlineStr">
        <is>
          <t>Los traspasos entre tus propias cuentas se excluyen: mover dinero de Revolut a CaixaBank no es ni un ingreso ni un gasto.</t>
        </is>
      </c>
      <c r="Q22" s="145" t="n"/>
      <c r="R22" s="145" t="n"/>
      <c r="S22" s="145" t="n"/>
      <c r="T22" s="145" t="n"/>
      <c r="U22" s="1" t="n"/>
      <c r="V22" s="1" t="n"/>
      <c r="W22" s="1" t="n"/>
      <c r="X22" s="1" t="n"/>
      <c r="Y22" s="1" t="n"/>
      <c r="Z22" s="1" t="n"/>
    </row>
    <row r="23" ht="15" customHeight="1" s="311">
      <c r="A23" s="41">
        <f>IF($D23="","",ROW()-5)</f>
        <v/>
      </c>
      <c r="B23" s="144" t="n">
        <v>46239</v>
      </c>
      <c r="C23" s="83" t="inlineStr">
        <is>
          <t>Pago</t>
        </is>
      </c>
      <c r="D23" s="146" t="inlineStr">
        <is>
          <t>transferencia de cuenta a avanca</t>
        </is>
      </c>
      <c r="E23" s="146" t="inlineStr">
        <is>
          <t>Traspaso entre cuentas</t>
        </is>
      </c>
      <c r="F23" s="146" t="inlineStr">
        <is>
          <t>Revolut (corriente)</t>
        </is>
      </c>
      <c r="G23" s="164">
        <f t="array" ref="G23">IF($F23="","",IFERROR(INDEX(Disponibilidad!$O$6:$O$18,MATCH($F23,Disponibilidad!$B$6:$B$18,0)),"Hogar"))</f>
        <v/>
      </c>
      <c r="H23" s="76" t="n">
        <v>4.78</v>
      </c>
      <c r="I23" s="57">
        <f>IF($D23="","",IF($C23="Cobro",N($H23),-N($H23)))</f>
        <v/>
      </c>
      <c r="J23" s="141" t="n"/>
      <c r="K23" s="64">
        <f>IF($B23="","",TEXT($B23,"YYYY-MM"))</f>
        <v/>
      </c>
      <c r="L23" s="145" t="n"/>
      <c r="M23" s="145" t="n"/>
      <c r="N23" s="40" t="inlineStr">
        <is>
          <t>Seguros</t>
        </is>
      </c>
      <c r="O23" s="145" t="n"/>
      <c r="P23" s="145" t="n"/>
      <c r="Q23" s="145" t="n"/>
      <c r="R23" s="145" t="n"/>
      <c r="S23" s="145" t="n"/>
      <c r="T23" s="145" t="n"/>
      <c r="U23" s="1" t="n"/>
      <c r="V23" s="1" t="n"/>
      <c r="W23" s="1" t="n"/>
      <c r="X23" s="1" t="n"/>
      <c r="Y23" s="1" t="n"/>
      <c r="Z23" s="1" t="n"/>
    </row>
    <row r="24" ht="15" customHeight="1" s="311">
      <c r="A24" s="41">
        <f>IF($D24="","",ROW()-5)</f>
        <v/>
      </c>
      <c r="B24" s="144" t="n">
        <v>46239</v>
      </c>
      <c r="C24" s="83" t="inlineStr">
        <is>
          <t>Cobro</t>
        </is>
      </c>
      <c r="D24" s="146" t="inlineStr">
        <is>
          <t>transferecia recibida</t>
        </is>
      </c>
      <c r="E24" s="146" t="inlineStr">
        <is>
          <t>Traspaso entre cuentas</t>
        </is>
      </c>
      <c r="F24" s="146" t="inlineStr">
        <is>
          <t>ABANCA (proyecto hipoteca)</t>
        </is>
      </c>
      <c r="G24" s="164">
        <f t="array" ref="G24">IF($F24="","",IFERROR(INDEX(Disponibilidad!$O$6:$O$18,MATCH($F24,Disponibilidad!$B$6:$B$18,0)),"Hogar"))</f>
        <v/>
      </c>
      <c r="H24" s="76" t="n">
        <v>4.78</v>
      </c>
      <c r="I24" s="57">
        <f>IF($D24="","",IF($C24="Cobro",N($H24),-N($H24)))</f>
        <v/>
      </c>
      <c r="J24" s="141" t="n"/>
      <c r="K24" s="64">
        <f>IF($B24="","",TEXT($B24,"YYYY-MM"))</f>
        <v/>
      </c>
      <c r="L24" s="145" t="n"/>
      <c r="M24" s="145" t="n"/>
      <c r="N24" s="40" t="inlineStr">
        <is>
          <t>Impuestos y hacienda</t>
        </is>
      </c>
      <c r="O24" s="145" t="n"/>
      <c r="P24" s="145" t="n"/>
      <c r="Q24" s="145" t="n"/>
      <c r="R24" s="145" t="n"/>
      <c r="S24" s="145" t="n"/>
      <c r="T24" s="145" t="n"/>
      <c r="U24" s="1" t="n"/>
      <c r="V24" s="1" t="n"/>
      <c r="W24" s="1" t="n"/>
      <c r="X24" s="1" t="n"/>
      <c r="Y24" s="1" t="n"/>
      <c r="Z24" s="1" t="n"/>
    </row>
    <row r="25" ht="15" customHeight="1" s="311">
      <c r="A25" s="41">
        <f>IF($D25="","",ROW()-5)</f>
        <v/>
      </c>
      <c r="B25" s="144" t="n">
        <v>46235</v>
      </c>
      <c r="C25" s="83" t="inlineStr">
        <is>
          <t>Pago</t>
        </is>
      </c>
      <c r="D25" s="146" t="inlineStr">
        <is>
          <t>abono tarjeta caixabank</t>
        </is>
      </c>
      <c r="E25" s="146" t="inlineStr">
        <is>
          <t>Tarjeta de crédito</t>
        </is>
      </c>
      <c r="F25" s="146" t="inlineStr">
        <is>
          <t>CaixaBank (corriente 9914)</t>
        </is>
      </c>
      <c r="G25" s="164">
        <f t="array" ref="G25">IF($F25="","",IFERROR(INDEX(Disponibilidad!$O$6:$O$18,MATCH($F25,Disponibilidad!$B$6:$B$18,0)),"Hogar"))</f>
        <v/>
      </c>
      <c r="H25" s="76" t="n">
        <v>9.59</v>
      </c>
      <c r="I25" s="57">
        <f>IF($D25="","",IF($C25="Cobro",N($H25),-N($H25)))</f>
        <v/>
      </c>
      <c r="J25" s="141" t="n"/>
      <c r="K25" s="64">
        <f>IF($B25="","",TEXT($B25,"YYYY-MM"))</f>
        <v/>
      </c>
      <c r="L25" s="145" t="n"/>
      <c r="M25" s="145" t="n"/>
      <c r="N25" s="40" t="inlineStr">
        <is>
          <t>Tarjeta de crédito</t>
        </is>
      </c>
      <c r="O25" s="145" t="n"/>
      <c r="P25" s="145" t="n"/>
      <c r="Q25" s="145" t="n"/>
      <c r="R25" s="145" t="n"/>
      <c r="S25" s="145" t="n"/>
      <c r="T25" s="145" t="n"/>
      <c r="U25" s="1" t="n"/>
      <c r="V25" s="1" t="n"/>
      <c r="W25" s="1" t="n"/>
      <c r="X25" s="1" t="n"/>
      <c r="Y25" s="1" t="n"/>
      <c r="Z25" s="1" t="n"/>
    </row>
    <row r="26" ht="15" customHeight="1" s="311">
      <c r="A26" s="41">
        <f>IF($D26="","",ROW()-5)</f>
        <v/>
      </c>
      <c r="B26" s="144" t="n">
        <v>46241</v>
      </c>
      <c r="C26" s="83" t="inlineStr">
        <is>
          <t>Cobro</t>
        </is>
      </c>
      <c r="D26" s="146" t="inlineStr">
        <is>
          <t>stalin y tomes extra pago</t>
        </is>
      </c>
      <c r="E26" s="146" t="inlineStr">
        <is>
          <t>Regalos recibidos</t>
        </is>
      </c>
      <c r="F26" s="146" t="inlineStr">
        <is>
          <t>Revolut (corriente)</t>
        </is>
      </c>
      <c r="G26" s="164">
        <f t="array" ref="G26">IF($F26="","",IFERROR(INDEX(Disponibilidad!$O$6:$O$18,MATCH($F26,Disponibilidad!$B$6:$B$18,0)),"Hogar"))</f>
        <v/>
      </c>
      <c r="H26" s="76" t="n">
        <v>18</v>
      </c>
      <c r="I26" s="57">
        <f>IF($D26="","",IF($C26="Cobro",N($H26),-N($H26)))</f>
        <v/>
      </c>
      <c r="J26" s="141" t="n"/>
      <c r="K26" s="64">
        <f>IF($B26="","",TEXT($B26,"YYYY-MM"))</f>
        <v/>
      </c>
      <c r="L26" s="145" t="n"/>
      <c r="M26" s="145" t="n"/>
      <c r="N26" s="40" t="inlineStr">
        <is>
          <t>Préstamos y empeños</t>
        </is>
      </c>
      <c r="O26" s="145" t="n"/>
      <c r="P26" s="145" t="n"/>
      <c r="Q26" s="145" t="n"/>
      <c r="R26" s="145" t="n"/>
      <c r="S26" s="145" t="n"/>
      <c r="T26" s="145" t="n"/>
      <c r="U26" s="1" t="n"/>
      <c r="V26" s="1" t="n"/>
      <c r="W26" s="1" t="n"/>
      <c r="X26" s="1" t="n"/>
      <c r="Y26" s="1" t="n"/>
      <c r="Z26" s="1" t="n"/>
    </row>
    <row r="27" ht="15" customHeight="1" s="311">
      <c r="A27" s="41">
        <f>IF($D27="","",ROW()-5)</f>
        <v/>
      </c>
      <c r="B27" s="144" t="n">
        <v>46240</v>
      </c>
      <c r="C27" s="83" t="inlineStr">
        <is>
          <t>Pago</t>
        </is>
      </c>
      <c r="D27" s="146" t="inlineStr">
        <is>
          <t>envio cooreo</t>
        </is>
      </c>
      <c r="E27" s="146" t="inlineStr">
        <is>
          <t>Otros gastos</t>
        </is>
      </c>
      <c r="F27" s="146" t="inlineStr">
        <is>
          <t>Revolut (corriente)</t>
        </is>
      </c>
      <c r="G27" s="164">
        <f t="array" ref="G27">IF($F27="","",IFERROR(INDEX(Disponibilidad!$O$6:$O$18,MATCH($F27,Disponibilidad!$B$6:$B$18,0)),"Hogar"))</f>
        <v/>
      </c>
      <c r="H27" s="76" t="n">
        <v>5.93</v>
      </c>
      <c r="I27" s="57">
        <f>IF($D27="","",IF($C27="Cobro",N($H27),-N($H27)))</f>
        <v/>
      </c>
      <c r="J27" s="141" t="n"/>
      <c r="K27" s="64">
        <f>IF($B27="","",TEXT($B27,"YYYY-MM"))</f>
        <v/>
      </c>
      <c r="L27" s="145" t="n"/>
      <c r="M27" s="145" t="n"/>
      <c r="N27" s="40" t="inlineStr">
        <is>
          <t>Apoyo familiar</t>
        </is>
      </c>
      <c r="O27" s="145" t="n"/>
      <c r="P27" s="145" t="n"/>
      <c r="Q27" s="145" t="n"/>
      <c r="R27" s="145" t="n"/>
      <c r="S27" s="145" t="n"/>
      <c r="T27" s="145" t="n"/>
      <c r="U27" s="1" t="n"/>
      <c r="V27" s="1" t="n"/>
      <c r="W27" s="1" t="n"/>
      <c r="X27" s="1" t="n"/>
      <c r="Y27" s="1" t="n"/>
      <c r="Z27" s="1" t="n"/>
    </row>
    <row r="28" ht="15" customHeight="1" s="311">
      <c r="A28" s="41">
        <f>IF($D28="","",ROW()-5)</f>
        <v/>
      </c>
      <c r="B28" s="144" t="n">
        <v>46240</v>
      </c>
      <c r="C28" s="83" t="inlineStr">
        <is>
          <t>Pago</t>
        </is>
      </c>
      <c r="D28" s="146" t="inlineStr">
        <is>
          <t>Locotoo Corruña</t>
        </is>
      </c>
      <c r="E28" s="146" t="inlineStr">
        <is>
          <t>Ocio y cuidado personal</t>
        </is>
      </c>
      <c r="F28" s="146" t="inlineStr">
        <is>
          <t>Revolut (corriente)</t>
        </is>
      </c>
      <c r="G28" s="164">
        <f t="array" ref="G28">IF($F28="","",IFERROR(INDEX(Disponibilidad!$O$6:$O$18,MATCH($F28,Disponibilidad!$B$6:$B$18,0)),"Hogar"))</f>
        <v/>
      </c>
      <c r="H28" s="76" t="n">
        <v>14.9</v>
      </c>
      <c r="I28" s="57">
        <f>IF($D28="","",IF($C28="Cobro",N($H28),-N($H28)))</f>
        <v/>
      </c>
      <c r="J28" s="141" t="n"/>
      <c r="K28" s="64">
        <f>IF($B28="","",TEXT($B28,"YYYY-MM"))</f>
        <v/>
      </c>
      <c r="L28" s="145" t="n"/>
      <c r="M28" s="145" t="n"/>
      <c r="N28" s="40" t="inlineStr">
        <is>
          <t>Otros gastos</t>
        </is>
      </c>
      <c r="O28" s="145" t="n"/>
      <c r="P28" s="145" t="n"/>
      <c r="Q28" s="145" t="n"/>
      <c r="R28" s="145" t="n"/>
      <c r="S28" s="145" t="n"/>
      <c r="T28" s="145" t="n"/>
      <c r="U28" s="1" t="n"/>
      <c r="V28" s="1" t="n"/>
      <c r="W28" s="1" t="n"/>
      <c r="X28" s="1" t="n"/>
      <c r="Y28" s="1" t="n"/>
      <c r="Z28" s="1" t="n"/>
    </row>
    <row r="29" ht="15" customHeight="1" s="311">
      <c r="A29" s="41">
        <f>IF($D29="","",ROW()-5)</f>
        <v/>
      </c>
      <c r="B29" s="144" t="n">
        <v>46240</v>
      </c>
      <c r="C29" s="83" t="inlineStr">
        <is>
          <t>Pago</t>
        </is>
      </c>
      <c r="D29" s="146" t="inlineStr">
        <is>
          <t xml:space="preserve">JL BARBERSHOP </t>
        </is>
      </c>
      <c r="E29" s="146" t="inlineStr">
        <is>
          <t>Ocio y cuidado personal</t>
        </is>
      </c>
      <c r="F29" s="146" t="inlineStr">
        <is>
          <t>Revolut (corriente)</t>
        </is>
      </c>
      <c r="G29" s="164">
        <f t="array" ref="G29">IF($F29="","",IFERROR(INDEX(Disponibilidad!$O$6:$O$18,MATCH($F29,Disponibilidad!$B$6:$B$18,0)),"Hogar"))</f>
        <v/>
      </c>
      <c r="H29" s="76" t="n">
        <v>13</v>
      </c>
      <c r="I29" s="57">
        <f>IF($D29="","",IF($C29="Cobro",N($H29),-N($H29)))</f>
        <v/>
      </c>
      <c r="J29" s="141" t="n"/>
      <c r="K29" s="64">
        <f>IF($B29="","",TEXT($B29,"YYYY-MM"))</f>
        <v/>
      </c>
      <c r="L29" s="145" t="n"/>
      <c r="M29" s="145" t="n"/>
      <c r="N29" s="40" t="inlineStr">
        <is>
          <t>Aporte a inversión</t>
        </is>
      </c>
      <c r="O29" s="145" t="n"/>
      <c r="P29" s="145" t="n"/>
      <c r="Q29" s="145" t="n"/>
      <c r="R29" s="145" t="n"/>
      <c r="S29" s="145" t="n"/>
      <c r="T29" s="145" t="n"/>
      <c r="U29" s="1" t="n"/>
      <c r="V29" s="1" t="n"/>
      <c r="W29" s="1" t="n"/>
      <c r="X29" s="1" t="n"/>
      <c r="Y29" s="1" t="n"/>
      <c r="Z29" s="1" t="n"/>
    </row>
    <row r="30" ht="15" customHeight="1" s="311">
      <c r="A30" s="41">
        <f>IF($D30="","",ROW()-5)</f>
        <v/>
      </c>
      <c r="B30" s="144" t="n">
        <v>46241</v>
      </c>
      <c r="C30" s="83" t="inlineStr">
        <is>
          <t>Pago</t>
        </is>
      </c>
      <c r="D30" s="146" t="inlineStr">
        <is>
          <t xml:space="preserve">GADIS </t>
        </is>
      </c>
      <c r="E30" s="146" t="inlineStr">
        <is>
          <t>Alimentación</t>
        </is>
      </c>
      <c r="F30" s="146" t="inlineStr">
        <is>
          <t>Revolut (corriente)</t>
        </is>
      </c>
      <c r="G30" s="164">
        <f t="array" ref="G30">IF($F30="","",IFERROR(INDEX(Disponibilidad!$O$6:$O$18,MATCH($F30,Disponibilidad!$B$6:$B$18,0)),"Hogar"))</f>
        <v/>
      </c>
      <c r="H30" s="76" t="n">
        <v>11.54</v>
      </c>
      <c r="I30" s="57">
        <f>IF($D30="","",IF($C30="Cobro",N($H30),-N($H30)))</f>
        <v/>
      </c>
      <c r="J30" s="141" t="n"/>
      <c r="K30" s="64">
        <f>IF($B30="","",TEXT($B30,"YYYY-MM"))</f>
        <v/>
      </c>
      <c r="L30" s="145" t="n"/>
      <c r="M30" s="145" t="n"/>
      <c r="N30" s="40" t="inlineStr">
        <is>
          <t>Aporte a ahorro</t>
        </is>
      </c>
      <c r="O30" s="145" t="n"/>
      <c r="P30" s="145" t="n"/>
      <c r="Q30" s="145" t="n"/>
      <c r="R30" s="145" t="n"/>
      <c r="S30" s="145" t="n"/>
      <c r="T30" s="145" t="n"/>
      <c r="U30" s="1" t="n"/>
      <c r="V30" s="1" t="n"/>
      <c r="W30" s="1" t="n"/>
      <c r="X30" s="1" t="n"/>
      <c r="Y30" s="1" t="n"/>
      <c r="Z30" s="1" t="n"/>
    </row>
    <row r="31" ht="15" customHeight="1" s="311">
      <c r="A31" s="41">
        <f>IF($D31="","",ROW()-5)</f>
        <v/>
      </c>
      <c r="B31" s="144" t="n">
        <v>46241</v>
      </c>
      <c r="C31" s="83" t="inlineStr">
        <is>
          <t>Pago</t>
        </is>
      </c>
      <c r="D31" s="146" t="inlineStr">
        <is>
          <t>Restaurant. Imprevisto</t>
        </is>
      </c>
      <c r="E31" s="146" t="inlineStr">
        <is>
          <t>Ocio y cuidado personal</t>
        </is>
      </c>
      <c r="F31" s="146" t="inlineStr">
        <is>
          <t>Efectivo</t>
        </is>
      </c>
      <c r="G31" s="164">
        <f t="array" ref="G31">IF($F31="","",IFERROR(INDEX(Disponibilidad!$O$6:$O$18,MATCH($F31,Disponibilidad!$B$6:$B$18,0)),"Hogar"))</f>
        <v/>
      </c>
      <c r="H31" s="76" t="n">
        <v>5.5</v>
      </c>
      <c r="I31" s="57">
        <f>IF($D31="","",IF($C31="Cobro",N($H31),-N($H31)))</f>
        <v/>
      </c>
      <c r="J31" s="141" t="n"/>
      <c r="K31" s="64">
        <f>IF($B31="","",TEXT($B31,"YYYY-MM"))</f>
        <v/>
      </c>
      <c r="L31" s="145" t="n"/>
      <c r="M31" s="145" t="n"/>
      <c r="N31" s="40" t="inlineStr">
        <is>
          <t>Amortización de deuda</t>
        </is>
      </c>
      <c r="O31" s="145" t="n"/>
      <c r="P31" s="145" t="n"/>
      <c r="Q31" s="145" t="n"/>
      <c r="R31" s="145" t="n"/>
      <c r="S31" s="145" t="n"/>
      <c r="T31" s="145" t="n"/>
      <c r="U31" s="1" t="n"/>
      <c r="V31" s="1" t="n"/>
      <c r="W31" s="1" t="n"/>
      <c r="X31" s="1" t="n"/>
      <c r="Y31" s="1" t="n"/>
      <c r="Z31" s="1" t="n"/>
    </row>
    <row r="32" ht="15" customHeight="1" s="311">
      <c r="A32" s="41">
        <f>IF($D32="","",ROW()-5)</f>
        <v/>
      </c>
      <c r="B32" s="144" t="n">
        <v>46241</v>
      </c>
      <c r="C32" s="83" t="inlineStr">
        <is>
          <t>Pago</t>
        </is>
      </c>
      <c r="D32" s="146" t="inlineStr">
        <is>
          <t>compra coviran</t>
        </is>
      </c>
      <c r="E32" s="146" t="inlineStr">
        <is>
          <t>Alimentación</t>
        </is>
      </c>
      <c r="F32" s="146" t="inlineStr">
        <is>
          <t>Efectivo</t>
        </is>
      </c>
      <c r="G32" s="164">
        <f t="array" ref="G32">IF($F32="","",IFERROR(INDEX(Disponibilidad!$O$6:$O$18,MATCH($F32,Disponibilidad!$B$6:$B$18,0)),"Hogar"))</f>
        <v/>
      </c>
      <c r="H32" s="76" t="n">
        <v>4.5</v>
      </c>
      <c r="I32" s="57">
        <f>IF($D32="","",IF($C32="Cobro",N($H32),-N($H32)))</f>
        <v/>
      </c>
      <c r="J32" s="141" t="n"/>
      <c r="K32" s="64">
        <f>IF($B32="","",TEXT($B32,"YYYY-MM"))</f>
        <v/>
      </c>
      <c r="L32" s="145" t="n"/>
      <c r="M32" s="145" t="n"/>
      <c r="N32" s="40" t="inlineStr">
        <is>
          <t>Traspaso entre cuentas</t>
        </is>
      </c>
      <c r="O32" s="145" t="n"/>
      <c r="P32" s="145" t="n"/>
      <c r="Q32" s="145" t="n"/>
      <c r="R32" s="145" t="n"/>
      <c r="S32" s="145" t="n"/>
      <c r="T32" s="145" t="n"/>
      <c r="U32" s="1" t="n"/>
      <c r="V32" s="1" t="n"/>
      <c r="W32" s="1" t="n"/>
      <c r="X32" s="1" t="n"/>
      <c r="Y32" s="1" t="n"/>
      <c r="Z32" s="1" t="n"/>
    </row>
    <row r="33" ht="15" customHeight="1" s="311">
      <c r="A33" s="41">
        <f>IF($D33="","",ROW()-5)</f>
        <v/>
      </c>
      <c r="B33" s="144" t="n">
        <v>46243</v>
      </c>
      <c r="C33" s="83" t="inlineStr">
        <is>
          <t>Cobro</t>
        </is>
      </c>
      <c r="D33" s="146" t="inlineStr">
        <is>
          <t>Yany Garcia</t>
        </is>
      </c>
      <c r="E33" s="146" t="inlineStr">
        <is>
          <t>Regalos recibidos</t>
        </is>
      </c>
      <c r="F33" s="146" t="inlineStr">
        <is>
          <t>Revolut (corriente)</t>
        </is>
      </c>
      <c r="G33" s="164">
        <f t="array" ref="G33">IF($F33="","",IFERROR(INDEX(Disponibilidad!$O$6:$O$18,MATCH($F33,Disponibilidad!$B$6:$B$18,0)),"Hogar"))</f>
        <v/>
      </c>
      <c r="H33" s="76" t="n">
        <v>40</v>
      </c>
      <c r="I33" s="57">
        <f>IF($D33="","",IF($C33="Cobro",N($H33),-N($H33)))</f>
        <v/>
      </c>
      <c r="J33" s="141" t="n"/>
      <c r="K33" s="64">
        <f>IF($B33="","",TEXT($B33,"YYYY-MM"))</f>
        <v/>
      </c>
      <c r="L33" s="145" t="n"/>
      <c r="M33" s="145" t="n"/>
      <c r="N33" s="40" t="inlineStr">
        <is>
          <t>Empeño</t>
        </is>
      </c>
      <c r="O33" s="145" t="n"/>
      <c r="P33" s="145" t="n"/>
      <c r="Q33" s="145" t="n"/>
      <c r="R33" s="145" t="n"/>
      <c r="S33" s="145" t="n"/>
      <c r="T33" s="145" t="n"/>
      <c r="U33" s="1" t="n"/>
      <c r="V33" s="1" t="n"/>
      <c r="W33" s="1" t="n"/>
      <c r="X33" s="1" t="n"/>
      <c r="Y33" s="1" t="n"/>
      <c r="Z33" s="1" t="n"/>
    </row>
    <row r="34" ht="15" customHeight="1" s="311">
      <c r="A34" s="41">
        <f>IF($D34="","",ROW()-5)</f>
        <v/>
      </c>
      <c r="B34" s="144" t="n">
        <v>46244</v>
      </c>
      <c r="C34" s="83" t="inlineStr">
        <is>
          <t>Pago</t>
        </is>
      </c>
      <c r="D34" s="146" t="inlineStr">
        <is>
          <t>supermercado lidel</t>
        </is>
      </c>
      <c r="E34" s="146" t="inlineStr">
        <is>
          <t>Alimentación</t>
        </is>
      </c>
      <c r="F34" s="146" t="inlineStr">
        <is>
          <t>Revolut (corriente)</t>
        </is>
      </c>
      <c r="G34" s="164">
        <f t="array" ref="G34">IF($F34="","",IFERROR(INDEX(Disponibilidad!$O$6:$O$18,MATCH($F34,Disponibilidad!$B$6:$B$18,0)),"Hogar"))</f>
        <v/>
      </c>
      <c r="H34" s="76" t="n">
        <v>21.18</v>
      </c>
      <c r="I34" s="57">
        <f>IF($D34="","",IF($C34="Cobro",N($H34),-N($H34)))</f>
        <v/>
      </c>
      <c r="J34" s="141" t="n"/>
      <c r="K34" s="64">
        <f>IF($B34="","",TEXT($B34,"YYYY-MM"))</f>
        <v/>
      </c>
      <c r="L34" s="145" t="n"/>
      <c r="M34" s="145" t="n"/>
      <c r="N34" s="40" t="inlineStr">
        <is>
          <t>Préstamo particular</t>
        </is>
      </c>
      <c r="O34" s="145" t="n"/>
      <c r="P34" s="145" t="n"/>
      <c r="Q34" s="145" t="n"/>
      <c r="R34" s="145" t="n"/>
      <c r="S34" s="145" t="n"/>
      <c r="T34" s="145" t="n"/>
      <c r="U34" s="1" t="n"/>
      <c r="V34" s="1" t="n"/>
      <c r="W34" s="1" t="n"/>
      <c r="X34" s="1" t="n"/>
      <c r="Y34" s="1" t="n"/>
      <c r="Z34" s="1" t="n"/>
    </row>
    <row r="35" ht="15" customHeight="1" s="311">
      <c r="A35" s="41">
        <f>IF($D35="","",ROW()-5)</f>
        <v/>
      </c>
      <c r="B35" s="144" t="n">
        <v>46244</v>
      </c>
      <c r="C35" s="83" t="inlineStr">
        <is>
          <t>Pago</t>
        </is>
      </c>
      <c r="D35" s="146" t="inlineStr">
        <is>
          <t>supermercado gadis</t>
        </is>
      </c>
      <c r="E35" s="146" t="inlineStr">
        <is>
          <t>Alimentación</t>
        </is>
      </c>
      <c r="F35" s="146" t="inlineStr">
        <is>
          <t>Revolut (corriente)</t>
        </is>
      </c>
      <c r="G35" s="164">
        <f t="array" ref="G35">IF($F35="","",IFERROR(INDEX(Disponibilidad!$O$6:$O$18,MATCH($F35,Disponibilidad!$B$6:$B$18,0)),"Hogar"))</f>
        <v/>
      </c>
      <c r="H35" s="76" t="n">
        <v>6.07</v>
      </c>
      <c r="I35" s="57">
        <f>IF($D35="","",IF($C35="Cobro",N($H35),-N($H35)))</f>
        <v/>
      </c>
      <c r="J35" s="141" t="n"/>
      <c r="K35" s="64">
        <f>IF($B35="","",TEXT($B35,"YYYY-MM"))</f>
        <v/>
      </c>
      <c r="L35" s="145" t="n"/>
      <c r="M35" s="145" t="n"/>
      <c r="N35" s="40" t="inlineStr">
        <is>
          <t>Crédito comercial</t>
        </is>
      </c>
      <c r="O35" s="145" t="n"/>
      <c r="P35" s="145" t="n"/>
      <c r="Q35" s="145" t="n"/>
      <c r="R35" s="145" t="n"/>
      <c r="S35" s="145" t="n"/>
      <c r="T35" s="145" t="n"/>
      <c r="U35" s="1" t="n"/>
      <c r="V35" s="1" t="n"/>
      <c r="W35" s="1" t="n"/>
      <c r="X35" s="1" t="n"/>
      <c r="Y35" s="1" t="n"/>
      <c r="Z35" s="1" t="n"/>
    </row>
    <row r="36" ht="15" customHeight="1" s="311">
      <c r="A36" s="41">
        <f>IF($D36="","",ROW()-5)</f>
        <v/>
      </c>
      <c r="B36" s="144" t="n">
        <v>46245</v>
      </c>
      <c r="C36" s="83" t="inlineStr">
        <is>
          <t>Cobro</t>
        </is>
      </c>
      <c r="D36" s="146" t="inlineStr">
        <is>
          <t>aporte Iris para alimentacion</t>
        </is>
      </c>
      <c r="E36" s="146" t="inlineStr">
        <is>
          <t>Otros ingresos</t>
        </is>
      </c>
      <c r="F36" s="146" t="inlineStr">
        <is>
          <t>Efectivo</t>
        </is>
      </c>
      <c r="G36" s="164">
        <f t="array" ref="G36">IF($F36="","",IFERROR(INDEX(Disponibilidad!$O$6:$O$18,MATCH($F36,Disponibilidad!$B$6:$B$18,0)),"Hogar"))</f>
        <v/>
      </c>
      <c r="H36" s="76" t="n">
        <v>20</v>
      </c>
      <c r="I36" s="57">
        <f>IF($D36="","",IF($C36="Cobro",N($H36),-N($H36)))</f>
        <v/>
      </c>
      <c r="J36" s="141" t="n"/>
      <c r="K36" s="64">
        <f>IF($B36="","",TEXT($B36,"YYYY-MM"))</f>
        <v/>
      </c>
      <c r="L36" s="145" t="n"/>
      <c r="M36" s="145" t="n"/>
      <c r="N36" s="40" t="inlineStr">
        <is>
          <t>Intereses de empeño</t>
        </is>
      </c>
      <c r="O36" s="145" t="n"/>
      <c r="P36" s="145" t="n"/>
      <c r="Q36" s="145" t="n"/>
      <c r="R36" s="145" t="n"/>
      <c r="S36" s="145" t="n"/>
      <c r="T36" s="145" t="n"/>
      <c r="U36" s="1" t="n"/>
      <c r="V36" s="1" t="n"/>
      <c r="W36" s="1" t="n"/>
      <c r="X36" s="1" t="n"/>
      <c r="Y36" s="1" t="n"/>
      <c r="Z36" s="1" t="n"/>
    </row>
    <row r="37" ht="15" customHeight="1" s="311">
      <c r="A37" s="41">
        <f>IF($D37="","",ROW()-5)</f>
        <v/>
      </c>
      <c r="B37" s="144" t="n">
        <v>46246</v>
      </c>
      <c r="C37" s="83" t="inlineStr">
        <is>
          <t>Cobro</t>
        </is>
      </c>
      <c r="D37" s="146" t="inlineStr">
        <is>
          <t>aporte jose antonio para alimentacion</t>
        </is>
      </c>
      <c r="E37" s="146" t="inlineStr">
        <is>
          <t>Otros ingresos</t>
        </is>
      </c>
      <c r="F37" s="146" t="inlineStr">
        <is>
          <t>Efectivo</t>
        </is>
      </c>
      <c r="G37" s="164">
        <f t="array" ref="G37">IF($F37="","",IFERROR(INDEX(Disponibilidad!$O$6:$O$18,MATCH($F37,Disponibilidad!$B$6:$B$18,0)),"Hogar"))</f>
        <v/>
      </c>
      <c r="H37" s="76" t="n">
        <v>51.18</v>
      </c>
      <c r="I37" s="57">
        <f>IF($D37="","",IF($C37="Cobro",N($H37),-N($H37)))</f>
        <v/>
      </c>
      <c r="J37" s="141" t="n"/>
      <c r="K37" s="64">
        <f>IF($B37="","",TEXT($B37,"YYYY-MM"))</f>
        <v/>
      </c>
      <c r="L37" s="145" t="n"/>
      <c r="M37" s="145" t="n"/>
      <c r="N37" s="145" t="n"/>
      <c r="O37" s="145" t="n"/>
      <c r="P37" s="145" t="n"/>
      <c r="Q37" s="145" t="n"/>
      <c r="R37" s="145" t="n"/>
      <c r="S37" s="145" t="n"/>
      <c r="T37" s="145" t="n"/>
      <c r="U37" s="1" t="n"/>
      <c r="V37" s="1" t="n"/>
      <c r="W37" s="1" t="n"/>
      <c r="X37" s="1" t="n"/>
      <c r="Y37" s="1" t="n"/>
      <c r="Z37" s="1" t="n"/>
    </row>
    <row r="38" ht="15" customHeight="1" s="311">
      <c r="A38" s="41">
        <f>IF($D38="","",ROW()-5)</f>
        <v/>
      </c>
      <c r="B38" s="144" t="n">
        <v>46246</v>
      </c>
      <c r="C38" s="83" t="inlineStr">
        <is>
          <t>Pago</t>
        </is>
      </c>
      <c r="D38" s="146" t="inlineStr">
        <is>
          <t>apusta de loteria</t>
        </is>
      </c>
      <c r="E38" s="146" t="inlineStr">
        <is>
          <t>Ocio y cuidado personal</t>
        </is>
      </c>
      <c r="F38" s="146" t="inlineStr">
        <is>
          <t>Efectivo</t>
        </is>
      </c>
      <c r="G38" s="164">
        <f t="array" ref="G38">IF($F38="","",IFERROR(INDEX(Disponibilidad!$O$6:$O$18,MATCH($F38,Disponibilidad!$B$6:$B$18,0)),"Hogar"))</f>
        <v/>
      </c>
      <c r="H38" s="76" t="n">
        <v>2.5</v>
      </c>
      <c r="I38" s="57">
        <f>IF($D38="","",IF($C38="Cobro",N($H38),-N($H38)))</f>
        <v/>
      </c>
      <c r="J38" s="141" t="n"/>
      <c r="K38" s="64">
        <f>IF($B38="","",TEXT($B38,"YYYY-MM"))</f>
        <v/>
      </c>
      <c r="L38" s="145" t="n"/>
      <c r="M38" s="145" t="n"/>
      <c r="N38" s="145" t="n"/>
      <c r="O38" s="145" t="n"/>
      <c r="P38" s="145" t="n"/>
      <c r="Q38" s="145" t="n"/>
      <c r="R38" s="145" t="n"/>
      <c r="S38" s="145" t="n"/>
      <c r="T38" s="145" t="n"/>
      <c r="U38" s="1" t="n"/>
      <c r="V38" s="1" t="n"/>
      <c r="W38" s="1" t="n"/>
      <c r="X38" s="1" t="n"/>
      <c r="Y38" s="1" t="n"/>
      <c r="Z38" s="1" t="n"/>
    </row>
    <row r="39" ht="15" customHeight="1" s="311">
      <c r="A39" s="41">
        <f>IF($D39="","",ROW()-5)</f>
        <v/>
      </c>
      <c r="B39" s="144" t="n">
        <v>46246</v>
      </c>
      <c r="C39" s="83" t="inlineStr">
        <is>
          <t>Pago</t>
        </is>
      </c>
      <c r="D39" s="146" t="inlineStr">
        <is>
          <t xml:space="preserve">Compras de alimentos en supermercados </t>
        </is>
      </c>
      <c r="E39" s="146" t="inlineStr">
        <is>
          <t>Alimentación</t>
        </is>
      </c>
      <c r="F39" s="146" t="inlineStr">
        <is>
          <t>Efectivo</t>
        </is>
      </c>
      <c r="G39" s="164">
        <f t="array" ref="G39">IF($F39="","",IFERROR(INDEX(Disponibilidad!$O$6:$O$18,MATCH($F39,Disponibilidad!$B$6:$B$18,0)),"Hogar"))</f>
        <v/>
      </c>
      <c r="H39" s="76" t="n">
        <v>71.18000000000001</v>
      </c>
      <c r="I39" s="57">
        <f>IF($D39="","",IF($C39="Cobro",N($H39),-N($H39)))</f>
        <v/>
      </c>
      <c r="J39" s="141" t="n"/>
      <c r="K39" s="64">
        <f>IF($B39="","",TEXT($B39,"YYYY-MM"))</f>
        <v/>
      </c>
      <c r="L39" s="145" t="n"/>
      <c r="M39" s="145" t="n"/>
      <c r="N39" s="145" t="n"/>
      <c r="O39" s="145" t="n"/>
      <c r="P39" s="145" t="n"/>
      <c r="Q39" s="145" t="n"/>
      <c r="R39" s="145" t="n"/>
      <c r="S39" s="145" t="n"/>
      <c r="T39" s="145" t="n"/>
      <c r="U39" s="1" t="n"/>
      <c r="V39" s="1" t="n"/>
      <c r="W39" s="1" t="n"/>
      <c r="X39" s="1" t="n"/>
      <c r="Y39" s="1" t="n"/>
      <c r="Z39" s="1" t="n"/>
    </row>
    <row r="40" ht="15" customHeight="1" s="311">
      <c r="A40" s="41">
        <f>IF($D40="","",ROW()-5)</f>
        <v/>
      </c>
      <c r="B40" s="144" t="n"/>
      <c r="C40" s="83" t="n"/>
      <c r="D40" s="146" t="n"/>
      <c r="E40" s="146" t="n"/>
      <c r="F40" s="146" t="n"/>
      <c r="G40" s="164">
        <f t="array" ref="G40">IF($F40="","",IFERROR(INDEX(Disponibilidad!$O$6:$O$18,MATCH($F40,Disponibilidad!$B$6:$B$18,0)),"Hogar"))</f>
        <v/>
      </c>
      <c r="H40" s="76" t="n"/>
      <c r="I40" s="57">
        <f>IF($D40="","",IF($C40="Cobro",N($H40),-N($H40)))</f>
        <v/>
      </c>
      <c r="J40" s="141" t="n"/>
      <c r="K40" s="64">
        <f>IF($B40="","",TEXT($B40,"YYYY-MM"))</f>
        <v/>
      </c>
      <c r="L40" s="145" t="n"/>
      <c r="M40" s="145" t="n"/>
      <c r="N40" s="145" t="n"/>
      <c r="O40" s="145" t="n"/>
      <c r="P40" s="145" t="n"/>
      <c r="Q40" s="145" t="n"/>
      <c r="R40" s="145" t="n"/>
      <c r="S40" s="145" t="n"/>
      <c r="T40" s="145" t="n"/>
      <c r="U40" s="1" t="n"/>
      <c r="V40" s="1" t="n"/>
      <c r="W40" s="1" t="n"/>
      <c r="X40" s="1" t="n"/>
      <c r="Y40" s="1" t="n"/>
      <c r="Z40" s="1" t="n"/>
    </row>
    <row r="41" ht="15" customHeight="1" s="311">
      <c r="A41" s="41">
        <f>IF($D41="","",ROW()-5)</f>
        <v/>
      </c>
      <c r="B41" s="144" t="n"/>
      <c r="C41" s="83" t="n"/>
      <c r="D41" s="146" t="n"/>
      <c r="E41" s="146" t="n"/>
      <c r="F41" s="146" t="n"/>
      <c r="G41" s="164">
        <f t="array" ref="G41">IF($F41="","",IFERROR(INDEX(Disponibilidad!$O$6:$O$18,MATCH($F41,Disponibilidad!$B$6:$B$18,0)),"Hogar"))</f>
        <v/>
      </c>
      <c r="H41" s="76" t="n"/>
      <c r="I41" s="57">
        <f>IF($D41="","",IF($C41="Cobro",N($H41),-N($H41)))</f>
        <v/>
      </c>
      <c r="J41" s="141" t="n"/>
      <c r="K41" s="64">
        <f>IF($B41="","",TEXT($B41,"YYYY-MM"))</f>
        <v/>
      </c>
      <c r="L41" s="145" t="n"/>
      <c r="M41" s="145" t="n"/>
      <c r="N41" s="145" t="n"/>
      <c r="O41" s="145" t="n"/>
      <c r="P41" s="145" t="n"/>
      <c r="Q41" s="145" t="n"/>
      <c r="R41" s="145" t="n"/>
      <c r="S41" s="145" t="n"/>
      <c r="T41" s="145" t="n"/>
      <c r="U41" s="1" t="n"/>
      <c r="V41" s="1" t="n"/>
      <c r="W41" s="1" t="n"/>
      <c r="X41" s="1" t="n"/>
      <c r="Y41" s="1" t="n"/>
      <c r="Z41" s="1" t="n"/>
    </row>
    <row r="42" ht="15" customHeight="1" s="311">
      <c r="A42" s="41">
        <f>IF($D42="","",ROW()-5)</f>
        <v/>
      </c>
      <c r="B42" s="144" t="n"/>
      <c r="C42" s="83" t="n"/>
      <c r="D42" s="146" t="n"/>
      <c r="E42" s="146" t="n"/>
      <c r="F42" s="146" t="n"/>
      <c r="G42" s="164">
        <f t="array" ref="G42">IF($F42="","",IFERROR(INDEX(Disponibilidad!$O$6:$O$18,MATCH($F42,Disponibilidad!$B$6:$B$18,0)),"Hogar"))</f>
        <v/>
      </c>
      <c r="H42" s="76" t="n"/>
      <c r="I42" s="57">
        <f>IF($D42="","",IF($C42="Cobro",N($H42),-N($H42)))</f>
        <v/>
      </c>
      <c r="J42" s="141" t="n"/>
      <c r="K42" s="64">
        <f>IF($B42="","",TEXT($B42,"YYYY-MM"))</f>
        <v/>
      </c>
      <c r="L42" s="145" t="n"/>
      <c r="M42" s="145" t="n"/>
      <c r="N42" s="145" t="n"/>
      <c r="O42" s="145" t="n"/>
      <c r="P42" s="145" t="n"/>
      <c r="Q42" s="145" t="n"/>
      <c r="R42" s="145" t="n"/>
      <c r="S42" s="145" t="n"/>
      <c r="T42" s="145" t="n"/>
      <c r="U42" s="1" t="n"/>
      <c r="V42" s="1" t="n"/>
      <c r="W42" s="1" t="n"/>
      <c r="X42" s="1" t="n"/>
      <c r="Y42" s="1" t="n"/>
      <c r="Z42" s="1" t="n"/>
    </row>
    <row r="43" ht="15" customHeight="1" s="311">
      <c r="A43" s="41">
        <f>IF($D43="","",ROW()-5)</f>
        <v/>
      </c>
      <c r="B43" s="144" t="n"/>
      <c r="C43" s="83" t="n"/>
      <c r="D43" s="146" t="n"/>
      <c r="E43" s="146" t="n"/>
      <c r="F43" s="146" t="n"/>
      <c r="G43" s="164">
        <f t="array" ref="G43">IF($F43="","",IFERROR(INDEX(Disponibilidad!$O$6:$O$18,MATCH($F43,Disponibilidad!$B$6:$B$18,0)),"Hogar"))</f>
        <v/>
      </c>
      <c r="H43" s="76" t="n"/>
      <c r="I43" s="57">
        <f>IF($D43="","",IF($C43="Cobro",N($H43),-N($H43)))</f>
        <v/>
      </c>
      <c r="J43" s="141" t="n"/>
      <c r="K43" s="64">
        <f>IF($B43="","",TEXT($B43,"YYYY-MM"))</f>
        <v/>
      </c>
      <c r="L43" s="145" t="n"/>
      <c r="M43" s="145" t="n"/>
      <c r="N43" s="145" t="n"/>
      <c r="O43" s="145" t="n"/>
      <c r="P43" s="145" t="n"/>
      <c r="Q43" s="145" t="n"/>
      <c r="R43" s="145" t="n"/>
      <c r="S43" s="145" t="n"/>
      <c r="T43" s="145" t="n"/>
      <c r="U43" s="1" t="n"/>
      <c r="V43" s="1" t="n"/>
      <c r="W43" s="1" t="n"/>
      <c r="X43" s="1" t="n"/>
      <c r="Y43" s="1" t="n"/>
      <c r="Z43" s="1" t="n"/>
    </row>
    <row r="44" ht="15" customHeight="1" s="311">
      <c r="A44" s="41">
        <f>IF($D44="","",ROW()-5)</f>
        <v/>
      </c>
      <c r="B44" s="144" t="n"/>
      <c r="C44" s="83" t="n"/>
      <c r="D44" s="146" t="n"/>
      <c r="E44" s="146" t="n"/>
      <c r="F44" s="146" t="n"/>
      <c r="G44" s="164">
        <f t="array" ref="G44">IF($F44="","",IFERROR(INDEX(Disponibilidad!$O$6:$O$18,MATCH($F44,Disponibilidad!$B$6:$B$18,0)),"Hogar"))</f>
        <v/>
      </c>
      <c r="H44" s="76" t="n"/>
      <c r="I44" s="57">
        <f>IF($D44="","",IF($C44="Cobro",N($H44),-N($H44)))</f>
        <v/>
      </c>
      <c r="J44" s="141" t="n"/>
      <c r="K44" s="64">
        <f>IF($B44="","",TEXT($B44,"YYYY-MM"))</f>
        <v/>
      </c>
      <c r="L44" s="145" t="n"/>
      <c r="M44" s="145" t="n"/>
      <c r="N44" s="145" t="n"/>
      <c r="O44" s="145" t="n"/>
      <c r="P44" s="145" t="n"/>
      <c r="Q44" s="145" t="n"/>
      <c r="R44" s="145" t="n"/>
      <c r="S44" s="145" t="n"/>
      <c r="T44" s="145" t="n"/>
      <c r="U44" s="1" t="n"/>
      <c r="V44" s="1" t="n"/>
      <c r="W44" s="1" t="n"/>
      <c r="X44" s="1" t="n"/>
      <c r="Y44" s="1" t="n"/>
      <c r="Z44" s="1" t="n"/>
    </row>
    <row r="45" ht="15" customHeight="1" s="311">
      <c r="A45" s="41">
        <f>IF($D45="","",ROW()-5)</f>
        <v/>
      </c>
      <c r="B45" s="144" t="n"/>
      <c r="C45" s="83" t="n"/>
      <c r="D45" s="146" t="n"/>
      <c r="E45" s="146" t="n"/>
      <c r="F45" s="146" t="n"/>
      <c r="G45" s="164">
        <f t="array" ref="G45">IF($F45="","",IFERROR(INDEX(Disponibilidad!$O$6:$O$18,MATCH($F45,Disponibilidad!$B$6:$B$18,0)),"Hogar"))</f>
        <v/>
      </c>
      <c r="H45" s="76" t="n"/>
      <c r="I45" s="57">
        <f>IF($D45="","",IF($C45="Cobro",N($H45),-N($H45)))</f>
        <v/>
      </c>
      <c r="J45" s="141" t="n"/>
      <c r="K45" s="64">
        <f>IF($B45="","",TEXT($B45,"YYYY-MM"))</f>
        <v/>
      </c>
      <c r="L45" s="145" t="n"/>
      <c r="M45" s="145" t="n"/>
      <c r="N45" s="145" t="n"/>
      <c r="O45" s="145" t="n"/>
      <c r="P45" s="145" t="n"/>
      <c r="Q45" s="145" t="n"/>
      <c r="R45" s="145" t="n"/>
      <c r="S45" s="145" t="n"/>
      <c r="T45" s="145" t="n"/>
      <c r="U45" s="1" t="n"/>
      <c r="V45" s="1" t="n"/>
      <c r="W45" s="1" t="n"/>
      <c r="X45" s="1" t="n"/>
      <c r="Y45" s="1" t="n"/>
      <c r="Z45" s="1" t="n"/>
    </row>
    <row r="46" ht="15" customHeight="1" s="311">
      <c r="A46" s="41">
        <f>IF($D46="","",ROW()-5)</f>
        <v/>
      </c>
      <c r="B46" s="144" t="n"/>
      <c r="C46" s="83" t="n"/>
      <c r="D46" s="146" t="n"/>
      <c r="E46" s="146" t="n"/>
      <c r="F46" s="146" t="n"/>
      <c r="G46" s="164">
        <f t="array" ref="G46">IF($F46="","",IFERROR(INDEX(Disponibilidad!$O$6:$O$18,MATCH($F46,Disponibilidad!$B$6:$B$18,0)),"Hogar"))</f>
        <v/>
      </c>
      <c r="H46" s="76" t="n"/>
      <c r="I46" s="57">
        <f>IF($D46="","",IF($C46="Cobro",N($H46),-N($H46)))</f>
        <v/>
      </c>
      <c r="J46" s="141" t="n"/>
      <c r="K46" s="64">
        <f>IF($B46="","",TEXT($B46,"YYYY-MM"))</f>
        <v/>
      </c>
      <c r="L46" s="145" t="n"/>
      <c r="M46" s="145" t="n"/>
      <c r="N46" s="145" t="n"/>
      <c r="O46" s="145" t="n"/>
      <c r="P46" s="145" t="n"/>
      <c r="Q46" s="145" t="n"/>
      <c r="R46" s="145" t="n"/>
      <c r="S46" s="145" t="n"/>
      <c r="T46" s="145" t="n"/>
      <c r="U46" s="1" t="n"/>
      <c r="V46" s="1" t="n"/>
      <c r="W46" s="1" t="n"/>
      <c r="X46" s="1" t="n"/>
      <c r="Y46" s="1" t="n"/>
      <c r="Z46" s="1" t="n"/>
    </row>
    <row r="47" ht="15" customHeight="1" s="311">
      <c r="A47" s="41">
        <f>IF($D47="","",ROW()-5)</f>
        <v/>
      </c>
      <c r="B47" s="144" t="n"/>
      <c r="C47" s="83" t="n"/>
      <c r="D47" s="146" t="n"/>
      <c r="E47" s="146" t="n"/>
      <c r="F47" s="146" t="n"/>
      <c r="G47" s="164">
        <f t="array" ref="G47">IF($F47="","",IFERROR(INDEX(Disponibilidad!$O$6:$O$18,MATCH($F47,Disponibilidad!$B$6:$B$18,0)),"Hogar"))</f>
        <v/>
      </c>
      <c r="H47" s="76" t="n"/>
      <c r="I47" s="57">
        <f>IF($D47="","",IF($C47="Cobro",N($H47),-N($H47)))</f>
        <v/>
      </c>
      <c r="J47" s="141" t="n"/>
      <c r="K47" s="64">
        <f>IF($B47="","",TEXT($B47,"YYYY-MM"))</f>
        <v/>
      </c>
      <c r="L47" s="145" t="n"/>
      <c r="M47" s="145" t="n"/>
      <c r="N47" s="145" t="n"/>
      <c r="O47" s="145" t="n"/>
      <c r="P47" s="145" t="n"/>
      <c r="Q47" s="145" t="n"/>
      <c r="R47" s="145" t="n"/>
      <c r="S47" s="145" t="n"/>
      <c r="T47" s="145" t="n"/>
      <c r="U47" s="1" t="n"/>
      <c r="V47" s="1" t="n"/>
      <c r="W47" s="1" t="n"/>
      <c r="X47" s="1" t="n"/>
      <c r="Y47" s="1" t="n"/>
      <c r="Z47" s="1" t="n"/>
    </row>
    <row r="48" ht="15" customHeight="1" s="311">
      <c r="A48" s="41">
        <f>IF($D48="","",ROW()-5)</f>
        <v/>
      </c>
      <c r="B48" s="144" t="n"/>
      <c r="C48" s="83" t="n"/>
      <c r="D48" s="146" t="n"/>
      <c r="E48" s="146" t="n"/>
      <c r="F48" s="146" t="n"/>
      <c r="G48" s="164">
        <f t="array" ref="G48">IF($F48="","",IFERROR(INDEX(Disponibilidad!$O$6:$O$18,MATCH($F48,Disponibilidad!$B$6:$B$18,0)),"Hogar"))</f>
        <v/>
      </c>
      <c r="H48" s="76" t="n"/>
      <c r="I48" s="57">
        <f>IF($D48="","",IF($C48="Cobro",N($H48),-N($H48)))</f>
        <v/>
      </c>
      <c r="J48" s="141" t="n"/>
      <c r="K48" s="64">
        <f>IF($B48="","",TEXT($B48,"YYYY-MM"))</f>
        <v/>
      </c>
      <c r="L48" s="145" t="n"/>
      <c r="M48" s="145" t="n"/>
      <c r="N48" s="145" t="n"/>
      <c r="O48" s="145" t="n"/>
      <c r="P48" s="145" t="n"/>
      <c r="Q48" s="145" t="n"/>
      <c r="R48" s="145" t="n"/>
      <c r="S48" s="145" t="n"/>
      <c r="T48" s="145" t="n"/>
      <c r="U48" s="1" t="n"/>
      <c r="V48" s="1" t="n"/>
      <c r="W48" s="1" t="n"/>
      <c r="X48" s="1" t="n"/>
      <c r="Y48" s="1" t="n"/>
      <c r="Z48" s="1" t="n"/>
    </row>
    <row r="49" ht="15" customHeight="1" s="311">
      <c r="A49" s="41">
        <f>IF($D49="","",ROW()-5)</f>
        <v/>
      </c>
      <c r="B49" s="144" t="n"/>
      <c r="C49" s="83" t="n"/>
      <c r="D49" s="146" t="n"/>
      <c r="E49" s="146" t="n"/>
      <c r="F49" s="146" t="n"/>
      <c r="G49" s="164">
        <f t="array" ref="G49">IF($F49="","",IFERROR(INDEX(Disponibilidad!$O$6:$O$18,MATCH($F49,Disponibilidad!$B$6:$B$18,0)),"Hogar"))</f>
        <v/>
      </c>
      <c r="H49" s="76" t="n"/>
      <c r="I49" s="57">
        <f>IF($D49="","",IF($C49="Cobro",N($H49),-N($H49)))</f>
        <v/>
      </c>
      <c r="J49" s="141" t="n"/>
      <c r="K49" s="64">
        <f>IF($B49="","",TEXT($B49,"YYYY-MM"))</f>
        <v/>
      </c>
      <c r="L49" s="145" t="n"/>
      <c r="M49" s="145" t="n"/>
      <c r="N49" s="145" t="n"/>
      <c r="O49" s="145" t="n"/>
      <c r="P49" s="145" t="n"/>
      <c r="Q49" s="145" t="n"/>
      <c r="R49" s="145" t="n"/>
      <c r="S49" s="145" t="n"/>
      <c r="T49" s="145" t="n"/>
      <c r="U49" s="1" t="n"/>
      <c r="V49" s="1" t="n"/>
      <c r="W49" s="1" t="n"/>
      <c r="X49" s="1" t="n"/>
      <c r="Y49" s="1" t="n"/>
      <c r="Z49" s="1" t="n"/>
    </row>
    <row r="50" ht="15" customHeight="1" s="311">
      <c r="A50" s="41">
        <f>IF($D50="","",ROW()-5)</f>
        <v/>
      </c>
      <c r="B50" s="144" t="n"/>
      <c r="C50" s="83" t="n"/>
      <c r="D50" s="146" t="n"/>
      <c r="E50" s="146" t="n"/>
      <c r="F50" s="146" t="n"/>
      <c r="G50" s="164">
        <f t="array" ref="G50">IF($F50="","",IFERROR(INDEX(Disponibilidad!$O$6:$O$18,MATCH($F50,Disponibilidad!$B$6:$B$18,0)),"Hogar"))</f>
        <v/>
      </c>
      <c r="H50" s="76" t="n"/>
      <c r="I50" s="57">
        <f>IF($D50="","",IF($C50="Cobro",N($H50),-N($H50)))</f>
        <v/>
      </c>
      <c r="J50" s="141" t="n"/>
      <c r="K50" s="64">
        <f>IF($B50="","",TEXT($B50,"YYYY-MM"))</f>
        <v/>
      </c>
      <c r="L50" s="145" t="n"/>
      <c r="M50" s="145" t="n"/>
      <c r="N50" s="145" t="n"/>
      <c r="O50" s="145" t="n"/>
      <c r="P50" s="145" t="n"/>
      <c r="Q50" s="145" t="n"/>
      <c r="R50" s="145" t="n"/>
      <c r="S50" s="145" t="n"/>
      <c r="T50" s="145" t="n"/>
      <c r="U50" s="1" t="n"/>
      <c r="V50" s="1" t="n"/>
      <c r="W50" s="1" t="n"/>
      <c r="X50" s="1" t="n"/>
      <c r="Y50" s="1" t="n"/>
      <c r="Z50" s="1" t="n"/>
    </row>
    <row r="51" ht="15" customHeight="1" s="311">
      <c r="A51" s="41">
        <f>IF($D51="","",ROW()-5)</f>
        <v/>
      </c>
      <c r="B51" s="144" t="n"/>
      <c r="C51" s="83" t="n"/>
      <c r="D51" s="146" t="n"/>
      <c r="E51" s="146" t="n"/>
      <c r="F51" s="146" t="n"/>
      <c r="G51" s="164">
        <f t="array" ref="G51">IF($F51="","",IFERROR(INDEX(Disponibilidad!$O$6:$O$18,MATCH($F51,Disponibilidad!$B$6:$B$18,0)),"Hogar"))</f>
        <v/>
      </c>
      <c r="H51" s="76" t="n"/>
      <c r="I51" s="57">
        <f>IF($D51="","",IF($C51="Cobro",N($H51),-N($H51)))</f>
        <v/>
      </c>
      <c r="J51" s="141" t="n"/>
      <c r="K51" s="64">
        <f>IF($B51="","",TEXT($B51,"YYYY-MM"))</f>
        <v/>
      </c>
      <c r="L51" s="145" t="n"/>
      <c r="M51" s="145" t="n"/>
      <c r="N51" s="145" t="n"/>
      <c r="O51" s="145" t="n"/>
      <c r="P51" s="145" t="n"/>
      <c r="Q51" s="145" t="n"/>
      <c r="R51" s="145" t="n"/>
      <c r="S51" s="145" t="n"/>
      <c r="T51" s="145" t="n"/>
      <c r="U51" s="1" t="n"/>
      <c r="V51" s="1" t="n"/>
      <c r="W51" s="1" t="n"/>
      <c r="X51" s="1" t="n"/>
      <c r="Y51" s="1" t="n"/>
      <c r="Z51" s="1" t="n"/>
    </row>
    <row r="52" ht="15" customHeight="1" s="311">
      <c r="A52" s="41">
        <f>IF($D52="","",ROW()-5)</f>
        <v/>
      </c>
      <c r="B52" s="144" t="n"/>
      <c r="C52" s="83" t="n"/>
      <c r="D52" s="146" t="n"/>
      <c r="E52" s="146" t="n"/>
      <c r="F52" s="146" t="n"/>
      <c r="G52" s="164">
        <f t="array" ref="G52">IF($F52="","",IFERROR(INDEX(Disponibilidad!$O$6:$O$18,MATCH($F52,Disponibilidad!$B$6:$B$18,0)),"Hogar"))</f>
        <v/>
      </c>
      <c r="H52" s="76" t="n"/>
      <c r="I52" s="57">
        <f>IF($D52="","",IF($C52="Cobro",N($H52),-N($H52)))</f>
        <v/>
      </c>
      <c r="J52" s="141" t="n"/>
      <c r="K52" s="64">
        <f>IF($B52="","",TEXT($B52,"YYYY-MM"))</f>
        <v/>
      </c>
      <c r="L52" s="145" t="n"/>
      <c r="M52" s="145" t="n"/>
      <c r="N52" s="145" t="n"/>
      <c r="O52" s="145" t="n"/>
      <c r="P52" s="145" t="n"/>
      <c r="Q52" s="145" t="n"/>
      <c r="R52" s="145" t="n"/>
      <c r="S52" s="145" t="n"/>
      <c r="T52" s="145" t="n"/>
      <c r="U52" s="1" t="n"/>
      <c r="V52" s="1" t="n"/>
      <c r="W52" s="1" t="n"/>
      <c r="X52" s="1" t="n"/>
      <c r="Y52" s="1" t="n"/>
      <c r="Z52" s="1" t="n"/>
    </row>
    <row r="53" ht="15" customHeight="1" s="311">
      <c r="A53" s="41">
        <f>IF($D53="","",ROW()-5)</f>
        <v/>
      </c>
      <c r="B53" s="144" t="n"/>
      <c r="C53" s="83" t="n"/>
      <c r="D53" s="146" t="n"/>
      <c r="E53" s="146" t="n"/>
      <c r="F53" s="146" t="n"/>
      <c r="G53" s="164">
        <f t="array" ref="G53">IF($F53="","",IFERROR(INDEX(Disponibilidad!$O$6:$O$18,MATCH($F53,Disponibilidad!$B$6:$B$18,0)),"Hogar"))</f>
        <v/>
      </c>
      <c r="H53" s="76" t="n"/>
      <c r="I53" s="57">
        <f>IF($D53="","",IF($C53="Cobro",N($H53),-N($H53)))</f>
        <v/>
      </c>
      <c r="J53" s="141" t="n"/>
      <c r="K53" s="64">
        <f>IF($B53="","",TEXT($B53,"YYYY-MM"))</f>
        <v/>
      </c>
      <c r="L53" s="145" t="n"/>
      <c r="M53" s="145" t="n"/>
      <c r="N53" s="145" t="n"/>
      <c r="O53" s="145" t="n"/>
      <c r="P53" s="145" t="n"/>
      <c r="Q53" s="145" t="n"/>
      <c r="R53" s="145" t="n"/>
      <c r="S53" s="145" t="n"/>
      <c r="T53" s="145" t="n"/>
      <c r="U53" s="1" t="n"/>
      <c r="V53" s="1" t="n"/>
      <c r="W53" s="1" t="n"/>
      <c r="X53" s="1" t="n"/>
      <c r="Y53" s="1" t="n"/>
      <c r="Z53" s="1" t="n"/>
    </row>
    <row r="54" ht="15" customHeight="1" s="311">
      <c r="A54" s="41">
        <f>IF($D54="","",ROW()-5)</f>
        <v/>
      </c>
      <c r="B54" s="144" t="n"/>
      <c r="C54" s="83" t="n"/>
      <c r="D54" s="146" t="n"/>
      <c r="E54" s="146" t="n"/>
      <c r="F54" s="146" t="n"/>
      <c r="G54" s="164">
        <f t="array" ref="G54">IF($F54="","",IFERROR(INDEX(Disponibilidad!$O$6:$O$18,MATCH($F54,Disponibilidad!$B$6:$B$18,0)),"Hogar"))</f>
        <v/>
      </c>
      <c r="H54" s="76" t="n"/>
      <c r="I54" s="57">
        <f>IF($D54="","",IF($C54="Cobro",N($H54),-N($H54)))</f>
        <v/>
      </c>
      <c r="J54" s="141" t="n"/>
      <c r="K54" s="64">
        <f>IF($B54="","",TEXT($B54,"YYYY-MM"))</f>
        <v/>
      </c>
      <c r="L54" s="145" t="n"/>
      <c r="M54" s="145" t="n"/>
      <c r="N54" s="145" t="n"/>
      <c r="O54" s="145" t="n"/>
      <c r="P54" s="145" t="n"/>
      <c r="Q54" s="145" t="n"/>
      <c r="R54" s="145" t="n"/>
      <c r="S54" s="145" t="n"/>
      <c r="T54" s="145" t="n"/>
      <c r="U54" s="1" t="n"/>
      <c r="V54" s="1" t="n"/>
      <c r="W54" s="1" t="n"/>
      <c r="X54" s="1" t="n"/>
      <c r="Y54" s="1" t="n"/>
      <c r="Z54" s="1" t="n"/>
    </row>
    <row r="55" ht="15" customHeight="1" s="311">
      <c r="A55" s="41">
        <f>IF($D55="","",ROW()-5)</f>
        <v/>
      </c>
      <c r="B55" s="144" t="n"/>
      <c r="C55" s="83" t="n"/>
      <c r="D55" s="146" t="n"/>
      <c r="E55" s="146" t="n"/>
      <c r="F55" s="146" t="n"/>
      <c r="G55" s="164">
        <f t="array" ref="G55">IF($F55="","",IFERROR(INDEX(Disponibilidad!$O$6:$O$18,MATCH($F55,Disponibilidad!$B$6:$B$18,0)),"Hogar"))</f>
        <v/>
      </c>
      <c r="H55" s="76" t="n"/>
      <c r="I55" s="57">
        <f>IF($D55="","",IF($C55="Cobro",N($H55),-N($H55)))</f>
        <v/>
      </c>
      <c r="J55" s="141" t="n"/>
      <c r="K55" s="64">
        <f>IF($B55="","",TEXT($B55,"YYYY-MM"))</f>
        <v/>
      </c>
      <c r="L55" s="145" t="n"/>
      <c r="M55" s="145" t="n"/>
      <c r="N55" s="145" t="n"/>
      <c r="O55" s="145" t="n"/>
      <c r="P55" s="145" t="n"/>
      <c r="Q55" s="145" t="n"/>
      <c r="R55" s="145" t="n"/>
      <c r="S55" s="145" t="n"/>
      <c r="T55" s="145" t="n"/>
      <c r="U55" s="1" t="n"/>
      <c r="V55" s="1" t="n"/>
      <c r="W55" s="1" t="n"/>
      <c r="X55" s="1" t="n"/>
      <c r="Y55" s="1" t="n"/>
      <c r="Z55" s="1" t="n"/>
    </row>
    <row r="56" ht="15" customHeight="1" s="311">
      <c r="A56" s="41">
        <f>IF($D56="","",ROW()-5)</f>
        <v/>
      </c>
      <c r="B56" s="144" t="n"/>
      <c r="C56" s="83" t="n"/>
      <c r="D56" s="146" t="n"/>
      <c r="E56" s="146" t="n"/>
      <c r="F56" s="146" t="n"/>
      <c r="G56" s="164">
        <f t="array" ref="G56">IF($F56="","",IFERROR(INDEX(Disponibilidad!$O$6:$O$18,MATCH($F56,Disponibilidad!$B$6:$B$18,0)),"Hogar"))</f>
        <v/>
      </c>
      <c r="H56" s="76" t="n"/>
      <c r="I56" s="57">
        <f>IF($D56="","",IF($C56="Cobro",N($H56),-N($H56)))</f>
        <v/>
      </c>
      <c r="J56" s="141" t="n"/>
      <c r="K56" s="64">
        <f>IF($B56="","",TEXT($B56,"YYYY-MM"))</f>
        <v/>
      </c>
      <c r="L56" s="145" t="n"/>
      <c r="M56" s="145" t="n"/>
      <c r="N56" s="145" t="n"/>
      <c r="O56" s="145" t="n"/>
      <c r="P56" s="145" t="n"/>
      <c r="Q56" s="145" t="n"/>
      <c r="R56" s="145" t="n"/>
      <c r="S56" s="145" t="n"/>
      <c r="T56" s="145" t="n"/>
      <c r="U56" s="1" t="n"/>
      <c r="V56" s="1" t="n"/>
      <c r="W56" s="1" t="n"/>
      <c r="X56" s="1" t="n"/>
      <c r="Y56" s="1" t="n"/>
      <c r="Z56" s="1" t="n"/>
    </row>
    <row r="57" ht="15" customHeight="1" s="311">
      <c r="A57" s="41">
        <f>IF($D57="","",ROW()-5)</f>
        <v/>
      </c>
      <c r="B57" s="144" t="n"/>
      <c r="C57" s="83" t="n"/>
      <c r="D57" s="146" t="n"/>
      <c r="E57" s="146" t="n"/>
      <c r="F57" s="146" t="n"/>
      <c r="G57" s="164">
        <f t="array" ref="G57">IF($F57="","",IFERROR(INDEX(Disponibilidad!$O$6:$O$18,MATCH($F57,Disponibilidad!$B$6:$B$18,0)),"Hogar"))</f>
        <v/>
      </c>
      <c r="H57" s="76" t="n"/>
      <c r="I57" s="57">
        <f>IF($D57="","",IF($C57="Cobro",N($H57),-N($H57)))</f>
        <v/>
      </c>
      <c r="J57" s="141" t="n"/>
      <c r="K57" s="64">
        <f>IF($B57="","",TEXT($B57,"YYYY-MM"))</f>
        <v/>
      </c>
      <c r="L57" s="145" t="n"/>
      <c r="M57" s="145" t="n"/>
      <c r="N57" s="145" t="n"/>
      <c r="O57" s="145" t="n"/>
      <c r="P57" s="145" t="n"/>
      <c r="Q57" s="145" t="n"/>
      <c r="R57" s="145" t="n"/>
      <c r="S57" s="145" t="n"/>
      <c r="T57" s="145" t="n"/>
      <c r="U57" s="1" t="n"/>
      <c r="V57" s="1" t="n"/>
      <c r="W57" s="1" t="n"/>
      <c r="X57" s="1" t="n"/>
      <c r="Y57" s="1" t="n"/>
      <c r="Z57" s="1" t="n"/>
    </row>
    <row r="58" ht="15" customHeight="1" s="311">
      <c r="A58" s="41">
        <f>IF($D58="","",ROW()-5)</f>
        <v/>
      </c>
      <c r="B58" s="144" t="n"/>
      <c r="C58" s="83" t="n"/>
      <c r="D58" s="146" t="n"/>
      <c r="E58" s="146" t="n"/>
      <c r="F58" s="146" t="n"/>
      <c r="G58" s="164">
        <f t="array" ref="G58">IF($F58="","",IFERROR(INDEX(Disponibilidad!$O$6:$O$18,MATCH($F58,Disponibilidad!$B$6:$B$18,0)),"Hogar"))</f>
        <v/>
      </c>
      <c r="H58" s="76" t="n"/>
      <c r="I58" s="57">
        <f>IF($D58="","",IF($C58="Cobro",N($H58),-N($H58)))</f>
        <v/>
      </c>
      <c r="J58" s="141" t="n"/>
      <c r="K58" s="64">
        <f>IF($B58="","",TEXT($B58,"YYYY-MM"))</f>
        <v/>
      </c>
      <c r="L58" s="145" t="n"/>
      <c r="M58" s="145" t="n"/>
      <c r="N58" s="145" t="n"/>
      <c r="O58" s="145" t="n"/>
      <c r="P58" s="145" t="n"/>
      <c r="Q58" s="145" t="n"/>
      <c r="R58" s="145" t="n"/>
      <c r="S58" s="145" t="n"/>
      <c r="T58" s="145" t="n"/>
      <c r="U58" s="1" t="n"/>
      <c r="V58" s="1" t="n"/>
      <c r="W58" s="1" t="n"/>
      <c r="X58" s="1" t="n"/>
      <c r="Y58" s="1" t="n"/>
      <c r="Z58" s="1" t="n"/>
    </row>
    <row r="59" ht="15" customHeight="1" s="311">
      <c r="A59" s="41">
        <f>IF($D59="","",ROW()-5)</f>
        <v/>
      </c>
      <c r="B59" s="144" t="n"/>
      <c r="C59" s="83" t="n"/>
      <c r="D59" s="146" t="n"/>
      <c r="E59" s="146" t="n"/>
      <c r="F59" s="146" t="n"/>
      <c r="G59" s="164">
        <f t="array" ref="G59">IF($F59="","",IFERROR(INDEX(Disponibilidad!$O$6:$O$18,MATCH($F59,Disponibilidad!$B$6:$B$18,0)),"Hogar"))</f>
        <v/>
      </c>
      <c r="H59" s="76" t="n"/>
      <c r="I59" s="57">
        <f>IF($D59="","",IF($C59="Cobro",N($H59),-N($H59)))</f>
        <v/>
      </c>
      <c r="J59" s="141" t="n"/>
      <c r="K59" s="64">
        <f>IF($B59="","",TEXT($B59,"YYYY-MM"))</f>
        <v/>
      </c>
      <c r="L59" s="145" t="n"/>
      <c r="M59" s="145" t="n"/>
      <c r="N59" s="145" t="n"/>
      <c r="O59" s="145" t="n"/>
      <c r="P59" s="145" t="n"/>
      <c r="Q59" s="145" t="n"/>
      <c r="R59" s="145" t="n"/>
      <c r="S59" s="145" t="n"/>
      <c r="T59" s="145" t="n"/>
      <c r="U59" s="1" t="n"/>
      <c r="V59" s="1" t="n"/>
      <c r="W59" s="1" t="n"/>
      <c r="X59" s="1" t="n"/>
      <c r="Y59" s="1" t="n"/>
      <c r="Z59" s="1" t="n"/>
    </row>
    <row r="60" ht="15" customHeight="1" s="311">
      <c r="A60" s="41">
        <f>IF($D60="","",ROW()-5)</f>
        <v/>
      </c>
      <c r="B60" s="144" t="n"/>
      <c r="C60" s="83" t="n"/>
      <c r="D60" s="146" t="n"/>
      <c r="E60" s="146" t="n"/>
      <c r="F60" s="146" t="n"/>
      <c r="G60" s="164">
        <f t="array" ref="G60">IF($F60="","",IFERROR(INDEX(Disponibilidad!$O$6:$O$18,MATCH($F60,Disponibilidad!$B$6:$B$18,0)),"Hogar"))</f>
        <v/>
      </c>
      <c r="H60" s="76" t="n"/>
      <c r="I60" s="57">
        <f>IF($D60="","",IF($C60="Cobro",N($H60),-N($H60)))</f>
        <v/>
      </c>
      <c r="J60" s="141" t="n"/>
      <c r="K60" s="64">
        <f>IF($B60="","",TEXT($B60,"YYYY-MM"))</f>
        <v/>
      </c>
      <c r="L60" s="145" t="n"/>
      <c r="M60" s="145" t="n"/>
      <c r="N60" s="145" t="n"/>
      <c r="O60" s="145" t="n"/>
      <c r="P60" s="145" t="n"/>
      <c r="Q60" s="145" t="n"/>
      <c r="R60" s="145" t="n"/>
      <c r="S60" s="145" t="n"/>
      <c r="T60" s="145" t="n"/>
      <c r="U60" s="1" t="n"/>
      <c r="V60" s="1" t="n"/>
      <c r="W60" s="1" t="n"/>
      <c r="X60" s="1" t="n"/>
      <c r="Y60" s="1" t="n"/>
      <c r="Z60" s="1" t="n"/>
    </row>
    <row r="61" ht="15" customHeight="1" s="311">
      <c r="A61" s="41">
        <f>IF($D61="","",ROW()-5)</f>
        <v/>
      </c>
      <c r="B61" s="144" t="n"/>
      <c r="C61" s="83" t="n"/>
      <c r="D61" s="146" t="n"/>
      <c r="E61" s="146" t="n"/>
      <c r="F61" s="146" t="n"/>
      <c r="G61" s="164">
        <f t="array" ref="G61">IF($F61="","",IFERROR(INDEX(Disponibilidad!$O$6:$O$18,MATCH($F61,Disponibilidad!$B$6:$B$18,0)),"Hogar"))</f>
        <v/>
      </c>
      <c r="H61" s="76" t="n"/>
      <c r="I61" s="57">
        <f>IF($D61="","",IF($C61="Cobro",N($H61),-N($H61)))</f>
        <v/>
      </c>
      <c r="J61" s="141" t="n"/>
      <c r="K61" s="64">
        <f>IF($B61="","",TEXT($B61,"YYYY-MM"))</f>
        <v/>
      </c>
      <c r="L61" s="145" t="n"/>
      <c r="M61" s="145" t="n"/>
      <c r="N61" s="145" t="n"/>
      <c r="O61" s="145" t="n"/>
      <c r="P61" s="145" t="n"/>
      <c r="Q61" s="145" t="n"/>
      <c r="R61" s="145" t="n"/>
      <c r="S61" s="145" t="n"/>
      <c r="T61" s="145" t="n"/>
      <c r="U61" s="1" t="n"/>
      <c r="V61" s="1" t="n"/>
      <c r="W61" s="1" t="n"/>
      <c r="X61" s="1" t="n"/>
      <c r="Y61" s="1" t="n"/>
      <c r="Z61" s="1" t="n"/>
    </row>
    <row r="62" ht="15" customHeight="1" s="311">
      <c r="A62" s="41">
        <f>IF($D62="","",ROW()-5)</f>
        <v/>
      </c>
      <c r="B62" s="144" t="n"/>
      <c r="C62" s="83" t="n"/>
      <c r="D62" s="146" t="n"/>
      <c r="E62" s="146" t="n"/>
      <c r="F62" s="146" t="n"/>
      <c r="G62" s="164">
        <f t="array" ref="G62">IF($F62="","",IFERROR(INDEX(Disponibilidad!$O$6:$O$18,MATCH($F62,Disponibilidad!$B$6:$B$18,0)),"Hogar"))</f>
        <v/>
      </c>
      <c r="H62" s="76" t="n"/>
      <c r="I62" s="57">
        <f>IF($D62="","",IF($C62="Cobro",N($H62),-N($H62)))</f>
        <v/>
      </c>
      <c r="J62" s="141" t="n"/>
      <c r="K62" s="64">
        <f>IF($B62="","",TEXT($B62,"YYYY-MM"))</f>
        <v/>
      </c>
      <c r="L62" s="145" t="n"/>
      <c r="M62" s="145" t="n"/>
      <c r="N62" s="145" t="n"/>
      <c r="O62" s="145" t="n"/>
      <c r="P62" s="145" t="n"/>
      <c r="Q62" s="145" t="n"/>
      <c r="R62" s="145" t="n"/>
      <c r="S62" s="145" t="n"/>
      <c r="T62" s="145" t="n"/>
      <c r="U62" s="1" t="n"/>
      <c r="V62" s="1" t="n"/>
      <c r="W62" s="1" t="n"/>
      <c r="X62" s="1" t="n"/>
      <c r="Y62" s="1" t="n"/>
      <c r="Z62" s="1" t="n"/>
    </row>
    <row r="63" ht="15" customHeight="1" s="311">
      <c r="A63" s="41">
        <f>IF($D63="","",ROW()-5)</f>
        <v/>
      </c>
      <c r="B63" s="144" t="n"/>
      <c r="C63" s="83" t="n"/>
      <c r="D63" s="146" t="n"/>
      <c r="E63" s="146" t="n"/>
      <c r="F63" s="146" t="n"/>
      <c r="G63" s="164">
        <f t="array" ref="G63">IF($F63="","",IFERROR(INDEX(Disponibilidad!$O$6:$O$18,MATCH($F63,Disponibilidad!$B$6:$B$18,0)),"Hogar"))</f>
        <v/>
      </c>
      <c r="H63" s="76" t="n"/>
      <c r="I63" s="57">
        <f>IF($D63="","",IF($C63="Cobro",N($H63),-N($H63)))</f>
        <v/>
      </c>
      <c r="J63" s="141" t="n"/>
      <c r="K63" s="64">
        <f>IF($B63="","",TEXT($B63,"YYYY-MM"))</f>
        <v/>
      </c>
      <c r="L63" s="145" t="n"/>
      <c r="M63" s="145" t="n"/>
      <c r="N63" s="145" t="n"/>
      <c r="O63" s="145" t="n"/>
      <c r="P63" s="145" t="n"/>
      <c r="Q63" s="145" t="n"/>
      <c r="R63" s="145" t="n"/>
      <c r="S63" s="145" t="n"/>
      <c r="T63" s="145" t="n"/>
      <c r="U63" s="1" t="n"/>
      <c r="V63" s="1" t="n"/>
      <c r="W63" s="1" t="n"/>
      <c r="X63" s="1" t="n"/>
      <c r="Y63" s="1" t="n"/>
      <c r="Z63" s="1" t="n"/>
    </row>
    <row r="64" ht="15" customHeight="1" s="311">
      <c r="A64" s="41">
        <f>IF($D64="","",ROW()-5)</f>
        <v/>
      </c>
      <c r="B64" s="144" t="n"/>
      <c r="C64" s="83" t="n"/>
      <c r="D64" s="146" t="n"/>
      <c r="E64" s="146" t="n"/>
      <c r="F64" s="146" t="n"/>
      <c r="G64" s="164">
        <f t="array" ref="G64">IF($F64="","",IFERROR(INDEX(Disponibilidad!$O$6:$O$18,MATCH($F64,Disponibilidad!$B$6:$B$18,0)),"Hogar"))</f>
        <v/>
      </c>
      <c r="H64" s="76" t="n"/>
      <c r="I64" s="57">
        <f>IF($D64="","",IF($C64="Cobro",N($H64),-N($H64)))</f>
        <v/>
      </c>
      <c r="J64" s="141" t="n"/>
      <c r="K64" s="64">
        <f>IF($B64="","",TEXT($B64,"YYYY-MM"))</f>
        <v/>
      </c>
      <c r="L64" s="145" t="n"/>
      <c r="M64" s="145" t="n"/>
      <c r="N64" s="145" t="n"/>
      <c r="O64" s="145" t="n"/>
      <c r="P64" s="145" t="n"/>
      <c r="Q64" s="145" t="n"/>
      <c r="R64" s="145" t="n"/>
      <c r="S64" s="145" t="n"/>
      <c r="T64" s="145" t="n"/>
      <c r="U64" s="1" t="n"/>
      <c r="V64" s="1" t="n"/>
      <c r="W64" s="1" t="n"/>
      <c r="X64" s="1" t="n"/>
      <c r="Y64" s="1" t="n"/>
      <c r="Z64" s="1" t="n"/>
    </row>
    <row r="65" ht="15" customHeight="1" s="311">
      <c r="A65" s="41">
        <f>IF($D65="","",ROW()-5)</f>
        <v/>
      </c>
      <c r="B65" s="144" t="n"/>
      <c r="C65" s="83" t="n"/>
      <c r="D65" s="146" t="n"/>
      <c r="E65" s="146" t="n"/>
      <c r="F65" s="146" t="n"/>
      <c r="G65" s="164">
        <f t="array" ref="G65">IF($F65="","",IFERROR(INDEX(Disponibilidad!$O$6:$O$18,MATCH($F65,Disponibilidad!$B$6:$B$18,0)),"Hogar"))</f>
        <v/>
      </c>
      <c r="H65" s="76" t="n"/>
      <c r="I65" s="57">
        <f>IF($D65="","",IF($C65="Cobro",N($H65),-N($H65)))</f>
        <v/>
      </c>
      <c r="J65" s="141" t="n"/>
      <c r="K65" s="64">
        <f>IF($B65="","",TEXT($B65,"YYYY-MM"))</f>
        <v/>
      </c>
      <c r="L65" s="145" t="n"/>
      <c r="M65" s="145" t="n"/>
      <c r="N65" s="145" t="n"/>
      <c r="O65" s="145" t="n"/>
      <c r="P65" s="145" t="n"/>
      <c r="Q65" s="145" t="n"/>
      <c r="R65" s="145" t="n"/>
      <c r="S65" s="145" t="n"/>
      <c r="T65" s="145" t="n"/>
      <c r="U65" s="1" t="n"/>
      <c r="V65" s="1" t="n"/>
      <c r="W65" s="1" t="n"/>
      <c r="X65" s="1" t="n"/>
      <c r="Y65" s="1" t="n"/>
      <c r="Z65" s="1" t="n"/>
    </row>
    <row r="66" ht="15" customHeight="1" s="311">
      <c r="A66" s="41">
        <f>IF($D66="","",ROW()-5)</f>
        <v/>
      </c>
      <c r="B66" s="144" t="n"/>
      <c r="C66" s="83" t="n"/>
      <c r="D66" s="146" t="n"/>
      <c r="E66" s="146" t="n"/>
      <c r="F66" s="146" t="n"/>
      <c r="G66" s="164">
        <f t="array" ref="G66">IF($F66="","",IFERROR(INDEX(Disponibilidad!$O$6:$O$18,MATCH($F66,Disponibilidad!$B$6:$B$18,0)),"Hogar"))</f>
        <v/>
      </c>
      <c r="H66" s="76" t="n"/>
      <c r="I66" s="57">
        <f>IF($D66="","",IF($C66="Cobro",N($H66),-N($H66)))</f>
        <v/>
      </c>
      <c r="J66" s="141" t="n"/>
      <c r="K66" s="64">
        <f>IF($B66="","",TEXT($B66,"YYYY-MM"))</f>
        <v/>
      </c>
      <c r="L66" s="145" t="n"/>
      <c r="M66" s="145" t="n"/>
      <c r="N66" s="145" t="n"/>
      <c r="O66" s="145" t="n"/>
      <c r="P66" s="145" t="n"/>
      <c r="Q66" s="145" t="n"/>
      <c r="R66" s="145" t="n"/>
      <c r="S66" s="145" t="n"/>
      <c r="T66" s="145" t="n"/>
      <c r="U66" s="1" t="n"/>
      <c r="V66" s="1" t="n"/>
      <c r="W66" s="1" t="n"/>
      <c r="X66" s="1" t="n"/>
      <c r="Y66" s="1" t="n"/>
      <c r="Z66" s="1" t="n"/>
    </row>
    <row r="67" ht="15" customHeight="1" s="311">
      <c r="A67" s="41">
        <f>IF($D67="","",ROW()-5)</f>
        <v/>
      </c>
      <c r="B67" s="144" t="n"/>
      <c r="C67" s="83" t="n"/>
      <c r="D67" s="146" t="n"/>
      <c r="E67" s="146" t="n"/>
      <c r="F67" s="146" t="n"/>
      <c r="G67" s="164">
        <f t="array" ref="G67">IF($F67="","",IFERROR(INDEX(Disponibilidad!$O$6:$O$18,MATCH($F67,Disponibilidad!$B$6:$B$18,0)),"Hogar"))</f>
        <v/>
      </c>
      <c r="H67" s="76" t="n"/>
      <c r="I67" s="57">
        <f>IF($D67="","",IF($C67="Cobro",N($H67),-N($H67)))</f>
        <v/>
      </c>
      <c r="J67" s="141" t="n"/>
      <c r="K67" s="64">
        <f>IF($B67="","",TEXT($B67,"YYYY-MM"))</f>
        <v/>
      </c>
      <c r="L67" s="145" t="n"/>
      <c r="M67" s="145" t="n"/>
      <c r="N67" s="145" t="n"/>
      <c r="O67" s="145" t="n"/>
      <c r="P67" s="145" t="n"/>
      <c r="Q67" s="145" t="n"/>
      <c r="R67" s="145" t="n"/>
      <c r="S67" s="145" t="n"/>
      <c r="T67" s="145" t="n"/>
      <c r="U67" s="1" t="n"/>
      <c r="V67" s="1" t="n"/>
      <c r="W67" s="1" t="n"/>
      <c r="X67" s="1" t="n"/>
      <c r="Y67" s="1" t="n"/>
      <c r="Z67" s="1" t="n"/>
    </row>
    <row r="68" ht="15" customHeight="1" s="311">
      <c r="A68" s="41">
        <f>IF($D68="","",ROW()-5)</f>
        <v/>
      </c>
      <c r="B68" s="144" t="n"/>
      <c r="C68" s="83" t="n"/>
      <c r="D68" s="146" t="n"/>
      <c r="E68" s="146" t="n"/>
      <c r="F68" s="146" t="n"/>
      <c r="G68" s="164">
        <f t="array" ref="G68">IF($F68="","",IFERROR(INDEX(Disponibilidad!$O$6:$O$18,MATCH($F68,Disponibilidad!$B$6:$B$18,0)),"Hogar"))</f>
        <v/>
      </c>
      <c r="H68" s="76" t="n"/>
      <c r="I68" s="57">
        <f>IF($D68="","",IF($C68="Cobro",N($H68),-N($H68)))</f>
        <v/>
      </c>
      <c r="J68" s="141" t="n"/>
      <c r="K68" s="64">
        <f>IF($B68="","",TEXT($B68,"YYYY-MM"))</f>
        <v/>
      </c>
      <c r="L68" s="145" t="n"/>
      <c r="M68" s="145" t="n"/>
      <c r="N68" s="145" t="n"/>
      <c r="O68" s="145" t="n"/>
      <c r="P68" s="145" t="n"/>
      <c r="Q68" s="145" t="n"/>
      <c r="R68" s="145" t="n"/>
      <c r="S68" s="145" t="n"/>
      <c r="T68" s="145" t="n"/>
      <c r="U68" s="1" t="n"/>
      <c r="V68" s="1" t="n"/>
      <c r="W68" s="1" t="n"/>
      <c r="X68" s="1" t="n"/>
      <c r="Y68" s="1" t="n"/>
      <c r="Z68" s="1" t="n"/>
    </row>
    <row r="69" ht="15" customHeight="1" s="311">
      <c r="A69" s="41">
        <f>IF($D69="","",ROW()-5)</f>
        <v/>
      </c>
      <c r="B69" s="144" t="n"/>
      <c r="C69" s="83" t="n"/>
      <c r="D69" s="146" t="n"/>
      <c r="E69" s="146" t="n"/>
      <c r="F69" s="146" t="n"/>
      <c r="G69" s="164">
        <f t="array" ref="G69">IF($F69="","",IFERROR(INDEX(Disponibilidad!$O$6:$O$18,MATCH($F69,Disponibilidad!$B$6:$B$18,0)),"Hogar"))</f>
        <v/>
      </c>
      <c r="H69" s="76" t="n"/>
      <c r="I69" s="57">
        <f>IF($D69="","",IF($C69="Cobro",N($H69),-N($H69)))</f>
        <v/>
      </c>
      <c r="J69" s="141" t="n"/>
      <c r="K69" s="64">
        <f>IF($B69="","",TEXT($B69,"YYYY-MM"))</f>
        <v/>
      </c>
      <c r="L69" s="145" t="n"/>
      <c r="M69" s="145" t="n"/>
      <c r="N69" s="145" t="n"/>
      <c r="O69" s="145" t="n"/>
      <c r="P69" s="145" t="n"/>
      <c r="Q69" s="145" t="n"/>
      <c r="R69" s="145" t="n"/>
      <c r="S69" s="145" t="n"/>
      <c r="T69" s="145" t="n"/>
      <c r="U69" s="1" t="n"/>
      <c r="V69" s="1" t="n"/>
      <c r="W69" s="1" t="n"/>
      <c r="X69" s="1" t="n"/>
      <c r="Y69" s="1" t="n"/>
      <c r="Z69" s="1" t="n"/>
    </row>
    <row r="70" ht="15" customHeight="1" s="311">
      <c r="A70" s="41">
        <f>IF($D70="","",ROW()-5)</f>
        <v/>
      </c>
      <c r="B70" s="144" t="n"/>
      <c r="C70" s="83" t="n"/>
      <c r="D70" s="146" t="n"/>
      <c r="E70" s="146" t="n"/>
      <c r="F70" s="146" t="n"/>
      <c r="G70" s="164">
        <f t="array" ref="G70">IF($F70="","",IFERROR(INDEX(Disponibilidad!$O$6:$O$18,MATCH($F70,Disponibilidad!$B$6:$B$18,0)),"Hogar"))</f>
        <v/>
      </c>
      <c r="H70" s="76" t="n"/>
      <c r="I70" s="57">
        <f>IF($D70="","",IF($C70="Cobro",N($H70),-N($H70)))</f>
        <v/>
      </c>
      <c r="J70" s="141" t="n"/>
      <c r="K70" s="64">
        <f>IF($B70="","",TEXT($B70,"YYYY-MM"))</f>
        <v/>
      </c>
      <c r="L70" s="145" t="n"/>
      <c r="M70" s="145" t="n"/>
      <c r="N70" s="145" t="n"/>
      <c r="O70" s="145" t="n"/>
      <c r="P70" s="145" t="n"/>
      <c r="Q70" s="145" t="n"/>
      <c r="R70" s="145" t="n"/>
      <c r="S70" s="145" t="n"/>
      <c r="T70" s="145" t="n"/>
      <c r="U70" s="1" t="n"/>
      <c r="V70" s="1" t="n"/>
      <c r="W70" s="1" t="n"/>
      <c r="X70" s="1" t="n"/>
      <c r="Y70" s="1" t="n"/>
      <c r="Z70" s="1" t="n"/>
    </row>
    <row r="71" ht="15" customHeight="1" s="311">
      <c r="A71" s="41">
        <f>IF($D71="","",ROW()-5)</f>
        <v/>
      </c>
      <c r="B71" s="144" t="n"/>
      <c r="C71" s="83" t="n"/>
      <c r="D71" s="146" t="n"/>
      <c r="E71" s="146" t="n"/>
      <c r="F71" s="146" t="n"/>
      <c r="G71" s="164">
        <f t="array" ref="G71">IF($F71="","",IFERROR(INDEX(Disponibilidad!$O$6:$O$18,MATCH($F71,Disponibilidad!$B$6:$B$18,0)),"Hogar"))</f>
        <v/>
      </c>
      <c r="H71" s="76" t="n"/>
      <c r="I71" s="57">
        <f>IF($D71="","",IF($C71="Cobro",N($H71),-N($H71)))</f>
        <v/>
      </c>
      <c r="J71" s="141" t="n"/>
      <c r="K71" s="64">
        <f>IF($B71="","",TEXT($B71,"YYYY-MM"))</f>
        <v/>
      </c>
      <c r="L71" s="145" t="n"/>
      <c r="M71" s="145" t="n"/>
      <c r="N71" s="145" t="n"/>
      <c r="O71" s="145" t="n"/>
      <c r="P71" s="145" t="n"/>
      <c r="Q71" s="145" t="n"/>
      <c r="R71" s="145" t="n"/>
      <c r="S71" s="145" t="n"/>
      <c r="T71" s="145" t="n"/>
      <c r="U71" s="1" t="n"/>
      <c r="V71" s="1" t="n"/>
      <c r="W71" s="1" t="n"/>
      <c r="X71" s="1" t="n"/>
      <c r="Y71" s="1" t="n"/>
      <c r="Z71" s="1" t="n"/>
    </row>
    <row r="72" ht="15" customHeight="1" s="311">
      <c r="A72" s="41">
        <f>IF($D72="","",ROW()-5)</f>
        <v/>
      </c>
      <c r="B72" s="144" t="n"/>
      <c r="C72" s="83" t="n"/>
      <c r="D72" s="146" t="n"/>
      <c r="E72" s="146" t="n"/>
      <c r="F72" s="146" t="n"/>
      <c r="G72" s="164">
        <f t="array" ref="G72">IF($F72="","",IFERROR(INDEX(Disponibilidad!$O$6:$O$18,MATCH($F72,Disponibilidad!$B$6:$B$18,0)),"Hogar"))</f>
        <v/>
      </c>
      <c r="H72" s="76" t="n"/>
      <c r="I72" s="57">
        <f>IF($D72="","",IF($C72="Cobro",N($H72),-N($H72)))</f>
        <v/>
      </c>
      <c r="J72" s="141" t="n"/>
      <c r="K72" s="64">
        <f>IF($B72="","",TEXT($B72,"YYYY-MM"))</f>
        <v/>
      </c>
      <c r="L72" s="145" t="n"/>
      <c r="M72" s="145" t="n"/>
      <c r="N72" s="145" t="n"/>
      <c r="O72" s="145" t="n"/>
      <c r="P72" s="145" t="n"/>
      <c r="Q72" s="145" t="n"/>
      <c r="R72" s="145" t="n"/>
      <c r="S72" s="145" t="n"/>
      <c r="T72" s="145" t="n"/>
      <c r="U72" s="1" t="n"/>
      <c r="V72" s="1" t="n"/>
      <c r="W72" s="1" t="n"/>
      <c r="X72" s="1" t="n"/>
      <c r="Y72" s="1" t="n"/>
      <c r="Z72" s="1" t="n"/>
    </row>
    <row r="73" ht="15" customHeight="1" s="311">
      <c r="A73" s="41">
        <f>IF($D73="","",ROW()-5)</f>
        <v/>
      </c>
      <c r="B73" s="144" t="n"/>
      <c r="C73" s="83" t="n"/>
      <c r="D73" s="146" t="n"/>
      <c r="E73" s="146" t="n"/>
      <c r="F73" s="146" t="n"/>
      <c r="G73" s="164">
        <f t="array" ref="G73">IF($F73="","",IFERROR(INDEX(Disponibilidad!$O$6:$O$18,MATCH($F73,Disponibilidad!$B$6:$B$18,0)),"Hogar"))</f>
        <v/>
      </c>
      <c r="H73" s="76" t="n"/>
      <c r="I73" s="57">
        <f>IF($D73="","",IF($C73="Cobro",N($H73),-N($H73)))</f>
        <v/>
      </c>
      <c r="J73" s="141" t="n"/>
      <c r="K73" s="64">
        <f>IF($B73="","",TEXT($B73,"YYYY-MM"))</f>
        <v/>
      </c>
      <c r="L73" s="145" t="n"/>
      <c r="M73" s="145" t="n"/>
      <c r="N73" s="145" t="n"/>
      <c r="O73" s="145" t="n"/>
      <c r="P73" s="145" t="n"/>
      <c r="Q73" s="145" t="n"/>
      <c r="R73" s="145" t="n"/>
      <c r="S73" s="145" t="n"/>
      <c r="T73" s="145" t="n"/>
      <c r="U73" s="1" t="n"/>
      <c r="V73" s="1" t="n"/>
      <c r="W73" s="1" t="n"/>
      <c r="X73" s="1" t="n"/>
      <c r="Y73" s="1" t="n"/>
      <c r="Z73" s="1" t="n"/>
    </row>
    <row r="74" ht="15" customHeight="1" s="311">
      <c r="A74" s="41">
        <f>IF($D74="","",ROW()-5)</f>
        <v/>
      </c>
      <c r="B74" s="144" t="n"/>
      <c r="C74" s="83" t="n"/>
      <c r="D74" s="146" t="n"/>
      <c r="E74" s="146" t="n"/>
      <c r="F74" s="146" t="n"/>
      <c r="G74" s="164">
        <f t="array" ref="G74">IF($F74="","",IFERROR(INDEX(Disponibilidad!$O$6:$O$18,MATCH($F74,Disponibilidad!$B$6:$B$18,0)),"Hogar"))</f>
        <v/>
      </c>
      <c r="H74" s="76" t="n"/>
      <c r="I74" s="57">
        <f>IF($D74="","",IF($C74="Cobro",N($H74),-N($H74)))</f>
        <v/>
      </c>
      <c r="J74" s="141" t="n"/>
      <c r="K74" s="64">
        <f>IF($B74="","",TEXT($B74,"YYYY-MM"))</f>
        <v/>
      </c>
      <c r="L74" s="145" t="n"/>
      <c r="M74" s="145" t="n"/>
      <c r="N74" s="145" t="n"/>
      <c r="O74" s="145" t="n"/>
      <c r="P74" s="145" t="n"/>
      <c r="Q74" s="145" t="n"/>
      <c r="R74" s="145" t="n"/>
      <c r="S74" s="145" t="n"/>
      <c r="T74" s="145" t="n"/>
      <c r="U74" s="1" t="n"/>
      <c r="V74" s="1" t="n"/>
      <c r="W74" s="1" t="n"/>
      <c r="X74" s="1" t="n"/>
      <c r="Y74" s="1" t="n"/>
      <c r="Z74" s="1" t="n"/>
    </row>
    <row r="75" ht="15" customHeight="1" s="311">
      <c r="A75" s="41">
        <f>IF($D75="","",ROW()-5)</f>
        <v/>
      </c>
      <c r="B75" s="144" t="n"/>
      <c r="C75" s="83" t="n"/>
      <c r="D75" s="146" t="n"/>
      <c r="E75" s="146" t="n"/>
      <c r="F75" s="146" t="n"/>
      <c r="G75" s="164">
        <f t="array" ref="G75">IF($F75="","",IFERROR(INDEX(Disponibilidad!$O$6:$O$18,MATCH($F75,Disponibilidad!$B$6:$B$18,0)),"Hogar"))</f>
        <v/>
      </c>
      <c r="H75" s="76" t="n"/>
      <c r="I75" s="57">
        <f>IF($D75="","",IF($C75="Cobro",N($H75),-N($H75)))</f>
        <v/>
      </c>
      <c r="J75" s="141" t="n"/>
      <c r="K75" s="64">
        <f>IF($B75="","",TEXT($B75,"YYYY-MM"))</f>
        <v/>
      </c>
      <c r="L75" s="145" t="n"/>
      <c r="M75" s="145" t="n"/>
      <c r="N75" s="145" t="n"/>
      <c r="O75" s="145" t="n"/>
      <c r="P75" s="145" t="n"/>
      <c r="Q75" s="145" t="n"/>
      <c r="R75" s="145" t="n"/>
      <c r="S75" s="145" t="n"/>
      <c r="T75" s="145" t="n"/>
      <c r="U75" s="1" t="n"/>
      <c r="V75" s="1" t="n"/>
      <c r="W75" s="1" t="n"/>
      <c r="X75" s="1" t="n"/>
      <c r="Y75" s="1" t="n"/>
      <c r="Z75" s="1" t="n"/>
    </row>
    <row r="76" ht="15" customHeight="1" s="311">
      <c r="A76" s="41">
        <f>IF($D76="","",ROW()-5)</f>
        <v/>
      </c>
      <c r="B76" s="144" t="n"/>
      <c r="C76" s="83" t="n"/>
      <c r="D76" s="146" t="n"/>
      <c r="E76" s="146" t="n"/>
      <c r="F76" s="146" t="n"/>
      <c r="G76" s="164">
        <f t="array" ref="G76">IF($F76="","",IFERROR(INDEX(Disponibilidad!$O$6:$O$18,MATCH($F76,Disponibilidad!$B$6:$B$18,0)),"Hogar"))</f>
        <v/>
      </c>
      <c r="H76" s="76" t="n"/>
      <c r="I76" s="57">
        <f>IF($D76="","",IF($C76="Cobro",N($H76),-N($H76)))</f>
        <v/>
      </c>
      <c r="J76" s="141" t="n"/>
      <c r="K76" s="64">
        <f>IF($B76="","",TEXT($B76,"YYYY-MM"))</f>
        <v/>
      </c>
      <c r="L76" s="145" t="n"/>
      <c r="M76" s="145" t="n"/>
      <c r="N76" s="145" t="n"/>
      <c r="O76" s="145" t="n"/>
      <c r="P76" s="145" t="n"/>
      <c r="Q76" s="145" t="n"/>
      <c r="R76" s="145" t="n"/>
      <c r="S76" s="145" t="n"/>
      <c r="T76" s="145" t="n"/>
      <c r="U76" s="1" t="n"/>
      <c r="V76" s="1" t="n"/>
      <c r="W76" s="1" t="n"/>
      <c r="X76" s="1" t="n"/>
      <c r="Y76" s="1" t="n"/>
      <c r="Z76" s="1" t="n"/>
    </row>
    <row r="77" ht="15" customHeight="1" s="311">
      <c r="A77" s="41">
        <f>IF($D77="","",ROW()-5)</f>
        <v/>
      </c>
      <c r="B77" s="144" t="n"/>
      <c r="C77" s="83" t="n"/>
      <c r="D77" s="146" t="n"/>
      <c r="E77" s="146" t="n"/>
      <c r="F77" s="146" t="n"/>
      <c r="G77" s="164">
        <f t="array" ref="G77">IF($F77="","",IFERROR(INDEX(Disponibilidad!$O$6:$O$18,MATCH($F77,Disponibilidad!$B$6:$B$18,0)),"Hogar"))</f>
        <v/>
      </c>
      <c r="H77" s="76" t="n"/>
      <c r="I77" s="57">
        <f>IF($D77="","",IF($C77="Cobro",N($H77),-N($H77)))</f>
        <v/>
      </c>
      <c r="J77" s="141" t="n"/>
      <c r="K77" s="64">
        <f>IF($B77="","",TEXT($B77,"YYYY-MM"))</f>
        <v/>
      </c>
      <c r="L77" s="145" t="n"/>
      <c r="M77" s="145" t="n"/>
      <c r="N77" s="145" t="n"/>
      <c r="O77" s="145" t="n"/>
      <c r="P77" s="145" t="n"/>
      <c r="Q77" s="145" t="n"/>
      <c r="R77" s="145" t="n"/>
      <c r="S77" s="145" t="n"/>
      <c r="T77" s="145" t="n"/>
      <c r="U77" s="1" t="n"/>
      <c r="V77" s="1" t="n"/>
      <c r="W77" s="1" t="n"/>
      <c r="X77" s="1" t="n"/>
      <c r="Y77" s="1" t="n"/>
      <c r="Z77" s="1" t="n"/>
    </row>
    <row r="78" ht="15" customHeight="1" s="311">
      <c r="A78" s="41">
        <f>IF($D78="","",ROW()-5)</f>
        <v/>
      </c>
      <c r="B78" s="144" t="n"/>
      <c r="C78" s="83" t="n"/>
      <c r="D78" s="146" t="n"/>
      <c r="E78" s="146" t="n"/>
      <c r="F78" s="146" t="n"/>
      <c r="G78" s="164">
        <f t="array" ref="G78">IF($F78="","",IFERROR(INDEX(Disponibilidad!$O$6:$O$18,MATCH($F78,Disponibilidad!$B$6:$B$18,0)),"Hogar"))</f>
        <v/>
      </c>
      <c r="H78" s="76" t="n"/>
      <c r="I78" s="57">
        <f>IF($D78="","",IF($C78="Cobro",N($H78),-N($H78)))</f>
        <v/>
      </c>
      <c r="J78" s="141" t="n"/>
      <c r="K78" s="64">
        <f>IF($B78="","",TEXT($B78,"YYYY-MM"))</f>
        <v/>
      </c>
      <c r="L78" s="145" t="n"/>
      <c r="M78" s="145" t="n"/>
      <c r="N78" s="145" t="n"/>
      <c r="O78" s="145" t="n"/>
      <c r="P78" s="145" t="n"/>
      <c r="Q78" s="145" t="n"/>
      <c r="R78" s="145" t="n"/>
      <c r="S78" s="145" t="n"/>
      <c r="T78" s="145" t="n"/>
      <c r="U78" s="1" t="n"/>
      <c r="V78" s="1" t="n"/>
      <c r="W78" s="1" t="n"/>
      <c r="X78" s="1" t="n"/>
      <c r="Y78" s="1" t="n"/>
      <c r="Z78" s="1" t="n"/>
    </row>
    <row r="79" ht="15" customHeight="1" s="311">
      <c r="A79" s="41">
        <f>IF($D79="","",ROW()-5)</f>
        <v/>
      </c>
      <c r="B79" s="144" t="n"/>
      <c r="C79" s="83" t="n"/>
      <c r="D79" s="146" t="n"/>
      <c r="E79" s="146" t="n"/>
      <c r="F79" s="146" t="n"/>
      <c r="G79" s="164">
        <f t="array" ref="G79">IF($F79="","",IFERROR(INDEX(Disponibilidad!$O$6:$O$18,MATCH($F79,Disponibilidad!$B$6:$B$18,0)),"Hogar"))</f>
        <v/>
      </c>
      <c r="H79" s="76" t="n"/>
      <c r="I79" s="57">
        <f>IF($D79="","",IF($C79="Cobro",N($H79),-N($H79)))</f>
        <v/>
      </c>
      <c r="J79" s="141" t="n"/>
      <c r="K79" s="64">
        <f>IF($B79="","",TEXT($B79,"YYYY-MM"))</f>
        <v/>
      </c>
      <c r="L79" s="145" t="n"/>
      <c r="M79" s="145" t="n"/>
      <c r="N79" s="145" t="n"/>
      <c r="O79" s="145" t="n"/>
      <c r="P79" s="145" t="n"/>
      <c r="Q79" s="145" t="n"/>
      <c r="R79" s="145" t="n"/>
      <c r="S79" s="145" t="n"/>
      <c r="T79" s="145" t="n"/>
      <c r="U79" s="1" t="n"/>
      <c r="V79" s="1" t="n"/>
      <c r="W79" s="1" t="n"/>
      <c r="X79" s="1" t="n"/>
      <c r="Y79" s="1" t="n"/>
      <c r="Z79" s="1" t="n"/>
    </row>
    <row r="80" ht="15" customHeight="1" s="311">
      <c r="A80" s="41">
        <f>IF($D80="","",ROW()-5)</f>
        <v/>
      </c>
      <c r="B80" s="144" t="n"/>
      <c r="C80" s="83" t="n"/>
      <c r="D80" s="146" t="n"/>
      <c r="E80" s="146" t="n"/>
      <c r="F80" s="146" t="n"/>
      <c r="G80" s="164">
        <f t="array" ref="G80">IF($F80="","",IFERROR(INDEX(Disponibilidad!$O$6:$O$18,MATCH($F80,Disponibilidad!$B$6:$B$18,0)),"Hogar"))</f>
        <v/>
      </c>
      <c r="H80" s="76" t="n"/>
      <c r="I80" s="57">
        <f>IF($D80="","",IF($C80="Cobro",N($H80),-N($H80)))</f>
        <v/>
      </c>
      <c r="J80" s="141" t="n"/>
      <c r="K80" s="64">
        <f>IF($B80="","",TEXT($B80,"YYYY-MM"))</f>
        <v/>
      </c>
      <c r="L80" s="145" t="n"/>
      <c r="M80" s="145" t="n"/>
      <c r="N80" s="145" t="n"/>
      <c r="O80" s="145" t="n"/>
      <c r="P80" s="145" t="n"/>
      <c r="Q80" s="145" t="n"/>
      <c r="R80" s="145" t="n"/>
      <c r="S80" s="145" t="n"/>
      <c r="T80" s="145" t="n"/>
      <c r="U80" s="1" t="n"/>
      <c r="V80" s="1" t="n"/>
      <c r="W80" s="1" t="n"/>
      <c r="X80" s="1" t="n"/>
      <c r="Y80" s="1" t="n"/>
      <c r="Z80" s="1" t="n"/>
    </row>
    <row r="81" ht="15" customHeight="1" s="311">
      <c r="A81" s="41">
        <f>IF($D81="","",ROW()-5)</f>
        <v/>
      </c>
      <c r="B81" s="144" t="n"/>
      <c r="C81" s="83" t="n"/>
      <c r="D81" s="146" t="n"/>
      <c r="E81" s="146" t="n"/>
      <c r="F81" s="146" t="n"/>
      <c r="G81" s="164">
        <f t="array" ref="G81">IF($F81="","",IFERROR(INDEX(Disponibilidad!$O$6:$O$18,MATCH($F81,Disponibilidad!$B$6:$B$18,0)),"Hogar"))</f>
        <v/>
      </c>
      <c r="H81" s="76" t="n"/>
      <c r="I81" s="57">
        <f>IF($D81="","",IF($C81="Cobro",N($H81),-N($H81)))</f>
        <v/>
      </c>
      <c r="J81" s="141" t="n"/>
      <c r="K81" s="64">
        <f>IF($B81="","",TEXT($B81,"YYYY-MM"))</f>
        <v/>
      </c>
      <c r="L81" s="145" t="n"/>
      <c r="M81" s="145" t="n"/>
      <c r="N81" s="145" t="n"/>
      <c r="O81" s="145" t="n"/>
      <c r="P81" s="145" t="n"/>
      <c r="Q81" s="145" t="n"/>
      <c r="R81" s="145" t="n"/>
      <c r="S81" s="145" t="n"/>
      <c r="T81" s="145" t="n"/>
      <c r="U81" s="1" t="n"/>
      <c r="V81" s="1" t="n"/>
      <c r="W81" s="1" t="n"/>
      <c r="X81" s="1" t="n"/>
      <c r="Y81" s="1" t="n"/>
      <c r="Z81" s="1" t="n"/>
    </row>
    <row r="82" ht="15" customHeight="1" s="311">
      <c r="A82" s="41">
        <f>IF($D82="","",ROW()-5)</f>
        <v/>
      </c>
      <c r="B82" s="144" t="n"/>
      <c r="C82" s="83" t="n"/>
      <c r="D82" s="146" t="n"/>
      <c r="E82" s="146" t="n"/>
      <c r="F82" s="146" t="n"/>
      <c r="G82" s="164">
        <f t="array" ref="G82">IF($F82="","",IFERROR(INDEX(Disponibilidad!$O$6:$O$18,MATCH($F82,Disponibilidad!$B$6:$B$18,0)),"Hogar"))</f>
        <v/>
      </c>
      <c r="H82" s="76" t="n"/>
      <c r="I82" s="57">
        <f>IF($D82="","",IF($C82="Cobro",N($H82),-N($H82)))</f>
        <v/>
      </c>
      <c r="J82" s="141" t="n"/>
      <c r="K82" s="64">
        <f>IF($B82="","",TEXT($B82,"YYYY-MM"))</f>
        <v/>
      </c>
      <c r="L82" s="145" t="n"/>
      <c r="M82" s="145" t="n"/>
      <c r="N82" s="145" t="n"/>
      <c r="O82" s="145" t="n"/>
      <c r="P82" s="145" t="n"/>
      <c r="Q82" s="145" t="n"/>
      <c r="R82" s="145" t="n"/>
      <c r="S82" s="145" t="n"/>
      <c r="T82" s="145" t="n"/>
      <c r="U82" s="1" t="n"/>
      <c r="V82" s="1" t="n"/>
      <c r="W82" s="1" t="n"/>
      <c r="X82" s="1" t="n"/>
      <c r="Y82" s="1" t="n"/>
      <c r="Z82" s="1" t="n"/>
    </row>
    <row r="83" ht="15" customHeight="1" s="311">
      <c r="A83" s="41">
        <f>IF($D83="","",ROW()-5)</f>
        <v/>
      </c>
      <c r="B83" s="144" t="n"/>
      <c r="C83" s="83" t="n"/>
      <c r="D83" s="146" t="n"/>
      <c r="E83" s="146" t="n"/>
      <c r="F83" s="146" t="n"/>
      <c r="G83" s="164">
        <f t="array" ref="G83">IF($F83="","",IFERROR(INDEX(Disponibilidad!$O$6:$O$18,MATCH($F83,Disponibilidad!$B$6:$B$18,0)),"Hogar"))</f>
        <v/>
      </c>
      <c r="H83" s="76" t="n"/>
      <c r="I83" s="57">
        <f>IF($D83="","",IF($C83="Cobro",N($H83),-N($H83)))</f>
        <v/>
      </c>
      <c r="J83" s="141" t="n"/>
      <c r="K83" s="64">
        <f>IF($B83="","",TEXT($B83,"YYYY-MM"))</f>
        <v/>
      </c>
      <c r="L83" s="145" t="n"/>
      <c r="M83" s="145" t="n"/>
      <c r="N83" s="145" t="n"/>
      <c r="O83" s="145" t="n"/>
      <c r="P83" s="145" t="n"/>
      <c r="Q83" s="145" t="n"/>
      <c r="R83" s="145" t="n"/>
      <c r="S83" s="145" t="n"/>
      <c r="T83" s="145" t="n"/>
      <c r="U83" s="1" t="n"/>
      <c r="V83" s="1" t="n"/>
      <c r="W83" s="1" t="n"/>
      <c r="X83" s="1" t="n"/>
      <c r="Y83" s="1" t="n"/>
      <c r="Z83" s="1" t="n"/>
    </row>
    <row r="84" ht="15" customHeight="1" s="311">
      <c r="A84" s="41">
        <f>IF($D84="","",ROW()-5)</f>
        <v/>
      </c>
      <c r="B84" s="144" t="n"/>
      <c r="C84" s="83" t="n"/>
      <c r="D84" s="146" t="n"/>
      <c r="E84" s="146" t="n"/>
      <c r="F84" s="146" t="n"/>
      <c r="G84" s="164">
        <f t="array" ref="G84">IF($F84="","",IFERROR(INDEX(Disponibilidad!$O$6:$O$18,MATCH($F84,Disponibilidad!$B$6:$B$18,0)),"Hogar"))</f>
        <v/>
      </c>
      <c r="H84" s="76" t="n"/>
      <c r="I84" s="57">
        <f>IF($D84="","",IF($C84="Cobro",N($H84),-N($H84)))</f>
        <v/>
      </c>
      <c r="J84" s="141" t="n"/>
      <c r="K84" s="64">
        <f>IF($B84="","",TEXT($B84,"YYYY-MM"))</f>
        <v/>
      </c>
      <c r="L84" s="145" t="n"/>
      <c r="M84" s="145" t="n"/>
      <c r="N84" s="145" t="n"/>
      <c r="O84" s="145" t="n"/>
      <c r="P84" s="145" t="n"/>
      <c r="Q84" s="145" t="n"/>
      <c r="R84" s="145" t="n"/>
      <c r="S84" s="145" t="n"/>
      <c r="T84" s="145" t="n"/>
      <c r="U84" s="1" t="n"/>
      <c r="V84" s="1" t="n"/>
      <c r="W84" s="1" t="n"/>
      <c r="X84" s="1" t="n"/>
      <c r="Y84" s="1" t="n"/>
      <c r="Z84" s="1" t="n"/>
    </row>
    <row r="85" ht="15" customHeight="1" s="311">
      <c r="A85" s="41">
        <f>IF($D85="","",ROW()-5)</f>
        <v/>
      </c>
      <c r="B85" s="144" t="n"/>
      <c r="C85" s="83" t="n"/>
      <c r="D85" s="146" t="n"/>
      <c r="E85" s="146" t="n"/>
      <c r="F85" s="146" t="n"/>
      <c r="G85" s="164">
        <f t="array" ref="G85">IF($F85="","",IFERROR(INDEX(Disponibilidad!$O$6:$O$18,MATCH($F85,Disponibilidad!$B$6:$B$18,0)),"Hogar"))</f>
        <v/>
      </c>
      <c r="H85" s="76" t="n"/>
      <c r="I85" s="57">
        <f>IF($D85="","",IF($C85="Cobro",N($H85),-N($H85)))</f>
        <v/>
      </c>
      <c r="J85" s="141" t="n"/>
      <c r="K85" s="64">
        <f>IF($B85="","",TEXT($B85,"YYYY-MM"))</f>
        <v/>
      </c>
      <c r="L85" s="145" t="n"/>
      <c r="M85" s="145" t="n"/>
      <c r="N85" s="145" t="n"/>
      <c r="O85" s="145" t="n"/>
      <c r="P85" s="145" t="n"/>
      <c r="Q85" s="145" t="n"/>
      <c r="R85" s="145" t="n"/>
      <c r="S85" s="145" t="n"/>
      <c r="T85" s="145" t="n"/>
      <c r="U85" s="1" t="n"/>
      <c r="V85" s="1" t="n"/>
      <c r="W85" s="1" t="n"/>
      <c r="X85" s="1" t="n"/>
      <c r="Y85" s="1" t="n"/>
      <c r="Z85" s="1" t="n"/>
    </row>
    <row r="86" ht="15" customHeight="1" s="311">
      <c r="A86" s="41">
        <f>IF($D86="","",ROW()-5)</f>
        <v/>
      </c>
      <c r="B86" s="144" t="n"/>
      <c r="C86" s="83" t="n"/>
      <c r="D86" s="146" t="n"/>
      <c r="E86" s="146" t="n"/>
      <c r="F86" s="146" t="n"/>
      <c r="G86" s="164">
        <f t="array" ref="G86">IF($F86="","",IFERROR(INDEX(Disponibilidad!$O$6:$O$18,MATCH($F86,Disponibilidad!$B$6:$B$18,0)),"Hogar"))</f>
        <v/>
      </c>
      <c r="H86" s="76" t="n"/>
      <c r="I86" s="57">
        <f>IF($D86="","",IF($C86="Cobro",N($H86),-N($H86)))</f>
        <v/>
      </c>
      <c r="J86" s="141" t="n"/>
      <c r="K86" s="64">
        <f>IF($B86="","",TEXT($B86,"YYYY-MM"))</f>
        <v/>
      </c>
      <c r="L86" s="145" t="n"/>
      <c r="M86" s="145" t="n"/>
      <c r="N86" s="145" t="n"/>
      <c r="O86" s="145" t="n"/>
      <c r="P86" s="145" t="n"/>
      <c r="Q86" s="145" t="n"/>
      <c r="R86" s="145" t="n"/>
      <c r="S86" s="145" t="n"/>
      <c r="T86" s="145" t="n"/>
      <c r="U86" s="1" t="n"/>
      <c r="V86" s="1" t="n"/>
      <c r="W86" s="1" t="n"/>
      <c r="X86" s="1" t="n"/>
      <c r="Y86" s="1" t="n"/>
      <c r="Z86" s="1" t="n"/>
    </row>
    <row r="87" ht="15" customHeight="1" s="311">
      <c r="A87" s="41">
        <f>IF($D87="","",ROW()-5)</f>
        <v/>
      </c>
      <c r="B87" s="144" t="n"/>
      <c r="C87" s="83" t="n"/>
      <c r="D87" s="146" t="n"/>
      <c r="E87" s="146" t="n"/>
      <c r="F87" s="146" t="n"/>
      <c r="G87" s="164">
        <f t="array" ref="G87">IF($F87="","",IFERROR(INDEX(Disponibilidad!$O$6:$O$18,MATCH($F87,Disponibilidad!$B$6:$B$18,0)),"Hogar"))</f>
        <v/>
      </c>
      <c r="H87" s="76" t="n"/>
      <c r="I87" s="57">
        <f>IF($D87="","",IF($C87="Cobro",N($H87),-N($H87)))</f>
        <v/>
      </c>
      <c r="J87" s="141" t="n"/>
      <c r="K87" s="64">
        <f>IF($B87="","",TEXT($B87,"YYYY-MM"))</f>
        <v/>
      </c>
      <c r="L87" s="145" t="n"/>
      <c r="M87" s="145" t="n"/>
      <c r="N87" s="145" t="n"/>
      <c r="O87" s="145" t="n"/>
      <c r="P87" s="145" t="n"/>
      <c r="Q87" s="145" t="n"/>
      <c r="R87" s="145" t="n"/>
      <c r="S87" s="145" t="n"/>
      <c r="T87" s="145" t="n"/>
      <c r="U87" s="1" t="n"/>
      <c r="V87" s="1" t="n"/>
      <c r="W87" s="1" t="n"/>
      <c r="X87" s="1" t="n"/>
      <c r="Y87" s="1" t="n"/>
      <c r="Z87" s="1" t="n"/>
    </row>
    <row r="88" ht="15" customHeight="1" s="311">
      <c r="A88" s="41">
        <f>IF($D88="","",ROW()-5)</f>
        <v/>
      </c>
      <c r="B88" s="144" t="n"/>
      <c r="C88" s="83" t="n"/>
      <c r="D88" s="146" t="n"/>
      <c r="E88" s="146" t="n"/>
      <c r="F88" s="146" t="n"/>
      <c r="G88" s="164">
        <f t="array" ref="G88">IF($F88="","",IFERROR(INDEX(Disponibilidad!$O$6:$O$18,MATCH($F88,Disponibilidad!$B$6:$B$18,0)),"Hogar"))</f>
        <v/>
      </c>
      <c r="H88" s="76" t="n"/>
      <c r="I88" s="57">
        <f>IF($D88="","",IF($C88="Cobro",N($H88),-N($H88)))</f>
        <v/>
      </c>
      <c r="J88" s="141" t="n"/>
      <c r="K88" s="64">
        <f>IF($B88="","",TEXT($B88,"YYYY-MM"))</f>
        <v/>
      </c>
      <c r="L88" s="145" t="n"/>
      <c r="M88" s="145" t="n"/>
      <c r="N88" s="145" t="n"/>
      <c r="O88" s="145" t="n"/>
      <c r="P88" s="145" t="n"/>
      <c r="Q88" s="145" t="n"/>
      <c r="R88" s="145" t="n"/>
      <c r="S88" s="145" t="n"/>
      <c r="T88" s="145" t="n"/>
      <c r="U88" s="1" t="n"/>
      <c r="V88" s="1" t="n"/>
      <c r="W88" s="1" t="n"/>
      <c r="X88" s="1" t="n"/>
      <c r="Y88" s="1" t="n"/>
      <c r="Z88" s="1" t="n"/>
    </row>
    <row r="89" ht="15" customHeight="1" s="311">
      <c r="A89" s="41">
        <f>IF($D89="","",ROW()-5)</f>
        <v/>
      </c>
      <c r="B89" s="144" t="n"/>
      <c r="C89" s="83" t="n"/>
      <c r="D89" s="146" t="n"/>
      <c r="E89" s="146" t="n"/>
      <c r="F89" s="146" t="n"/>
      <c r="G89" s="164">
        <f t="array" ref="G89">IF($F89="","",IFERROR(INDEX(Disponibilidad!$O$6:$O$18,MATCH($F89,Disponibilidad!$B$6:$B$18,0)),"Hogar"))</f>
        <v/>
      </c>
      <c r="H89" s="76" t="n"/>
      <c r="I89" s="57">
        <f>IF($D89="","",IF($C89="Cobro",N($H89),-N($H89)))</f>
        <v/>
      </c>
      <c r="J89" s="141" t="n"/>
      <c r="K89" s="64">
        <f>IF($B89="","",TEXT($B89,"YYYY-MM"))</f>
        <v/>
      </c>
      <c r="L89" s="145" t="n"/>
      <c r="M89" s="145" t="n"/>
      <c r="N89" s="145" t="n"/>
      <c r="O89" s="145" t="n"/>
      <c r="P89" s="145" t="n"/>
      <c r="Q89" s="145" t="n"/>
      <c r="R89" s="145" t="n"/>
      <c r="S89" s="145" t="n"/>
      <c r="T89" s="145" t="n"/>
      <c r="U89" s="1" t="n"/>
      <c r="V89" s="1" t="n"/>
      <c r="W89" s="1" t="n"/>
      <c r="X89" s="1" t="n"/>
      <c r="Y89" s="1" t="n"/>
      <c r="Z89" s="1" t="n"/>
    </row>
    <row r="90" ht="15" customHeight="1" s="311">
      <c r="A90" s="41">
        <f>IF($D90="","",ROW()-5)</f>
        <v/>
      </c>
      <c r="B90" s="144" t="n"/>
      <c r="C90" s="83" t="n"/>
      <c r="D90" s="146" t="n"/>
      <c r="E90" s="146" t="n"/>
      <c r="F90" s="146" t="n"/>
      <c r="G90" s="164">
        <f t="array" ref="G90">IF($F90="","",IFERROR(INDEX(Disponibilidad!$O$6:$O$18,MATCH($F90,Disponibilidad!$B$6:$B$18,0)),"Hogar"))</f>
        <v/>
      </c>
      <c r="H90" s="76" t="n"/>
      <c r="I90" s="57">
        <f>IF($D90="","",IF($C90="Cobro",N($H90),-N($H90)))</f>
        <v/>
      </c>
      <c r="J90" s="141" t="n"/>
      <c r="K90" s="64">
        <f>IF($B90="","",TEXT($B90,"YYYY-MM"))</f>
        <v/>
      </c>
      <c r="L90" s="145" t="n"/>
      <c r="M90" s="145" t="n"/>
      <c r="N90" s="145" t="n"/>
      <c r="O90" s="145" t="n"/>
      <c r="P90" s="145" t="n"/>
      <c r="Q90" s="145" t="n"/>
      <c r="R90" s="145" t="n"/>
      <c r="S90" s="145" t="n"/>
      <c r="T90" s="145" t="n"/>
      <c r="U90" s="1" t="n"/>
      <c r="V90" s="1" t="n"/>
      <c r="W90" s="1" t="n"/>
      <c r="X90" s="1" t="n"/>
      <c r="Y90" s="1" t="n"/>
      <c r="Z90" s="1" t="n"/>
    </row>
    <row r="91" ht="15" customHeight="1" s="311">
      <c r="A91" s="41">
        <f>IF($D91="","",ROW()-5)</f>
        <v/>
      </c>
      <c r="B91" s="144" t="n"/>
      <c r="C91" s="83" t="n"/>
      <c r="D91" s="146" t="n"/>
      <c r="E91" s="146" t="n"/>
      <c r="F91" s="146" t="n"/>
      <c r="G91" s="164">
        <f t="array" ref="G91">IF($F91="","",IFERROR(INDEX(Disponibilidad!$O$6:$O$18,MATCH($F91,Disponibilidad!$B$6:$B$18,0)),"Hogar"))</f>
        <v/>
      </c>
      <c r="H91" s="76" t="n"/>
      <c r="I91" s="57">
        <f>IF($D91="","",IF($C91="Cobro",N($H91),-N($H91)))</f>
        <v/>
      </c>
      <c r="J91" s="141" t="n"/>
      <c r="K91" s="64">
        <f>IF($B91="","",TEXT($B91,"YYYY-MM"))</f>
        <v/>
      </c>
      <c r="L91" s="145" t="n"/>
      <c r="M91" s="145" t="n"/>
      <c r="N91" s="145" t="n"/>
      <c r="O91" s="145" t="n"/>
      <c r="P91" s="145" t="n"/>
      <c r="Q91" s="145" t="n"/>
      <c r="R91" s="145" t="n"/>
      <c r="S91" s="145" t="n"/>
      <c r="T91" s="145" t="n"/>
      <c r="U91" s="1" t="n"/>
      <c r="V91" s="1" t="n"/>
      <c r="W91" s="1" t="n"/>
      <c r="X91" s="1" t="n"/>
      <c r="Y91" s="1" t="n"/>
      <c r="Z91" s="1" t="n"/>
    </row>
    <row r="92" ht="15" customHeight="1" s="311">
      <c r="A92" s="41">
        <f>IF($D92="","",ROW()-5)</f>
        <v/>
      </c>
      <c r="B92" s="144" t="n"/>
      <c r="C92" s="83" t="n"/>
      <c r="D92" s="146" t="n"/>
      <c r="E92" s="146" t="n"/>
      <c r="F92" s="146" t="n"/>
      <c r="G92" s="164">
        <f t="array" ref="G92">IF($F92="","",IFERROR(INDEX(Disponibilidad!$O$6:$O$18,MATCH($F92,Disponibilidad!$B$6:$B$18,0)),"Hogar"))</f>
        <v/>
      </c>
      <c r="H92" s="76" t="n"/>
      <c r="I92" s="57">
        <f>IF($D92="","",IF($C92="Cobro",N($H92),-N($H92)))</f>
        <v/>
      </c>
      <c r="J92" s="141" t="n"/>
      <c r="K92" s="64">
        <f>IF($B92="","",TEXT($B92,"YYYY-MM"))</f>
        <v/>
      </c>
      <c r="L92" s="145" t="n"/>
      <c r="M92" s="145" t="n"/>
      <c r="N92" s="145" t="n"/>
      <c r="O92" s="145" t="n"/>
      <c r="P92" s="145" t="n"/>
      <c r="Q92" s="145" t="n"/>
      <c r="R92" s="145" t="n"/>
      <c r="S92" s="145" t="n"/>
      <c r="T92" s="145" t="n"/>
      <c r="U92" s="1" t="n"/>
      <c r="V92" s="1" t="n"/>
      <c r="W92" s="1" t="n"/>
      <c r="X92" s="1" t="n"/>
      <c r="Y92" s="1" t="n"/>
      <c r="Z92" s="1" t="n"/>
    </row>
    <row r="93" ht="15" customHeight="1" s="311">
      <c r="A93" s="41">
        <f>IF($D93="","",ROW()-5)</f>
        <v/>
      </c>
      <c r="B93" s="144" t="n"/>
      <c r="C93" s="83" t="n"/>
      <c r="D93" s="146" t="n"/>
      <c r="E93" s="146" t="n"/>
      <c r="F93" s="146" t="n"/>
      <c r="G93" s="164">
        <f t="array" ref="G93">IF($F93="","",IFERROR(INDEX(Disponibilidad!$O$6:$O$18,MATCH($F93,Disponibilidad!$B$6:$B$18,0)),"Hogar"))</f>
        <v/>
      </c>
      <c r="H93" s="76" t="n"/>
      <c r="I93" s="57">
        <f>IF($D93="","",IF($C93="Cobro",N($H93),-N($H93)))</f>
        <v/>
      </c>
      <c r="J93" s="141" t="n"/>
      <c r="K93" s="64">
        <f>IF($B93="","",TEXT($B93,"YYYY-MM"))</f>
        <v/>
      </c>
      <c r="L93" s="145" t="n"/>
      <c r="M93" s="145" t="n"/>
      <c r="N93" s="145" t="n"/>
      <c r="O93" s="145" t="n"/>
      <c r="P93" s="145" t="n"/>
      <c r="Q93" s="145" t="n"/>
      <c r="R93" s="145" t="n"/>
      <c r="S93" s="145" t="n"/>
      <c r="T93" s="145" t="n"/>
      <c r="U93" s="1" t="n"/>
      <c r="V93" s="1" t="n"/>
      <c r="W93" s="1" t="n"/>
      <c r="X93" s="1" t="n"/>
      <c r="Y93" s="1" t="n"/>
      <c r="Z93" s="1" t="n"/>
    </row>
    <row r="94" ht="15" customHeight="1" s="311">
      <c r="A94" s="41">
        <f>IF($D94="","",ROW()-5)</f>
        <v/>
      </c>
      <c r="B94" s="144" t="n"/>
      <c r="C94" s="83" t="n"/>
      <c r="D94" s="146" t="n"/>
      <c r="E94" s="146" t="n"/>
      <c r="F94" s="146" t="n"/>
      <c r="G94" s="164">
        <f t="array" ref="G94">IF($F94="","",IFERROR(INDEX(Disponibilidad!$O$6:$O$18,MATCH($F94,Disponibilidad!$B$6:$B$18,0)),"Hogar"))</f>
        <v/>
      </c>
      <c r="H94" s="76" t="n"/>
      <c r="I94" s="57">
        <f>IF($D94="","",IF($C94="Cobro",N($H94),-N($H94)))</f>
        <v/>
      </c>
      <c r="J94" s="141" t="n"/>
      <c r="K94" s="64">
        <f>IF($B94="","",TEXT($B94,"YYYY-MM"))</f>
        <v/>
      </c>
      <c r="L94" s="145" t="n"/>
      <c r="M94" s="145" t="n"/>
      <c r="N94" s="145" t="n"/>
      <c r="O94" s="145" t="n"/>
      <c r="P94" s="145" t="n"/>
      <c r="Q94" s="145" t="n"/>
      <c r="R94" s="145" t="n"/>
      <c r="S94" s="145" t="n"/>
      <c r="T94" s="145" t="n"/>
      <c r="U94" s="1" t="n"/>
      <c r="V94" s="1" t="n"/>
      <c r="W94" s="1" t="n"/>
      <c r="X94" s="1" t="n"/>
      <c r="Y94" s="1" t="n"/>
      <c r="Z94" s="1" t="n"/>
    </row>
    <row r="95" ht="15" customHeight="1" s="311">
      <c r="A95" s="41">
        <f>IF($D95="","",ROW()-5)</f>
        <v/>
      </c>
      <c r="B95" s="144" t="n"/>
      <c r="C95" s="83" t="n"/>
      <c r="D95" s="146" t="n"/>
      <c r="E95" s="146" t="n"/>
      <c r="F95" s="146" t="n"/>
      <c r="G95" s="164">
        <f t="array" ref="G95">IF($F95="","",IFERROR(INDEX(Disponibilidad!$O$6:$O$18,MATCH($F95,Disponibilidad!$B$6:$B$18,0)),"Hogar"))</f>
        <v/>
      </c>
      <c r="H95" s="76" t="n"/>
      <c r="I95" s="57">
        <f>IF($D95="","",IF($C95="Cobro",N($H95),-N($H95)))</f>
        <v/>
      </c>
      <c r="J95" s="141" t="n"/>
      <c r="K95" s="64">
        <f>IF($B95="","",TEXT($B95,"YYYY-MM"))</f>
        <v/>
      </c>
      <c r="L95" s="145" t="n"/>
      <c r="M95" s="145" t="n"/>
      <c r="N95" s="145" t="n"/>
      <c r="O95" s="145" t="n"/>
      <c r="P95" s="145" t="n"/>
      <c r="Q95" s="145" t="n"/>
      <c r="R95" s="145" t="n"/>
      <c r="S95" s="145" t="n"/>
      <c r="T95" s="145" t="n"/>
      <c r="U95" s="1" t="n"/>
      <c r="V95" s="1" t="n"/>
      <c r="W95" s="1" t="n"/>
      <c r="X95" s="1" t="n"/>
      <c r="Y95" s="1" t="n"/>
      <c r="Z95" s="1" t="n"/>
    </row>
    <row r="96" ht="15" customHeight="1" s="311">
      <c r="A96" s="41">
        <f>IF($D96="","",ROW()-5)</f>
        <v/>
      </c>
      <c r="B96" s="144" t="n"/>
      <c r="C96" s="83" t="n"/>
      <c r="D96" s="146" t="n"/>
      <c r="E96" s="146" t="n"/>
      <c r="F96" s="146" t="n"/>
      <c r="G96" s="164">
        <f t="array" ref="G96">IF($F96="","",IFERROR(INDEX(Disponibilidad!$O$6:$O$18,MATCH($F96,Disponibilidad!$B$6:$B$18,0)),"Hogar"))</f>
        <v/>
      </c>
      <c r="H96" s="76" t="n"/>
      <c r="I96" s="57">
        <f>IF($D96="","",IF($C96="Cobro",N($H96),-N($H96)))</f>
        <v/>
      </c>
      <c r="J96" s="141" t="n"/>
      <c r="K96" s="64">
        <f>IF($B96="","",TEXT($B96,"YYYY-MM"))</f>
        <v/>
      </c>
      <c r="L96" s="145" t="n"/>
      <c r="M96" s="145" t="n"/>
      <c r="N96" s="145" t="n"/>
      <c r="O96" s="145" t="n"/>
      <c r="P96" s="145" t="n"/>
      <c r="Q96" s="145" t="n"/>
      <c r="R96" s="145" t="n"/>
      <c r="S96" s="145" t="n"/>
      <c r="T96" s="145" t="n"/>
      <c r="U96" s="1" t="n"/>
      <c r="V96" s="1" t="n"/>
      <c r="W96" s="1" t="n"/>
      <c r="X96" s="1" t="n"/>
      <c r="Y96" s="1" t="n"/>
      <c r="Z96" s="1" t="n"/>
    </row>
    <row r="97" ht="15" customHeight="1" s="311">
      <c r="A97" s="41">
        <f>IF($D97="","",ROW()-5)</f>
        <v/>
      </c>
      <c r="B97" s="144" t="n"/>
      <c r="C97" s="83" t="n"/>
      <c r="D97" s="146" t="n"/>
      <c r="E97" s="146" t="n"/>
      <c r="F97" s="146" t="n"/>
      <c r="G97" s="164">
        <f t="array" ref="G97">IF($F97="","",IFERROR(INDEX(Disponibilidad!$O$6:$O$18,MATCH($F97,Disponibilidad!$B$6:$B$18,0)),"Hogar"))</f>
        <v/>
      </c>
      <c r="H97" s="76" t="n"/>
      <c r="I97" s="57">
        <f>IF($D97="","",IF($C97="Cobro",N($H97),-N($H97)))</f>
        <v/>
      </c>
      <c r="J97" s="141" t="n"/>
      <c r="K97" s="64">
        <f>IF($B97="","",TEXT($B97,"YYYY-MM"))</f>
        <v/>
      </c>
      <c r="L97" s="145" t="n"/>
      <c r="M97" s="145" t="n"/>
      <c r="N97" s="145" t="n"/>
      <c r="O97" s="145" t="n"/>
      <c r="P97" s="145" t="n"/>
      <c r="Q97" s="145" t="n"/>
      <c r="R97" s="145" t="n"/>
      <c r="S97" s="145" t="n"/>
      <c r="T97" s="145" t="n"/>
      <c r="U97" s="1" t="n"/>
      <c r="V97" s="1" t="n"/>
      <c r="W97" s="1" t="n"/>
      <c r="X97" s="1" t="n"/>
      <c r="Y97" s="1" t="n"/>
      <c r="Z97" s="1" t="n"/>
    </row>
    <row r="98" ht="15" customHeight="1" s="311">
      <c r="A98" s="41">
        <f>IF($D98="","",ROW()-5)</f>
        <v/>
      </c>
      <c r="B98" s="144" t="n"/>
      <c r="C98" s="83" t="n"/>
      <c r="D98" s="146" t="n"/>
      <c r="E98" s="146" t="n"/>
      <c r="F98" s="146" t="n"/>
      <c r="G98" s="164">
        <f t="array" ref="G98">IF($F98="","",IFERROR(INDEX(Disponibilidad!$O$6:$O$18,MATCH($F98,Disponibilidad!$B$6:$B$18,0)),"Hogar"))</f>
        <v/>
      </c>
      <c r="H98" s="76" t="n"/>
      <c r="I98" s="57">
        <f>IF($D98="","",IF($C98="Cobro",N($H98),-N($H98)))</f>
        <v/>
      </c>
      <c r="J98" s="141" t="n"/>
      <c r="K98" s="64">
        <f>IF($B98="","",TEXT($B98,"YYYY-MM"))</f>
        <v/>
      </c>
      <c r="L98" s="145" t="n"/>
      <c r="M98" s="145" t="n"/>
      <c r="N98" s="145" t="n"/>
      <c r="O98" s="145" t="n"/>
      <c r="P98" s="145" t="n"/>
      <c r="Q98" s="145" t="n"/>
      <c r="R98" s="145" t="n"/>
      <c r="S98" s="145" t="n"/>
      <c r="T98" s="145" t="n"/>
      <c r="U98" s="1" t="n"/>
      <c r="V98" s="1" t="n"/>
      <c r="W98" s="1" t="n"/>
      <c r="X98" s="1" t="n"/>
      <c r="Y98" s="1" t="n"/>
      <c r="Z98" s="1" t="n"/>
    </row>
    <row r="99" ht="15" customHeight="1" s="311">
      <c r="A99" s="41">
        <f>IF($D99="","",ROW()-5)</f>
        <v/>
      </c>
      <c r="B99" s="144" t="n"/>
      <c r="C99" s="83" t="n"/>
      <c r="D99" s="146" t="n"/>
      <c r="E99" s="146" t="n"/>
      <c r="F99" s="146" t="n"/>
      <c r="G99" s="164">
        <f t="array" ref="G99">IF($F99="","",IFERROR(INDEX(Disponibilidad!$O$6:$O$18,MATCH($F99,Disponibilidad!$B$6:$B$18,0)),"Hogar"))</f>
        <v/>
      </c>
      <c r="H99" s="76" t="n"/>
      <c r="I99" s="57">
        <f>IF($D99="","",IF($C99="Cobro",N($H99),-N($H99)))</f>
        <v/>
      </c>
      <c r="J99" s="141" t="n"/>
      <c r="K99" s="64">
        <f>IF($B99="","",TEXT($B99,"YYYY-MM"))</f>
        <v/>
      </c>
      <c r="L99" s="145" t="n"/>
      <c r="M99" s="145" t="n"/>
      <c r="N99" s="145" t="n"/>
      <c r="O99" s="145" t="n"/>
      <c r="P99" s="145" t="n"/>
      <c r="Q99" s="145" t="n"/>
      <c r="R99" s="145" t="n"/>
      <c r="S99" s="145" t="n"/>
      <c r="T99" s="145" t="n"/>
      <c r="U99" s="1" t="n"/>
      <c r="V99" s="1" t="n"/>
      <c r="W99" s="1" t="n"/>
      <c r="X99" s="1" t="n"/>
      <c r="Y99" s="1" t="n"/>
      <c r="Z99" s="1" t="n"/>
    </row>
    <row r="100" ht="15" customHeight="1" s="311">
      <c r="A100" s="41">
        <f>IF($D100="","",ROW()-5)</f>
        <v/>
      </c>
      <c r="B100" s="144" t="n"/>
      <c r="C100" s="83" t="n"/>
      <c r="D100" s="146" t="n"/>
      <c r="E100" s="146" t="n"/>
      <c r="F100" s="146" t="n"/>
      <c r="G100" s="164">
        <f t="array" ref="G100">IF($F100="","",IFERROR(INDEX(Disponibilidad!$O$6:$O$18,MATCH($F100,Disponibilidad!$B$6:$B$18,0)),"Hogar"))</f>
        <v/>
      </c>
      <c r="H100" s="76" t="n"/>
      <c r="I100" s="57">
        <f>IF($D100="","",IF($C100="Cobro",N($H100),-N($H100)))</f>
        <v/>
      </c>
      <c r="J100" s="141" t="n"/>
      <c r="K100" s="64">
        <f>IF($B100="","",TEXT($B100,"YYYY-MM"))</f>
        <v/>
      </c>
      <c r="L100" s="145" t="n"/>
      <c r="M100" s="145" t="n"/>
      <c r="N100" s="145" t="n"/>
      <c r="O100" s="145" t="n"/>
      <c r="P100" s="145" t="n"/>
      <c r="Q100" s="145" t="n"/>
      <c r="R100" s="145" t="n"/>
      <c r="S100" s="145" t="n"/>
      <c r="T100" s="145" t="n"/>
      <c r="U100" s="1" t="n"/>
      <c r="V100" s="1" t="n"/>
      <c r="W100" s="1" t="n"/>
      <c r="X100" s="1" t="n"/>
      <c r="Y100" s="1" t="n"/>
      <c r="Z100" s="1" t="n"/>
    </row>
    <row r="101" ht="15" customHeight="1" s="311">
      <c r="A101" s="41">
        <f>IF($D101="","",ROW()-5)</f>
        <v/>
      </c>
      <c r="B101" s="144" t="n"/>
      <c r="C101" s="83" t="n"/>
      <c r="D101" s="146" t="n"/>
      <c r="E101" s="146" t="n"/>
      <c r="F101" s="146" t="n"/>
      <c r="G101" s="164">
        <f t="array" ref="G101">IF($F101="","",IFERROR(INDEX(Disponibilidad!$O$6:$O$18,MATCH($F101,Disponibilidad!$B$6:$B$18,0)),"Hogar"))</f>
        <v/>
      </c>
      <c r="H101" s="76" t="n"/>
      <c r="I101" s="57">
        <f>IF($D101="","",IF($C101="Cobro",N($H101),-N($H101)))</f>
        <v/>
      </c>
      <c r="J101" s="141" t="n"/>
      <c r="K101" s="64">
        <f>IF($B101="","",TEXT($B101,"YYYY-MM"))</f>
        <v/>
      </c>
      <c r="L101" s="145" t="n"/>
      <c r="M101" s="145" t="n"/>
      <c r="N101" s="145" t="n"/>
      <c r="O101" s="145" t="n"/>
      <c r="P101" s="145" t="n"/>
      <c r="Q101" s="145" t="n"/>
      <c r="R101" s="145" t="n"/>
      <c r="S101" s="145" t="n"/>
      <c r="T101" s="145" t="n"/>
      <c r="U101" s="1" t="n"/>
      <c r="V101" s="1" t="n"/>
      <c r="W101" s="1" t="n"/>
      <c r="X101" s="1" t="n"/>
      <c r="Y101" s="1" t="n"/>
      <c r="Z101" s="1" t="n"/>
    </row>
    <row r="102" ht="15" customHeight="1" s="311">
      <c r="A102" s="41">
        <f>IF($D102="","",ROW()-5)</f>
        <v/>
      </c>
      <c r="B102" s="144" t="n"/>
      <c r="C102" s="83" t="n"/>
      <c r="D102" s="146" t="n"/>
      <c r="E102" s="146" t="n"/>
      <c r="F102" s="146" t="n"/>
      <c r="G102" s="164">
        <f t="array" ref="G102">IF($F102="","",IFERROR(INDEX(Disponibilidad!$O$6:$O$18,MATCH($F102,Disponibilidad!$B$6:$B$18,0)),"Hogar"))</f>
        <v/>
      </c>
      <c r="H102" s="76" t="n"/>
      <c r="I102" s="57">
        <f>IF($D102="","",IF($C102="Cobro",N($H102),-N($H102)))</f>
        <v/>
      </c>
      <c r="J102" s="141" t="n"/>
      <c r="K102" s="64">
        <f>IF($B102="","",TEXT($B102,"YYYY-MM"))</f>
        <v/>
      </c>
      <c r="L102" s="145" t="n"/>
      <c r="M102" s="145" t="n"/>
      <c r="N102" s="145" t="n"/>
      <c r="O102" s="145" t="n"/>
      <c r="P102" s="145" t="n"/>
      <c r="Q102" s="145" t="n"/>
      <c r="R102" s="145" t="n"/>
      <c r="S102" s="145" t="n"/>
      <c r="T102" s="145" t="n"/>
      <c r="U102" s="1" t="n"/>
      <c r="V102" s="1" t="n"/>
      <c r="W102" s="1" t="n"/>
      <c r="X102" s="1" t="n"/>
      <c r="Y102" s="1" t="n"/>
      <c r="Z102" s="1" t="n"/>
    </row>
    <row r="103" ht="15" customHeight="1" s="311">
      <c r="A103" s="41">
        <f>IF($D103="","",ROW()-5)</f>
        <v/>
      </c>
      <c r="B103" s="144" t="n"/>
      <c r="C103" s="83" t="n"/>
      <c r="D103" s="146" t="n"/>
      <c r="E103" s="146" t="n"/>
      <c r="F103" s="146" t="n"/>
      <c r="G103" s="164">
        <f t="array" ref="G103">IF($F103="","",IFERROR(INDEX(Disponibilidad!$O$6:$O$18,MATCH($F103,Disponibilidad!$B$6:$B$18,0)),"Hogar"))</f>
        <v/>
      </c>
      <c r="H103" s="76" t="n"/>
      <c r="I103" s="57">
        <f>IF($D103="","",IF($C103="Cobro",N($H103),-N($H103)))</f>
        <v/>
      </c>
      <c r="J103" s="141" t="n"/>
      <c r="K103" s="64">
        <f>IF($B103="","",TEXT($B103,"YYYY-MM"))</f>
        <v/>
      </c>
      <c r="L103" s="145" t="n"/>
      <c r="M103" s="145" t="n"/>
      <c r="N103" s="145" t="n"/>
      <c r="O103" s="145" t="n"/>
      <c r="P103" s="145" t="n"/>
      <c r="Q103" s="145" t="n"/>
      <c r="R103" s="145" t="n"/>
      <c r="S103" s="145" t="n"/>
      <c r="T103" s="145" t="n"/>
      <c r="U103" s="1" t="n"/>
      <c r="V103" s="1" t="n"/>
      <c r="W103" s="1" t="n"/>
      <c r="X103" s="1" t="n"/>
      <c r="Y103" s="1" t="n"/>
      <c r="Z103" s="1" t="n"/>
    </row>
    <row r="104" ht="15" customHeight="1" s="311">
      <c r="A104" s="41">
        <f>IF($D104="","",ROW()-5)</f>
        <v/>
      </c>
      <c r="B104" s="144" t="n"/>
      <c r="C104" s="83" t="n"/>
      <c r="D104" s="146" t="n"/>
      <c r="E104" s="146" t="n"/>
      <c r="F104" s="146" t="n"/>
      <c r="G104" s="164">
        <f t="array" ref="G104">IF($F104="","",IFERROR(INDEX(Disponibilidad!$O$6:$O$18,MATCH($F104,Disponibilidad!$B$6:$B$18,0)),"Hogar"))</f>
        <v/>
      </c>
      <c r="H104" s="76" t="n"/>
      <c r="I104" s="57">
        <f>IF($D104="","",IF($C104="Cobro",N($H104),-N($H104)))</f>
        <v/>
      </c>
      <c r="J104" s="141" t="n"/>
      <c r="K104" s="64">
        <f>IF($B104="","",TEXT($B104,"YYYY-MM"))</f>
        <v/>
      </c>
      <c r="L104" s="145" t="n"/>
      <c r="M104" s="145" t="n"/>
      <c r="N104" s="145" t="n"/>
      <c r="O104" s="145" t="n"/>
      <c r="P104" s="145" t="n"/>
      <c r="Q104" s="145" t="n"/>
      <c r="R104" s="145" t="n"/>
      <c r="S104" s="145" t="n"/>
      <c r="T104" s="145" t="n"/>
      <c r="U104" s="1" t="n"/>
      <c r="V104" s="1" t="n"/>
      <c r="W104" s="1" t="n"/>
      <c r="X104" s="1" t="n"/>
      <c r="Y104" s="1" t="n"/>
      <c r="Z104" s="1" t="n"/>
    </row>
    <row r="105" ht="15" customHeight="1" s="311">
      <c r="A105" s="41">
        <f>IF($D105="","",ROW()-5)</f>
        <v/>
      </c>
      <c r="B105" s="144" t="n"/>
      <c r="C105" s="83" t="n"/>
      <c r="D105" s="146" t="n"/>
      <c r="E105" s="146" t="n"/>
      <c r="F105" s="146" t="n"/>
      <c r="G105" s="164">
        <f t="array" ref="G105">IF($F105="","",IFERROR(INDEX(Disponibilidad!$O$6:$O$18,MATCH($F105,Disponibilidad!$B$6:$B$18,0)),"Hogar"))</f>
        <v/>
      </c>
      <c r="H105" s="76" t="n"/>
      <c r="I105" s="57">
        <f>IF($D105="","",IF($C105="Cobro",N($H105),-N($H105)))</f>
        <v/>
      </c>
      <c r="J105" s="141" t="n"/>
      <c r="K105" s="64">
        <f>IF($B105="","",TEXT($B105,"YYYY-MM"))</f>
        <v/>
      </c>
      <c r="L105" s="145" t="n"/>
      <c r="M105" s="145" t="n"/>
      <c r="N105" s="145" t="n"/>
      <c r="O105" s="145" t="n"/>
      <c r="P105" s="145" t="n"/>
      <c r="Q105" s="145" t="n"/>
      <c r="R105" s="145" t="n"/>
      <c r="S105" s="145" t="n"/>
      <c r="T105" s="145" t="n"/>
      <c r="U105" s="1" t="n"/>
      <c r="V105" s="1" t="n"/>
      <c r="W105" s="1" t="n"/>
      <c r="X105" s="1" t="n"/>
      <c r="Y105" s="1" t="n"/>
      <c r="Z105" s="1" t="n"/>
    </row>
    <row r="106" ht="15" customHeight="1" s="311">
      <c r="A106" s="41">
        <f>IF($D106="","",ROW()-5)</f>
        <v/>
      </c>
      <c r="B106" s="144" t="n"/>
      <c r="C106" s="83" t="n"/>
      <c r="D106" s="146" t="n"/>
      <c r="E106" s="146" t="n"/>
      <c r="F106" s="146" t="n"/>
      <c r="G106" s="164">
        <f t="array" ref="G106">IF($F106="","",IFERROR(INDEX(Disponibilidad!$O$6:$O$18,MATCH($F106,Disponibilidad!$B$6:$B$18,0)),"Hogar"))</f>
        <v/>
      </c>
      <c r="H106" s="76" t="n"/>
      <c r="I106" s="57">
        <f>IF($D106="","",IF($C106="Cobro",N($H106),-N($H106)))</f>
        <v/>
      </c>
      <c r="J106" s="141" t="n"/>
      <c r="K106" s="64">
        <f>IF($B106="","",TEXT($B106,"YYYY-MM"))</f>
        <v/>
      </c>
      <c r="L106" s="145" t="n"/>
      <c r="M106" s="145" t="n"/>
      <c r="N106" s="145" t="n"/>
      <c r="O106" s="145" t="n"/>
      <c r="P106" s="145" t="n"/>
      <c r="Q106" s="145" t="n"/>
      <c r="R106" s="145" t="n"/>
      <c r="S106" s="145" t="n"/>
      <c r="T106" s="145" t="n"/>
      <c r="U106" s="1" t="n"/>
      <c r="V106" s="1" t="n"/>
      <c r="W106" s="1" t="n"/>
      <c r="X106" s="1" t="n"/>
      <c r="Y106" s="1" t="n"/>
      <c r="Z106" s="1" t="n"/>
    </row>
    <row r="107" ht="15" customHeight="1" s="311">
      <c r="A107" s="41">
        <f>IF($D107="","",ROW()-5)</f>
        <v/>
      </c>
      <c r="B107" s="144" t="n"/>
      <c r="C107" s="83" t="n"/>
      <c r="D107" s="146" t="n"/>
      <c r="E107" s="146" t="n"/>
      <c r="F107" s="146" t="n"/>
      <c r="G107" s="164">
        <f t="array" ref="G107">IF($F107="","",IFERROR(INDEX(Disponibilidad!$O$6:$O$18,MATCH($F107,Disponibilidad!$B$6:$B$18,0)),"Hogar"))</f>
        <v/>
      </c>
      <c r="H107" s="76" t="n"/>
      <c r="I107" s="57">
        <f>IF($D107="","",IF($C107="Cobro",N($H107),-N($H107)))</f>
        <v/>
      </c>
      <c r="J107" s="141" t="n"/>
      <c r="K107" s="64">
        <f>IF($B107="","",TEXT($B107,"YYYY-MM"))</f>
        <v/>
      </c>
      <c r="L107" s="145" t="n"/>
      <c r="M107" s="145" t="n"/>
      <c r="N107" s="145" t="n"/>
      <c r="O107" s="145" t="n"/>
      <c r="P107" s="145" t="n"/>
      <c r="Q107" s="145" t="n"/>
      <c r="R107" s="145" t="n"/>
      <c r="S107" s="145" t="n"/>
      <c r="T107" s="145" t="n"/>
      <c r="U107" s="1" t="n"/>
      <c r="V107" s="1" t="n"/>
      <c r="W107" s="1" t="n"/>
      <c r="X107" s="1" t="n"/>
      <c r="Y107" s="1" t="n"/>
      <c r="Z107" s="1" t="n"/>
    </row>
    <row r="108" ht="15" customHeight="1" s="311">
      <c r="A108" s="41">
        <f>IF($D108="","",ROW()-5)</f>
        <v/>
      </c>
      <c r="B108" s="144" t="n"/>
      <c r="C108" s="83" t="n"/>
      <c r="D108" s="146" t="n"/>
      <c r="E108" s="146" t="n"/>
      <c r="F108" s="146" t="n"/>
      <c r="G108" s="164">
        <f t="array" ref="G108">IF($F108="","",IFERROR(INDEX(Disponibilidad!$O$6:$O$18,MATCH($F108,Disponibilidad!$B$6:$B$18,0)),"Hogar"))</f>
        <v/>
      </c>
      <c r="H108" s="76" t="n"/>
      <c r="I108" s="57">
        <f>IF($D108="","",IF($C108="Cobro",N($H108),-N($H108)))</f>
        <v/>
      </c>
      <c r="J108" s="141" t="n"/>
      <c r="K108" s="64">
        <f>IF($B108="","",TEXT($B108,"YYYY-MM"))</f>
        <v/>
      </c>
      <c r="L108" s="145" t="n"/>
      <c r="M108" s="145" t="n"/>
      <c r="N108" s="145" t="n"/>
      <c r="O108" s="145" t="n"/>
      <c r="P108" s="145" t="n"/>
      <c r="Q108" s="145" t="n"/>
      <c r="R108" s="145" t="n"/>
      <c r="S108" s="145" t="n"/>
      <c r="T108" s="145" t="n"/>
      <c r="U108" s="1" t="n"/>
      <c r="V108" s="1" t="n"/>
      <c r="W108" s="1" t="n"/>
      <c r="X108" s="1" t="n"/>
      <c r="Y108" s="1" t="n"/>
      <c r="Z108" s="1" t="n"/>
    </row>
    <row r="109" ht="15" customHeight="1" s="311">
      <c r="A109" s="41">
        <f>IF($D109="","",ROW()-5)</f>
        <v/>
      </c>
      <c r="B109" s="144" t="n"/>
      <c r="C109" s="83" t="n"/>
      <c r="D109" s="146" t="n"/>
      <c r="E109" s="146" t="n"/>
      <c r="F109" s="146" t="n"/>
      <c r="G109" s="164">
        <f t="array" ref="G109">IF($F109="","",IFERROR(INDEX(Disponibilidad!$O$6:$O$18,MATCH($F109,Disponibilidad!$B$6:$B$18,0)),"Hogar"))</f>
        <v/>
      </c>
      <c r="H109" s="76" t="n"/>
      <c r="I109" s="57">
        <f>IF($D109="","",IF($C109="Cobro",N($H109),-N($H109)))</f>
        <v/>
      </c>
      <c r="J109" s="141" t="n"/>
      <c r="K109" s="64">
        <f>IF($B109="","",TEXT($B109,"YYYY-MM"))</f>
        <v/>
      </c>
      <c r="L109" s="145" t="n"/>
      <c r="M109" s="145" t="n"/>
      <c r="N109" s="145" t="n"/>
      <c r="O109" s="145" t="n"/>
      <c r="P109" s="145" t="n"/>
      <c r="Q109" s="145" t="n"/>
      <c r="R109" s="145" t="n"/>
      <c r="S109" s="145" t="n"/>
      <c r="T109" s="145" t="n"/>
      <c r="U109" s="1" t="n"/>
      <c r="V109" s="1" t="n"/>
      <c r="W109" s="1" t="n"/>
      <c r="X109" s="1" t="n"/>
      <c r="Y109" s="1" t="n"/>
      <c r="Z109" s="1" t="n"/>
    </row>
    <row r="110" ht="15" customHeight="1" s="311">
      <c r="A110" s="41">
        <f>IF($D110="","",ROW()-5)</f>
        <v/>
      </c>
      <c r="B110" s="144" t="n"/>
      <c r="C110" s="83" t="n"/>
      <c r="D110" s="146" t="n"/>
      <c r="E110" s="146" t="n"/>
      <c r="F110" s="146" t="n"/>
      <c r="G110" s="164">
        <f t="array" ref="G110">IF($F110="","",IFERROR(INDEX(Disponibilidad!$O$6:$O$18,MATCH($F110,Disponibilidad!$B$6:$B$18,0)),"Hogar"))</f>
        <v/>
      </c>
      <c r="H110" s="76" t="n"/>
      <c r="I110" s="57">
        <f>IF($D110="","",IF($C110="Cobro",N($H110),-N($H110)))</f>
        <v/>
      </c>
      <c r="J110" s="141" t="n"/>
      <c r="K110" s="64">
        <f>IF($B110="","",TEXT($B110,"YYYY-MM"))</f>
        <v/>
      </c>
      <c r="L110" s="145" t="n"/>
      <c r="M110" s="145" t="n"/>
      <c r="N110" s="145" t="n"/>
      <c r="O110" s="145" t="n"/>
      <c r="P110" s="145" t="n"/>
      <c r="Q110" s="145" t="n"/>
      <c r="R110" s="145" t="n"/>
      <c r="S110" s="145" t="n"/>
      <c r="T110" s="145" t="n"/>
      <c r="U110" s="1" t="n"/>
      <c r="V110" s="1" t="n"/>
      <c r="W110" s="1" t="n"/>
      <c r="X110" s="1" t="n"/>
      <c r="Y110" s="1" t="n"/>
      <c r="Z110" s="1" t="n"/>
    </row>
    <row r="111" ht="15" customHeight="1" s="311">
      <c r="A111" s="41">
        <f>IF($D111="","",ROW()-5)</f>
        <v/>
      </c>
      <c r="B111" s="144" t="n"/>
      <c r="C111" s="83" t="n"/>
      <c r="D111" s="146" t="n"/>
      <c r="E111" s="146" t="n"/>
      <c r="F111" s="146" t="n"/>
      <c r="G111" s="164">
        <f t="array" ref="G111">IF($F111="","",IFERROR(INDEX(Disponibilidad!$O$6:$O$18,MATCH($F111,Disponibilidad!$B$6:$B$18,0)),"Hogar"))</f>
        <v/>
      </c>
      <c r="H111" s="76" t="n"/>
      <c r="I111" s="57">
        <f>IF($D111="","",IF($C111="Cobro",N($H111),-N($H111)))</f>
        <v/>
      </c>
      <c r="J111" s="141" t="n"/>
      <c r="K111" s="64">
        <f>IF($B111="","",TEXT($B111,"YYYY-MM"))</f>
        <v/>
      </c>
      <c r="L111" s="145" t="n"/>
      <c r="M111" s="145" t="n"/>
      <c r="N111" s="145" t="n"/>
      <c r="O111" s="145" t="n"/>
      <c r="P111" s="145" t="n"/>
      <c r="Q111" s="145" t="n"/>
      <c r="R111" s="145" t="n"/>
      <c r="S111" s="145" t="n"/>
      <c r="T111" s="145" t="n"/>
      <c r="U111" s="1" t="n"/>
      <c r="V111" s="1" t="n"/>
      <c r="W111" s="1" t="n"/>
      <c r="X111" s="1" t="n"/>
      <c r="Y111" s="1" t="n"/>
      <c r="Z111" s="1" t="n"/>
    </row>
    <row r="112" ht="15" customHeight="1" s="311">
      <c r="A112" s="41">
        <f>IF($D112="","",ROW()-5)</f>
        <v/>
      </c>
      <c r="B112" s="144" t="n"/>
      <c r="C112" s="83" t="n"/>
      <c r="D112" s="146" t="n"/>
      <c r="E112" s="146" t="n"/>
      <c r="F112" s="146" t="n"/>
      <c r="G112" s="164">
        <f t="array" ref="G112">IF($F112="","",IFERROR(INDEX(Disponibilidad!$O$6:$O$18,MATCH($F112,Disponibilidad!$B$6:$B$18,0)),"Hogar"))</f>
        <v/>
      </c>
      <c r="H112" s="76" t="n"/>
      <c r="I112" s="57">
        <f>IF($D112="","",IF($C112="Cobro",N($H112),-N($H112)))</f>
        <v/>
      </c>
      <c r="J112" s="141" t="n"/>
      <c r="K112" s="64">
        <f>IF($B112="","",TEXT($B112,"YYYY-MM"))</f>
        <v/>
      </c>
      <c r="L112" s="145" t="n"/>
      <c r="M112" s="145" t="n"/>
      <c r="N112" s="145" t="n"/>
      <c r="O112" s="145" t="n"/>
      <c r="P112" s="145" t="n"/>
      <c r="Q112" s="145" t="n"/>
      <c r="R112" s="145" t="n"/>
      <c r="S112" s="145" t="n"/>
      <c r="T112" s="145" t="n"/>
      <c r="U112" s="1" t="n"/>
      <c r="V112" s="1" t="n"/>
      <c r="W112" s="1" t="n"/>
      <c r="X112" s="1" t="n"/>
      <c r="Y112" s="1" t="n"/>
      <c r="Z112" s="1" t="n"/>
    </row>
    <row r="113" ht="15" customHeight="1" s="311">
      <c r="A113" s="41">
        <f>IF($D113="","",ROW()-5)</f>
        <v/>
      </c>
      <c r="B113" s="144" t="n"/>
      <c r="C113" s="83" t="n"/>
      <c r="D113" s="146" t="n"/>
      <c r="E113" s="146" t="n"/>
      <c r="F113" s="146" t="n"/>
      <c r="G113" s="164">
        <f t="array" ref="G113">IF($F113="","",IFERROR(INDEX(Disponibilidad!$O$6:$O$18,MATCH($F113,Disponibilidad!$B$6:$B$18,0)),"Hogar"))</f>
        <v/>
      </c>
      <c r="H113" s="76" t="n"/>
      <c r="I113" s="57">
        <f>IF($D113="","",IF($C113="Cobro",N($H113),-N($H113)))</f>
        <v/>
      </c>
      <c r="J113" s="141" t="n"/>
      <c r="K113" s="64">
        <f>IF($B113="","",TEXT($B113,"YYYY-MM"))</f>
        <v/>
      </c>
      <c r="L113" s="145" t="n"/>
      <c r="M113" s="145" t="n"/>
      <c r="N113" s="145" t="n"/>
      <c r="O113" s="145" t="n"/>
      <c r="P113" s="145" t="n"/>
      <c r="Q113" s="145" t="n"/>
      <c r="R113" s="145" t="n"/>
      <c r="S113" s="145" t="n"/>
      <c r="T113" s="145" t="n"/>
      <c r="U113" s="1" t="n"/>
      <c r="V113" s="1" t="n"/>
      <c r="W113" s="1" t="n"/>
      <c r="X113" s="1" t="n"/>
      <c r="Y113" s="1" t="n"/>
      <c r="Z113" s="1" t="n"/>
    </row>
    <row r="114" ht="15" customHeight="1" s="311">
      <c r="A114" s="41">
        <f>IF($D114="","",ROW()-5)</f>
        <v/>
      </c>
      <c r="B114" s="144" t="n"/>
      <c r="C114" s="83" t="n"/>
      <c r="D114" s="146" t="n"/>
      <c r="E114" s="146" t="n"/>
      <c r="F114" s="146" t="n"/>
      <c r="G114" s="164">
        <f t="array" ref="G114">IF($F114="","",IFERROR(INDEX(Disponibilidad!$O$6:$O$18,MATCH($F114,Disponibilidad!$B$6:$B$18,0)),"Hogar"))</f>
        <v/>
      </c>
      <c r="H114" s="76" t="n"/>
      <c r="I114" s="57">
        <f>IF($D114="","",IF($C114="Cobro",N($H114),-N($H114)))</f>
        <v/>
      </c>
      <c r="J114" s="141" t="n"/>
      <c r="K114" s="64">
        <f>IF($B114="","",TEXT($B114,"YYYY-MM"))</f>
        <v/>
      </c>
      <c r="L114" s="145" t="n"/>
      <c r="M114" s="145" t="n"/>
      <c r="N114" s="145" t="n"/>
      <c r="O114" s="145" t="n"/>
      <c r="P114" s="145" t="n"/>
      <c r="Q114" s="145" t="n"/>
      <c r="R114" s="145" t="n"/>
      <c r="S114" s="145" t="n"/>
      <c r="T114" s="145" t="n"/>
      <c r="U114" s="1" t="n"/>
      <c r="V114" s="1" t="n"/>
      <c r="W114" s="1" t="n"/>
      <c r="X114" s="1" t="n"/>
      <c r="Y114" s="1" t="n"/>
      <c r="Z114" s="1" t="n"/>
    </row>
    <row r="115" ht="15" customHeight="1" s="311">
      <c r="A115" s="41">
        <f>IF($D115="","",ROW()-5)</f>
        <v/>
      </c>
      <c r="B115" s="144" t="n"/>
      <c r="C115" s="83" t="n"/>
      <c r="D115" s="146" t="n"/>
      <c r="E115" s="146" t="n"/>
      <c r="F115" s="146" t="n"/>
      <c r="G115" s="164">
        <f t="array" ref="G115">IF($F115="","",IFERROR(INDEX(Disponibilidad!$O$6:$O$18,MATCH($F115,Disponibilidad!$B$6:$B$18,0)),"Hogar"))</f>
        <v/>
      </c>
      <c r="H115" s="76" t="n"/>
      <c r="I115" s="57">
        <f>IF($D115="","",IF($C115="Cobro",N($H115),-N($H115)))</f>
        <v/>
      </c>
      <c r="J115" s="141" t="n"/>
      <c r="K115" s="64">
        <f>IF($B115="","",TEXT($B115,"YYYY-MM"))</f>
        <v/>
      </c>
      <c r="L115" s="145" t="n"/>
      <c r="M115" s="145" t="n"/>
      <c r="N115" s="145" t="n"/>
      <c r="O115" s="145" t="n"/>
      <c r="P115" s="145" t="n"/>
      <c r="Q115" s="145" t="n"/>
      <c r="R115" s="145" t="n"/>
      <c r="S115" s="145" t="n"/>
      <c r="T115" s="145" t="n"/>
      <c r="U115" s="1" t="n"/>
      <c r="V115" s="1" t="n"/>
      <c r="W115" s="1" t="n"/>
      <c r="X115" s="1" t="n"/>
      <c r="Y115" s="1" t="n"/>
      <c r="Z115" s="1" t="n"/>
    </row>
    <row r="116" ht="15" customHeight="1" s="311">
      <c r="A116" s="41">
        <f>IF($D116="","",ROW()-5)</f>
        <v/>
      </c>
      <c r="B116" s="144" t="n"/>
      <c r="C116" s="83" t="n"/>
      <c r="D116" s="146" t="n"/>
      <c r="E116" s="146" t="n"/>
      <c r="F116" s="146" t="n"/>
      <c r="G116" s="164">
        <f t="array" ref="G116">IF($F116="","",IFERROR(INDEX(Disponibilidad!$O$6:$O$18,MATCH($F116,Disponibilidad!$B$6:$B$18,0)),"Hogar"))</f>
        <v/>
      </c>
      <c r="H116" s="76" t="n"/>
      <c r="I116" s="57">
        <f>IF($D116="","",IF($C116="Cobro",N($H116),-N($H116)))</f>
        <v/>
      </c>
      <c r="J116" s="141" t="n"/>
      <c r="K116" s="64">
        <f>IF($B116="","",TEXT($B116,"YYYY-MM"))</f>
        <v/>
      </c>
      <c r="L116" s="145" t="n"/>
      <c r="M116" s="145" t="n"/>
      <c r="N116" s="145" t="n"/>
      <c r="O116" s="145" t="n"/>
      <c r="P116" s="145" t="n"/>
      <c r="Q116" s="145" t="n"/>
      <c r="R116" s="145" t="n"/>
      <c r="S116" s="145" t="n"/>
      <c r="T116" s="145" t="n"/>
      <c r="U116" s="1" t="n"/>
      <c r="V116" s="1" t="n"/>
      <c r="W116" s="1" t="n"/>
      <c r="X116" s="1" t="n"/>
      <c r="Y116" s="1" t="n"/>
      <c r="Z116" s="1" t="n"/>
    </row>
    <row r="117" ht="15" customHeight="1" s="311">
      <c r="A117" s="41">
        <f>IF($D117="","",ROW()-5)</f>
        <v/>
      </c>
      <c r="B117" s="144" t="n"/>
      <c r="C117" s="83" t="n"/>
      <c r="D117" s="146" t="n"/>
      <c r="E117" s="146" t="n"/>
      <c r="F117" s="146" t="n"/>
      <c r="G117" s="164">
        <f t="array" ref="G117">IF($F117="","",IFERROR(INDEX(Disponibilidad!$O$6:$O$18,MATCH($F117,Disponibilidad!$B$6:$B$18,0)),"Hogar"))</f>
        <v/>
      </c>
      <c r="H117" s="76" t="n"/>
      <c r="I117" s="57">
        <f>IF($D117="","",IF($C117="Cobro",N($H117),-N($H117)))</f>
        <v/>
      </c>
      <c r="J117" s="141" t="n"/>
      <c r="K117" s="64">
        <f>IF($B117="","",TEXT($B117,"YYYY-MM"))</f>
        <v/>
      </c>
      <c r="L117" s="145" t="n"/>
      <c r="M117" s="145" t="n"/>
      <c r="N117" s="145" t="n"/>
      <c r="O117" s="145" t="n"/>
      <c r="P117" s="145" t="n"/>
      <c r="Q117" s="145" t="n"/>
      <c r="R117" s="145" t="n"/>
      <c r="S117" s="145" t="n"/>
      <c r="T117" s="145" t="n"/>
      <c r="U117" s="1" t="n"/>
      <c r="V117" s="1" t="n"/>
      <c r="W117" s="1" t="n"/>
      <c r="X117" s="1" t="n"/>
      <c r="Y117" s="1" t="n"/>
      <c r="Z117" s="1" t="n"/>
    </row>
    <row r="118" ht="15" customHeight="1" s="311">
      <c r="A118" s="41">
        <f>IF($D118="","",ROW()-5)</f>
        <v/>
      </c>
      <c r="B118" s="144" t="n"/>
      <c r="C118" s="83" t="n"/>
      <c r="D118" s="146" t="n"/>
      <c r="E118" s="146" t="n"/>
      <c r="F118" s="146" t="n"/>
      <c r="G118" s="164">
        <f t="array" ref="G118">IF($F118="","",IFERROR(INDEX(Disponibilidad!$O$6:$O$18,MATCH($F118,Disponibilidad!$B$6:$B$18,0)),"Hogar"))</f>
        <v/>
      </c>
      <c r="H118" s="76" t="n"/>
      <c r="I118" s="57">
        <f>IF($D118="","",IF($C118="Cobro",N($H118),-N($H118)))</f>
        <v/>
      </c>
      <c r="J118" s="141" t="n"/>
      <c r="K118" s="64">
        <f>IF($B118="","",TEXT($B118,"YYYY-MM"))</f>
        <v/>
      </c>
      <c r="L118" s="145" t="n"/>
      <c r="M118" s="145" t="n"/>
      <c r="N118" s="145" t="n"/>
      <c r="O118" s="145" t="n"/>
      <c r="P118" s="145" t="n"/>
      <c r="Q118" s="145" t="n"/>
      <c r="R118" s="145" t="n"/>
      <c r="S118" s="145" t="n"/>
      <c r="T118" s="145" t="n"/>
      <c r="U118" s="1" t="n"/>
      <c r="V118" s="1" t="n"/>
      <c r="W118" s="1" t="n"/>
      <c r="X118" s="1" t="n"/>
      <c r="Y118" s="1" t="n"/>
      <c r="Z118" s="1" t="n"/>
    </row>
    <row r="119" ht="15" customHeight="1" s="311">
      <c r="A119" s="41">
        <f>IF($D119="","",ROW()-5)</f>
        <v/>
      </c>
      <c r="B119" s="144" t="n"/>
      <c r="C119" s="83" t="n"/>
      <c r="D119" s="146" t="n"/>
      <c r="E119" s="146" t="n"/>
      <c r="F119" s="146" t="n"/>
      <c r="G119" s="164">
        <f t="array" ref="G119">IF($F119="","",IFERROR(INDEX(Disponibilidad!$O$6:$O$18,MATCH($F119,Disponibilidad!$B$6:$B$18,0)),"Hogar"))</f>
        <v/>
      </c>
      <c r="H119" s="76" t="n"/>
      <c r="I119" s="57">
        <f>IF($D119="","",IF($C119="Cobro",N($H119),-N($H119)))</f>
        <v/>
      </c>
      <c r="J119" s="141" t="n"/>
      <c r="K119" s="64">
        <f>IF($B119="","",TEXT($B119,"YYYY-MM"))</f>
        <v/>
      </c>
      <c r="L119" s="145" t="n"/>
      <c r="M119" s="145" t="n"/>
      <c r="N119" s="145" t="n"/>
      <c r="O119" s="145" t="n"/>
      <c r="P119" s="145" t="n"/>
      <c r="Q119" s="145" t="n"/>
      <c r="R119" s="145" t="n"/>
      <c r="S119" s="145" t="n"/>
      <c r="T119" s="145" t="n"/>
      <c r="U119" s="1" t="n"/>
      <c r="V119" s="1" t="n"/>
      <c r="W119" s="1" t="n"/>
      <c r="X119" s="1" t="n"/>
      <c r="Y119" s="1" t="n"/>
      <c r="Z119" s="1" t="n"/>
    </row>
    <row r="120" ht="15" customHeight="1" s="311">
      <c r="A120" s="41">
        <f>IF($D120="","",ROW()-5)</f>
        <v/>
      </c>
      <c r="B120" s="144" t="n"/>
      <c r="C120" s="83" t="n"/>
      <c r="D120" s="146" t="n"/>
      <c r="E120" s="146" t="n"/>
      <c r="F120" s="146" t="n"/>
      <c r="G120" s="164">
        <f t="array" ref="G120">IF($F120="","",IFERROR(INDEX(Disponibilidad!$O$6:$O$18,MATCH($F120,Disponibilidad!$B$6:$B$18,0)),"Hogar"))</f>
        <v/>
      </c>
      <c r="H120" s="76" t="n"/>
      <c r="I120" s="57">
        <f>IF($D120="","",IF($C120="Cobro",N($H120),-N($H120)))</f>
        <v/>
      </c>
      <c r="J120" s="141" t="n"/>
      <c r="K120" s="64">
        <f>IF($B120="","",TEXT($B120,"YYYY-MM"))</f>
        <v/>
      </c>
      <c r="L120" s="145" t="n"/>
      <c r="M120" s="145" t="n"/>
      <c r="N120" s="145" t="n"/>
      <c r="O120" s="145" t="n"/>
      <c r="P120" s="145" t="n"/>
      <c r="Q120" s="145" t="n"/>
      <c r="R120" s="145" t="n"/>
      <c r="S120" s="145" t="n"/>
      <c r="T120" s="145" t="n"/>
      <c r="U120" s="1" t="n"/>
      <c r="V120" s="1" t="n"/>
      <c r="W120" s="1" t="n"/>
      <c r="X120" s="1" t="n"/>
      <c r="Y120" s="1" t="n"/>
      <c r="Z120" s="1" t="n"/>
    </row>
    <row r="121" ht="15" customHeight="1" s="311">
      <c r="A121" s="41">
        <f>IF($D121="","",ROW()-5)</f>
        <v/>
      </c>
      <c r="B121" s="144" t="n"/>
      <c r="C121" s="83" t="n"/>
      <c r="D121" s="146" t="n"/>
      <c r="E121" s="146" t="n"/>
      <c r="F121" s="146" t="n"/>
      <c r="G121" s="164">
        <f t="array" ref="G121">IF($F121="","",IFERROR(INDEX(Disponibilidad!$O$6:$O$18,MATCH($F121,Disponibilidad!$B$6:$B$18,0)),"Hogar"))</f>
        <v/>
      </c>
      <c r="H121" s="76" t="n"/>
      <c r="I121" s="57">
        <f>IF($D121="","",IF($C121="Cobro",N($H121),-N($H121)))</f>
        <v/>
      </c>
      <c r="J121" s="141" t="n"/>
      <c r="K121" s="64">
        <f>IF($B121="","",TEXT($B121,"YYYY-MM"))</f>
        <v/>
      </c>
      <c r="L121" s="145" t="n"/>
      <c r="M121" s="145" t="n"/>
      <c r="N121" s="145" t="n"/>
      <c r="O121" s="145" t="n"/>
      <c r="P121" s="145" t="n"/>
      <c r="Q121" s="145" t="n"/>
      <c r="R121" s="145" t="n"/>
      <c r="S121" s="145" t="n"/>
      <c r="T121" s="145" t="n"/>
      <c r="U121" s="1" t="n"/>
      <c r="V121" s="1" t="n"/>
      <c r="W121" s="1" t="n"/>
      <c r="X121" s="1" t="n"/>
      <c r="Y121" s="1" t="n"/>
      <c r="Z121" s="1" t="n"/>
    </row>
    <row r="122" ht="15" customHeight="1" s="311">
      <c r="A122" s="41">
        <f>IF($D122="","",ROW()-5)</f>
        <v/>
      </c>
      <c r="B122" s="144" t="n"/>
      <c r="C122" s="83" t="n"/>
      <c r="D122" s="146" t="n"/>
      <c r="E122" s="146" t="n"/>
      <c r="F122" s="146" t="n"/>
      <c r="G122" s="164">
        <f t="array" ref="G122">IF($F122="","",IFERROR(INDEX(Disponibilidad!$O$6:$O$18,MATCH($F122,Disponibilidad!$B$6:$B$18,0)),"Hogar"))</f>
        <v/>
      </c>
      <c r="H122" s="76" t="n"/>
      <c r="I122" s="57">
        <f>IF($D122="","",IF($C122="Cobro",N($H122),-N($H122)))</f>
        <v/>
      </c>
      <c r="J122" s="141" t="n"/>
      <c r="K122" s="64">
        <f>IF($B122="","",TEXT($B122,"YYYY-MM"))</f>
        <v/>
      </c>
      <c r="L122" s="145" t="n"/>
      <c r="M122" s="145" t="n"/>
      <c r="N122" s="145" t="n"/>
      <c r="O122" s="145" t="n"/>
      <c r="P122" s="145" t="n"/>
      <c r="Q122" s="145" t="n"/>
      <c r="R122" s="145" t="n"/>
      <c r="S122" s="145" t="n"/>
      <c r="T122" s="145" t="n"/>
      <c r="U122" s="1" t="n"/>
      <c r="V122" s="1" t="n"/>
      <c r="W122" s="1" t="n"/>
      <c r="X122" s="1" t="n"/>
      <c r="Y122" s="1" t="n"/>
      <c r="Z122" s="1" t="n"/>
    </row>
    <row r="123" ht="15" customHeight="1" s="311">
      <c r="A123" s="41">
        <f>IF($D123="","",ROW()-5)</f>
        <v/>
      </c>
      <c r="B123" s="144" t="n"/>
      <c r="C123" s="83" t="n"/>
      <c r="D123" s="146" t="n"/>
      <c r="E123" s="146" t="n"/>
      <c r="F123" s="146" t="n"/>
      <c r="G123" s="164">
        <f t="array" ref="G123">IF($F123="","",IFERROR(INDEX(Disponibilidad!$O$6:$O$18,MATCH($F123,Disponibilidad!$B$6:$B$18,0)),"Hogar"))</f>
        <v/>
      </c>
      <c r="H123" s="76" t="n"/>
      <c r="I123" s="57">
        <f>IF($D123="","",IF($C123="Cobro",N($H123),-N($H123)))</f>
        <v/>
      </c>
      <c r="J123" s="141" t="n"/>
      <c r="K123" s="64">
        <f>IF($B123="","",TEXT($B123,"YYYY-MM"))</f>
        <v/>
      </c>
      <c r="L123" s="145" t="n"/>
      <c r="M123" s="145" t="n"/>
      <c r="N123" s="145" t="n"/>
      <c r="O123" s="145" t="n"/>
      <c r="P123" s="145" t="n"/>
      <c r="Q123" s="145" t="n"/>
      <c r="R123" s="145" t="n"/>
      <c r="S123" s="145" t="n"/>
      <c r="T123" s="145" t="n"/>
      <c r="U123" s="1" t="n"/>
      <c r="V123" s="1" t="n"/>
      <c r="W123" s="1" t="n"/>
      <c r="X123" s="1" t="n"/>
      <c r="Y123" s="1" t="n"/>
      <c r="Z123" s="1" t="n"/>
    </row>
    <row r="124" ht="15" customHeight="1" s="311">
      <c r="A124" s="41">
        <f>IF($D124="","",ROW()-5)</f>
        <v/>
      </c>
      <c r="B124" s="144" t="n"/>
      <c r="C124" s="83" t="n"/>
      <c r="D124" s="146" t="n"/>
      <c r="E124" s="146" t="n"/>
      <c r="F124" s="146" t="n"/>
      <c r="G124" s="164">
        <f t="array" ref="G124">IF($F124="","",IFERROR(INDEX(Disponibilidad!$O$6:$O$18,MATCH($F124,Disponibilidad!$B$6:$B$18,0)),"Hogar"))</f>
        <v/>
      </c>
      <c r="H124" s="76" t="n"/>
      <c r="I124" s="57">
        <f>IF($D124="","",IF($C124="Cobro",N($H124),-N($H124)))</f>
        <v/>
      </c>
      <c r="J124" s="141" t="n"/>
      <c r="K124" s="64">
        <f>IF($B124="","",TEXT($B124,"YYYY-MM"))</f>
        <v/>
      </c>
      <c r="L124" s="145" t="n"/>
      <c r="M124" s="145" t="n"/>
      <c r="N124" s="145" t="n"/>
      <c r="O124" s="145" t="n"/>
      <c r="P124" s="145" t="n"/>
      <c r="Q124" s="145" t="n"/>
      <c r="R124" s="145" t="n"/>
      <c r="S124" s="145" t="n"/>
      <c r="T124" s="145" t="n"/>
      <c r="U124" s="1" t="n"/>
      <c r="V124" s="1" t="n"/>
      <c r="W124" s="1" t="n"/>
      <c r="X124" s="1" t="n"/>
      <c r="Y124" s="1" t="n"/>
      <c r="Z124" s="1" t="n"/>
    </row>
    <row r="125" ht="15" customHeight="1" s="311">
      <c r="A125" s="41">
        <f>IF($D125="","",ROW()-5)</f>
        <v/>
      </c>
      <c r="B125" s="144" t="n"/>
      <c r="C125" s="83" t="n"/>
      <c r="D125" s="146" t="n"/>
      <c r="E125" s="146" t="n"/>
      <c r="F125" s="146" t="n"/>
      <c r="G125" s="164">
        <f t="array" ref="G125">IF($F125="","",IFERROR(INDEX(Disponibilidad!$O$6:$O$18,MATCH($F125,Disponibilidad!$B$6:$B$18,0)),"Hogar"))</f>
        <v/>
      </c>
      <c r="H125" s="76" t="n"/>
      <c r="I125" s="57">
        <f>IF($D125="","",IF($C125="Cobro",N($H125),-N($H125)))</f>
        <v/>
      </c>
      <c r="J125" s="141" t="n"/>
      <c r="K125" s="64">
        <f>IF($B125="","",TEXT($B125,"YYYY-MM"))</f>
        <v/>
      </c>
      <c r="L125" s="145" t="n"/>
      <c r="M125" s="145" t="n"/>
      <c r="N125" s="145" t="n"/>
      <c r="O125" s="145" t="n"/>
      <c r="P125" s="145" t="n"/>
      <c r="Q125" s="145" t="n"/>
      <c r="R125" s="145" t="n"/>
      <c r="S125" s="145" t="n"/>
      <c r="T125" s="145" t="n"/>
      <c r="U125" s="1" t="n"/>
      <c r="V125" s="1" t="n"/>
      <c r="W125" s="1" t="n"/>
      <c r="X125" s="1" t="n"/>
      <c r="Y125" s="1" t="n"/>
      <c r="Z125" s="1" t="n"/>
    </row>
    <row r="126" ht="15" customHeight="1" s="311">
      <c r="A126" s="41">
        <f>IF($D126="","",ROW()-5)</f>
        <v/>
      </c>
      <c r="B126" s="144" t="n"/>
      <c r="C126" s="83" t="n"/>
      <c r="D126" s="146" t="n"/>
      <c r="E126" s="146" t="n"/>
      <c r="F126" s="146" t="n"/>
      <c r="G126" s="164">
        <f t="array" ref="G126">IF($F126="","",IFERROR(INDEX(Disponibilidad!$O$6:$O$18,MATCH($F126,Disponibilidad!$B$6:$B$18,0)),"Hogar"))</f>
        <v/>
      </c>
      <c r="H126" s="76" t="n"/>
      <c r="I126" s="57">
        <f>IF($D126="","",IF($C126="Cobro",N($H126),-N($H126)))</f>
        <v/>
      </c>
      <c r="J126" s="141" t="n"/>
      <c r="K126" s="64">
        <f>IF($B126="","",TEXT($B126,"YYYY-MM"))</f>
        <v/>
      </c>
      <c r="L126" s="145" t="n"/>
      <c r="M126" s="145" t="n"/>
      <c r="N126" s="145" t="n"/>
      <c r="O126" s="145" t="n"/>
      <c r="P126" s="145" t="n"/>
      <c r="Q126" s="145" t="n"/>
      <c r="R126" s="145" t="n"/>
      <c r="S126" s="145" t="n"/>
      <c r="T126" s="145" t="n"/>
      <c r="U126" s="1" t="n"/>
      <c r="V126" s="1" t="n"/>
      <c r="W126" s="1" t="n"/>
      <c r="X126" s="1" t="n"/>
      <c r="Y126" s="1" t="n"/>
      <c r="Z126" s="1" t="n"/>
    </row>
    <row r="127" ht="15" customHeight="1" s="311">
      <c r="A127" s="41">
        <f>IF($D127="","",ROW()-5)</f>
        <v/>
      </c>
      <c r="B127" s="144" t="n"/>
      <c r="C127" s="83" t="n"/>
      <c r="D127" s="146" t="n"/>
      <c r="E127" s="146" t="n"/>
      <c r="F127" s="146" t="n"/>
      <c r="G127" s="164">
        <f t="array" ref="G127">IF($F127="","",IFERROR(INDEX(Disponibilidad!$O$6:$O$18,MATCH($F127,Disponibilidad!$B$6:$B$18,0)),"Hogar"))</f>
        <v/>
      </c>
      <c r="H127" s="76" t="n"/>
      <c r="I127" s="57">
        <f>IF($D127="","",IF($C127="Cobro",N($H127),-N($H127)))</f>
        <v/>
      </c>
      <c r="J127" s="141" t="n"/>
      <c r="K127" s="64">
        <f>IF($B127="","",TEXT($B127,"YYYY-MM"))</f>
        <v/>
      </c>
      <c r="L127" s="145" t="n"/>
      <c r="M127" s="145" t="n"/>
      <c r="N127" s="145" t="n"/>
      <c r="O127" s="145" t="n"/>
      <c r="P127" s="145" t="n"/>
      <c r="Q127" s="145" t="n"/>
      <c r="R127" s="145" t="n"/>
      <c r="S127" s="145" t="n"/>
      <c r="T127" s="145" t="n"/>
      <c r="U127" s="1" t="n"/>
      <c r="V127" s="1" t="n"/>
      <c r="W127" s="1" t="n"/>
      <c r="X127" s="1" t="n"/>
      <c r="Y127" s="1" t="n"/>
      <c r="Z127" s="1" t="n"/>
    </row>
    <row r="128" ht="15" customHeight="1" s="311">
      <c r="A128" s="41">
        <f>IF($D128="","",ROW()-5)</f>
        <v/>
      </c>
      <c r="B128" s="144" t="n"/>
      <c r="C128" s="83" t="n"/>
      <c r="D128" s="146" t="n"/>
      <c r="E128" s="146" t="n"/>
      <c r="F128" s="146" t="n"/>
      <c r="G128" s="164">
        <f t="array" ref="G128">IF($F128="","",IFERROR(INDEX(Disponibilidad!$O$6:$O$18,MATCH($F128,Disponibilidad!$B$6:$B$18,0)),"Hogar"))</f>
        <v/>
      </c>
      <c r="H128" s="76" t="n"/>
      <c r="I128" s="57">
        <f>IF($D128="","",IF($C128="Cobro",N($H128),-N($H128)))</f>
        <v/>
      </c>
      <c r="J128" s="141" t="n"/>
      <c r="K128" s="64">
        <f>IF($B128="","",TEXT($B128,"YYYY-MM"))</f>
        <v/>
      </c>
      <c r="L128" s="145" t="n"/>
      <c r="M128" s="145" t="n"/>
      <c r="N128" s="145" t="n"/>
      <c r="O128" s="145" t="n"/>
      <c r="P128" s="145" t="n"/>
      <c r="Q128" s="145" t="n"/>
      <c r="R128" s="145" t="n"/>
      <c r="S128" s="145" t="n"/>
      <c r="T128" s="145" t="n"/>
      <c r="U128" s="1" t="n"/>
      <c r="V128" s="1" t="n"/>
      <c r="W128" s="1" t="n"/>
      <c r="X128" s="1" t="n"/>
      <c r="Y128" s="1" t="n"/>
      <c r="Z128" s="1" t="n"/>
    </row>
    <row r="129" ht="15" customHeight="1" s="311">
      <c r="A129" s="41">
        <f>IF($D129="","",ROW()-5)</f>
        <v/>
      </c>
      <c r="B129" s="144" t="n"/>
      <c r="C129" s="83" t="n"/>
      <c r="D129" s="146" t="n"/>
      <c r="E129" s="146" t="n"/>
      <c r="F129" s="146" t="n"/>
      <c r="G129" s="164">
        <f t="array" ref="G129">IF($F129="","",IFERROR(INDEX(Disponibilidad!$O$6:$O$18,MATCH($F129,Disponibilidad!$B$6:$B$18,0)),"Hogar"))</f>
        <v/>
      </c>
      <c r="H129" s="76" t="n"/>
      <c r="I129" s="57">
        <f>IF($D129="","",IF($C129="Cobro",N($H129),-N($H129)))</f>
        <v/>
      </c>
      <c r="J129" s="141" t="n"/>
      <c r="K129" s="64">
        <f>IF($B129="","",TEXT($B129,"YYYY-MM"))</f>
        <v/>
      </c>
      <c r="L129" s="145" t="n"/>
      <c r="M129" s="145" t="n"/>
      <c r="N129" s="145" t="n"/>
      <c r="O129" s="145" t="n"/>
      <c r="P129" s="145" t="n"/>
      <c r="Q129" s="145" t="n"/>
      <c r="R129" s="145" t="n"/>
      <c r="S129" s="145" t="n"/>
      <c r="T129" s="145" t="n"/>
      <c r="U129" s="1" t="n"/>
      <c r="V129" s="1" t="n"/>
      <c r="W129" s="1" t="n"/>
      <c r="X129" s="1" t="n"/>
      <c r="Y129" s="1" t="n"/>
      <c r="Z129" s="1" t="n"/>
    </row>
    <row r="130" ht="15" customHeight="1" s="311">
      <c r="A130" s="41">
        <f>IF($D130="","",ROW()-5)</f>
        <v/>
      </c>
      <c r="B130" s="144" t="n"/>
      <c r="C130" s="83" t="n"/>
      <c r="D130" s="146" t="n"/>
      <c r="E130" s="146" t="n"/>
      <c r="F130" s="146" t="n"/>
      <c r="G130" s="164">
        <f t="array" ref="G130">IF($F130="","",IFERROR(INDEX(Disponibilidad!$O$6:$O$18,MATCH($F130,Disponibilidad!$B$6:$B$18,0)),"Hogar"))</f>
        <v/>
      </c>
      <c r="H130" s="76" t="n"/>
      <c r="I130" s="57">
        <f>IF($D130="","",IF($C130="Cobro",N($H130),-N($H130)))</f>
        <v/>
      </c>
      <c r="J130" s="141" t="n"/>
      <c r="K130" s="64">
        <f>IF($B130="","",TEXT($B130,"YYYY-MM"))</f>
        <v/>
      </c>
      <c r="L130" s="145" t="n"/>
      <c r="M130" s="145" t="n"/>
      <c r="N130" s="145" t="n"/>
      <c r="O130" s="145" t="n"/>
      <c r="P130" s="145" t="n"/>
      <c r="Q130" s="145" t="n"/>
      <c r="R130" s="145" t="n"/>
      <c r="S130" s="145" t="n"/>
      <c r="T130" s="145" t="n"/>
      <c r="U130" s="1" t="n"/>
      <c r="V130" s="1" t="n"/>
      <c r="W130" s="1" t="n"/>
      <c r="X130" s="1" t="n"/>
      <c r="Y130" s="1" t="n"/>
      <c r="Z130" s="1" t="n"/>
    </row>
    <row r="131" ht="15" customHeight="1" s="311">
      <c r="A131" s="41">
        <f>IF($D131="","",ROW()-5)</f>
        <v/>
      </c>
      <c r="B131" s="144" t="n"/>
      <c r="C131" s="83" t="n"/>
      <c r="D131" s="146" t="n"/>
      <c r="E131" s="146" t="n"/>
      <c r="F131" s="146" t="n"/>
      <c r="G131" s="164">
        <f t="array" ref="G131">IF($F131="","",IFERROR(INDEX(Disponibilidad!$O$6:$O$18,MATCH($F131,Disponibilidad!$B$6:$B$18,0)),"Hogar"))</f>
        <v/>
      </c>
      <c r="H131" s="76" t="n"/>
      <c r="I131" s="57">
        <f>IF($D131="","",IF($C131="Cobro",N($H131),-N($H131)))</f>
        <v/>
      </c>
      <c r="J131" s="141" t="n"/>
      <c r="K131" s="64">
        <f>IF($B131="","",TEXT($B131,"YYYY-MM"))</f>
        <v/>
      </c>
      <c r="L131" s="145" t="n"/>
      <c r="M131" s="145" t="n"/>
      <c r="N131" s="145" t="n"/>
      <c r="O131" s="145" t="n"/>
      <c r="P131" s="145" t="n"/>
      <c r="Q131" s="145" t="n"/>
      <c r="R131" s="145" t="n"/>
      <c r="S131" s="145" t="n"/>
      <c r="T131" s="145" t="n"/>
      <c r="U131" s="1" t="n"/>
      <c r="V131" s="1" t="n"/>
      <c r="W131" s="1" t="n"/>
      <c r="X131" s="1" t="n"/>
      <c r="Y131" s="1" t="n"/>
      <c r="Z131" s="1" t="n"/>
    </row>
    <row r="132" ht="15" customHeight="1" s="311">
      <c r="A132" s="41">
        <f>IF($D132="","",ROW()-5)</f>
        <v/>
      </c>
      <c r="B132" s="144" t="n"/>
      <c r="C132" s="83" t="n"/>
      <c r="D132" s="146" t="n"/>
      <c r="E132" s="146" t="n"/>
      <c r="F132" s="146" t="n"/>
      <c r="G132" s="164">
        <f t="array" ref="G132">IF($F132="","",IFERROR(INDEX(Disponibilidad!$O$6:$O$18,MATCH($F132,Disponibilidad!$B$6:$B$18,0)),"Hogar"))</f>
        <v/>
      </c>
      <c r="H132" s="76" t="n"/>
      <c r="I132" s="57">
        <f>IF($D132="","",IF($C132="Cobro",N($H132),-N($H132)))</f>
        <v/>
      </c>
      <c r="J132" s="141" t="n"/>
      <c r="K132" s="64">
        <f>IF($B132="","",TEXT($B132,"YYYY-MM"))</f>
        <v/>
      </c>
      <c r="L132" s="145" t="n"/>
      <c r="M132" s="145" t="n"/>
      <c r="N132" s="145" t="n"/>
      <c r="O132" s="145" t="n"/>
      <c r="P132" s="145" t="n"/>
      <c r="Q132" s="145" t="n"/>
      <c r="R132" s="145" t="n"/>
      <c r="S132" s="145" t="n"/>
      <c r="T132" s="145" t="n"/>
      <c r="U132" s="1" t="n"/>
      <c r="V132" s="1" t="n"/>
      <c r="W132" s="1" t="n"/>
      <c r="X132" s="1" t="n"/>
      <c r="Y132" s="1" t="n"/>
      <c r="Z132" s="1" t="n"/>
    </row>
    <row r="133" ht="15" customHeight="1" s="311">
      <c r="A133" s="41">
        <f>IF($D133="","",ROW()-5)</f>
        <v/>
      </c>
      <c r="B133" s="144" t="n"/>
      <c r="C133" s="83" t="n"/>
      <c r="D133" s="146" t="n"/>
      <c r="E133" s="146" t="n"/>
      <c r="F133" s="146" t="n"/>
      <c r="G133" s="164">
        <f t="array" ref="G133">IF($F133="","",IFERROR(INDEX(Disponibilidad!$O$6:$O$18,MATCH($F133,Disponibilidad!$B$6:$B$18,0)),"Hogar"))</f>
        <v/>
      </c>
      <c r="H133" s="76" t="n"/>
      <c r="I133" s="57">
        <f>IF($D133="","",IF($C133="Cobro",N($H133),-N($H133)))</f>
        <v/>
      </c>
      <c r="J133" s="141" t="n"/>
      <c r="K133" s="64">
        <f>IF($B133="","",TEXT($B133,"YYYY-MM"))</f>
        <v/>
      </c>
      <c r="L133" s="145" t="n"/>
      <c r="M133" s="145" t="n"/>
      <c r="N133" s="145" t="n"/>
      <c r="O133" s="145" t="n"/>
      <c r="P133" s="145" t="n"/>
      <c r="Q133" s="145" t="n"/>
      <c r="R133" s="145" t="n"/>
      <c r="S133" s="145" t="n"/>
      <c r="T133" s="145" t="n"/>
      <c r="U133" s="1" t="n"/>
      <c r="V133" s="1" t="n"/>
      <c r="W133" s="1" t="n"/>
      <c r="X133" s="1" t="n"/>
      <c r="Y133" s="1" t="n"/>
      <c r="Z133" s="1" t="n"/>
    </row>
    <row r="134" ht="15" customHeight="1" s="311">
      <c r="A134" s="41">
        <f>IF($D134="","",ROW()-5)</f>
        <v/>
      </c>
      <c r="B134" s="144" t="n"/>
      <c r="C134" s="83" t="n"/>
      <c r="D134" s="146" t="n"/>
      <c r="E134" s="146" t="n"/>
      <c r="F134" s="146" t="n"/>
      <c r="G134" s="164">
        <f t="array" ref="G134">IF($F134="","",IFERROR(INDEX(Disponibilidad!$O$6:$O$18,MATCH($F134,Disponibilidad!$B$6:$B$18,0)),"Hogar"))</f>
        <v/>
      </c>
      <c r="H134" s="76" t="n"/>
      <c r="I134" s="57">
        <f>IF($D134="","",IF($C134="Cobro",N($H134),-N($H134)))</f>
        <v/>
      </c>
      <c r="J134" s="141" t="n"/>
      <c r="K134" s="64">
        <f>IF($B134="","",TEXT($B134,"YYYY-MM"))</f>
        <v/>
      </c>
      <c r="L134" s="145" t="n"/>
      <c r="M134" s="145" t="n"/>
      <c r="N134" s="145" t="n"/>
      <c r="O134" s="145" t="n"/>
      <c r="P134" s="145" t="n"/>
      <c r="Q134" s="145" t="n"/>
      <c r="R134" s="145" t="n"/>
      <c r="S134" s="145" t="n"/>
      <c r="T134" s="145" t="n"/>
      <c r="U134" s="1" t="n"/>
      <c r="V134" s="1" t="n"/>
      <c r="W134" s="1" t="n"/>
      <c r="X134" s="1" t="n"/>
      <c r="Y134" s="1" t="n"/>
      <c r="Z134" s="1" t="n"/>
    </row>
    <row r="135" ht="15" customHeight="1" s="311">
      <c r="A135" s="41">
        <f>IF($D135="","",ROW()-5)</f>
        <v/>
      </c>
      <c r="B135" s="144" t="n"/>
      <c r="C135" s="83" t="n"/>
      <c r="D135" s="146" t="n"/>
      <c r="E135" s="146" t="n"/>
      <c r="F135" s="146" t="n"/>
      <c r="G135" s="164">
        <f t="array" ref="G135">IF($F135="","",IFERROR(INDEX(Disponibilidad!$O$6:$O$18,MATCH($F135,Disponibilidad!$B$6:$B$18,0)),"Hogar"))</f>
        <v/>
      </c>
      <c r="H135" s="76" t="n"/>
      <c r="I135" s="57">
        <f>IF($D135="","",IF($C135="Cobro",N($H135),-N($H135)))</f>
        <v/>
      </c>
      <c r="J135" s="141" t="n"/>
      <c r="K135" s="64">
        <f>IF($B135="","",TEXT($B135,"YYYY-MM"))</f>
        <v/>
      </c>
      <c r="L135" s="145" t="n"/>
      <c r="M135" s="145" t="n"/>
      <c r="N135" s="145" t="n"/>
      <c r="O135" s="145" t="n"/>
      <c r="P135" s="145" t="n"/>
      <c r="Q135" s="145" t="n"/>
      <c r="R135" s="145" t="n"/>
      <c r="S135" s="145" t="n"/>
      <c r="T135" s="145" t="n"/>
      <c r="U135" s="1" t="n"/>
      <c r="V135" s="1" t="n"/>
      <c r="W135" s="1" t="n"/>
      <c r="X135" s="1" t="n"/>
      <c r="Y135" s="1" t="n"/>
      <c r="Z135" s="1" t="n"/>
    </row>
    <row r="136" ht="15" customHeight="1" s="311">
      <c r="A136" s="41">
        <f>IF($D136="","",ROW()-5)</f>
        <v/>
      </c>
      <c r="B136" s="144" t="n"/>
      <c r="C136" s="83" t="n"/>
      <c r="D136" s="146" t="n"/>
      <c r="E136" s="146" t="n"/>
      <c r="F136" s="146" t="n"/>
      <c r="G136" s="164">
        <f t="array" ref="G136">IF($F136="","",IFERROR(INDEX(Disponibilidad!$O$6:$O$18,MATCH($F136,Disponibilidad!$B$6:$B$18,0)),"Hogar"))</f>
        <v/>
      </c>
      <c r="H136" s="76" t="n"/>
      <c r="I136" s="57">
        <f>IF($D136="","",IF($C136="Cobro",N($H136),-N($H136)))</f>
        <v/>
      </c>
      <c r="J136" s="141" t="n"/>
      <c r="K136" s="64">
        <f>IF($B136="","",TEXT($B136,"YYYY-MM"))</f>
        <v/>
      </c>
      <c r="L136" s="145" t="n"/>
      <c r="M136" s="145" t="n"/>
      <c r="N136" s="145" t="n"/>
      <c r="O136" s="145" t="n"/>
      <c r="P136" s="145" t="n"/>
      <c r="Q136" s="145" t="n"/>
      <c r="R136" s="145" t="n"/>
      <c r="S136" s="145" t="n"/>
      <c r="T136" s="145" t="n"/>
      <c r="U136" s="1" t="n"/>
      <c r="V136" s="1" t="n"/>
      <c r="W136" s="1" t="n"/>
      <c r="X136" s="1" t="n"/>
      <c r="Y136" s="1" t="n"/>
      <c r="Z136" s="1" t="n"/>
    </row>
    <row r="137" ht="15" customHeight="1" s="311">
      <c r="A137" s="41">
        <f>IF($D137="","",ROW()-5)</f>
        <v/>
      </c>
      <c r="B137" s="144" t="n"/>
      <c r="C137" s="83" t="n"/>
      <c r="D137" s="146" t="n"/>
      <c r="E137" s="146" t="n"/>
      <c r="F137" s="146" t="n"/>
      <c r="G137" s="164">
        <f t="array" ref="G137">IF($F137="","",IFERROR(INDEX(Disponibilidad!$O$6:$O$18,MATCH($F137,Disponibilidad!$B$6:$B$18,0)),"Hogar"))</f>
        <v/>
      </c>
      <c r="H137" s="76" t="n"/>
      <c r="I137" s="57">
        <f>IF($D137="","",IF($C137="Cobro",N($H137),-N($H137)))</f>
        <v/>
      </c>
      <c r="J137" s="141" t="n"/>
      <c r="K137" s="64">
        <f>IF($B137="","",TEXT($B137,"YYYY-MM"))</f>
        <v/>
      </c>
      <c r="L137" s="145" t="n"/>
      <c r="M137" s="145" t="n"/>
      <c r="N137" s="145" t="n"/>
      <c r="O137" s="145" t="n"/>
      <c r="P137" s="145" t="n"/>
      <c r="Q137" s="145" t="n"/>
      <c r="R137" s="145" t="n"/>
      <c r="S137" s="145" t="n"/>
      <c r="T137" s="145" t="n"/>
      <c r="U137" s="1" t="n"/>
      <c r="V137" s="1" t="n"/>
      <c r="W137" s="1" t="n"/>
      <c r="X137" s="1" t="n"/>
      <c r="Y137" s="1" t="n"/>
      <c r="Z137" s="1" t="n"/>
    </row>
    <row r="138" ht="15" customHeight="1" s="311">
      <c r="A138" s="41">
        <f>IF($D138="","",ROW()-5)</f>
        <v/>
      </c>
      <c r="B138" s="144" t="n"/>
      <c r="C138" s="83" t="n"/>
      <c r="D138" s="146" t="n"/>
      <c r="E138" s="146" t="n"/>
      <c r="F138" s="146" t="n"/>
      <c r="G138" s="164">
        <f t="array" ref="G138">IF($F138="","",IFERROR(INDEX(Disponibilidad!$O$6:$O$18,MATCH($F138,Disponibilidad!$B$6:$B$18,0)),"Hogar"))</f>
        <v/>
      </c>
      <c r="H138" s="76" t="n"/>
      <c r="I138" s="57">
        <f>IF($D138="","",IF($C138="Cobro",N($H138),-N($H138)))</f>
        <v/>
      </c>
      <c r="J138" s="141" t="n"/>
      <c r="K138" s="64">
        <f>IF($B138="","",TEXT($B138,"YYYY-MM"))</f>
        <v/>
      </c>
      <c r="L138" s="145" t="n"/>
      <c r="M138" s="145" t="n"/>
      <c r="N138" s="145" t="n"/>
      <c r="O138" s="145" t="n"/>
      <c r="P138" s="145" t="n"/>
      <c r="Q138" s="145" t="n"/>
      <c r="R138" s="145" t="n"/>
      <c r="S138" s="145" t="n"/>
      <c r="T138" s="145" t="n"/>
      <c r="U138" s="1" t="n"/>
      <c r="V138" s="1" t="n"/>
      <c r="W138" s="1" t="n"/>
      <c r="X138" s="1" t="n"/>
      <c r="Y138" s="1" t="n"/>
      <c r="Z138" s="1" t="n"/>
    </row>
    <row r="139" ht="15" customHeight="1" s="311">
      <c r="A139" s="41">
        <f>IF($D139="","",ROW()-5)</f>
        <v/>
      </c>
      <c r="B139" s="144" t="n"/>
      <c r="C139" s="83" t="n"/>
      <c r="D139" s="146" t="n"/>
      <c r="E139" s="146" t="n"/>
      <c r="F139" s="146" t="n"/>
      <c r="G139" s="164">
        <f t="array" ref="G139">IF($F139="","",IFERROR(INDEX(Disponibilidad!$O$6:$O$18,MATCH($F139,Disponibilidad!$B$6:$B$18,0)),"Hogar"))</f>
        <v/>
      </c>
      <c r="H139" s="76" t="n"/>
      <c r="I139" s="57">
        <f>IF($D139="","",IF($C139="Cobro",N($H139),-N($H139)))</f>
        <v/>
      </c>
      <c r="J139" s="141" t="n"/>
      <c r="K139" s="64">
        <f>IF($B139="","",TEXT($B139,"YYYY-MM"))</f>
        <v/>
      </c>
      <c r="L139" s="145" t="n"/>
      <c r="M139" s="145" t="n"/>
      <c r="N139" s="145" t="n"/>
      <c r="O139" s="145" t="n"/>
      <c r="P139" s="145" t="n"/>
      <c r="Q139" s="145" t="n"/>
      <c r="R139" s="145" t="n"/>
      <c r="S139" s="145" t="n"/>
      <c r="T139" s="145" t="n"/>
      <c r="U139" s="1" t="n"/>
      <c r="V139" s="1" t="n"/>
      <c r="W139" s="1" t="n"/>
      <c r="X139" s="1" t="n"/>
      <c r="Y139" s="1" t="n"/>
      <c r="Z139" s="1" t="n"/>
    </row>
    <row r="140" ht="15" customHeight="1" s="311">
      <c r="A140" s="41">
        <f>IF($D140="","",ROW()-5)</f>
        <v/>
      </c>
      <c r="B140" s="144" t="n"/>
      <c r="C140" s="83" t="n"/>
      <c r="D140" s="146" t="n"/>
      <c r="E140" s="146" t="n"/>
      <c r="F140" s="146" t="n"/>
      <c r="G140" s="164">
        <f t="array" ref="G140">IF($F140="","",IFERROR(INDEX(Disponibilidad!$O$6:$O$18,MATCH($F140,Disponibilidad!$B$6:$B$18,0)),"Hogar"))</f>
        <v/>
      </c>
      <c r="H140" s="76" t="n"/>
      <c r="I140" s="57">
        <f>IF($D140="","",IF($C140="Cobro",N($H140),-N($H140)))</f>
        <v/>
      </c>
      <c r="J140" s="141" t="n"/>
      <c r="K140" s="64">
        <f>IF($B140="","",TEXT($B140,"YYYY-MM"))</f>
        <v/>
      </c>
      <c r="L140" s="145" t="n"/>
      <c r="M140" s="145" t="n"/>
      <c r="N140" s="145" t="n"/>
      <c r="O140" s="145" t="n"/>
      <c r="P140" s="145" t="n"/>
      <c r="Q140" s="145" t="n"/>
      <c r="R140" s="145" t="n"/>
      <c r="S140" s="145" t="n"/>
      <c r="T140" s="145" t="n"/>
      <c r="U140" s="1" t="n"/>
      <c r="V140" s="1" t="n"/>
      <c r="W140" s="1" t="n"/>
      <c r="X140" s="1" t="n"/>
      <c r="Y140" s="1" t="n"/>
      <c r="Z140" s="1" t="n"/>
    </row>
    <row r="141" ht="15" customHeight="1" s="311">
      <c r="A141" s="41">
        <f>IF($D141="","",ROW()-5)</f>
        <v/>
      </c>
      <c r="B141" s="144" t="n"/>
      <c r="C141" s="83" t="n"/>
      <c r="D141" s="146" t="n"/>
      <c r="E141" s="146" t="n"/>
      <c r="F141" s="146" t="n"/>
      <c r="G141" s="164">
        <f t="array" ref="G141">IF($F141="","",IFERROR(INDEX(Disponibilidad!$O$6:$O$18,MATCH($F141,Disponibilidad!$B$6:$B$18,0)),"Hogar"))</f>
        <v/>
      </c>
      <c r="H141" s="76" t="n"/>
      <c r="I141" s="57">
        <f>IF($D141="","",IF($C141="Cobro",N($H141),-N($H141)))</f>
        <v/>
      </c>
      <c r="J141" s="141" t="n"/>
      <c r="K141" s="64">
        <f>IF($B141="","",TEXT($B141,"YYYY-MM"))</f>
        <v/>
      </c>
      <c r="L141" s="145" t="n"/>
      <c r="M141" s="145" t="n"/>
      <c r="N141" s="145" t="n"/>
      <c r="O141" s="145" t="n"/>
      <c r="P141" s="145" t="n"/>
      <c r="Q141" s="145" t="n"/>
      <c r="R141" s="145" t="n"/>
      <c r="S141" s="145" t="n"/>
      <c r="T141" s="145" t="n"/>
      <c r="U141" s="1" t="n"/>
      <c r="V141" s="1" t="n"/>
      <c r="W141" s="1" t="n"/>
      <c r="X141" s="1" t="n"/>
      <c r="Y141" s="1" t="n"/>
      <c r="Z141" s="1" t="n"/>
    </row>
    <row r="142" ht="15" customHeight="1" s="311">
      <c r="A142" s="41">
        <f>IF($D142="","",ROW()-5)</f>
        <v/>
      </c>
      <c r="B142" s="144" t="n"/>
      <c r="C142" s="83" t="n"/>
      <c r="D142" s="146" t="n"/>
      <c r="E142" s="146" t="n"/>
      <c r="F142" s="146" t="n"/>
      <c r="G142" s="164">
        <f t="array" ref="G142">IF($F142="","",IFERROR(INDEX(Disponibilidad!$O$6:$O$18,MATCH($F142,Disponibilidad!$B$6:$B$18,0)),"Hogar"))</f>
        <v/>
      </c>
      <c r="H142" s="76" t="n"/>
      <c r="I142" s="57">
        <f>IF($D142="","",IF($C142="Cobro",N($H142),-N($H142)))</f>
        <v/>
      </c>
      <c r="J142" s="141" t="n"/>
      <c r="K142" s="64">
        <f>IF($B142="","",TEXT($B142,"YYYY-MM"))</f>
        <v/>
      </c>
      <c r="L142" s="145" t="n"/>
      <c r="M142" s="145" t="n"/>
      <c r="N142" s="145" t="n"/>
      <c r="O142" s="145" t="n"/>
      <c r="P142" s="145" t="n"/>
      <c r="Q142" s="145" t="n"/>
      <c r="R142" s="145" t="n"/>
      <c r="S142" s="145" t="n"/>
      <c r="T142" s="145" t="n"/>
      <c r="U142" s="1" t="n"/>
      <c r="V142" s="1" t="n"/>
      <c r="W142" s="1" t="n"/>
      <c r="X142" s="1" t="n"/>
      <c r="Y142" s="1" t="n"/>
      <c r="Z142" s="1" t="n"/>
    </row>
    <row r="143" ht="15" customHeight="1" s="311">
      <c r="A143" s="41">
        <f>IF($D143="","",ROW()-5)</f>
        <v/>
      </c>
      <c r="B143" s="144" t="n"/>
      <c r="C143" s="83" t="n"/>
      <c r="D143" s="146" t="n"/>
      <c r="E143" s="146" t="n"/>
      <c r="F143" s="146" t="n"/>
      <c r="G143" s="164">
        <f t="array" ref="G143">IF($F143="","",IFERROR(INDEX(Disponibilidad!$O$6:$O$18,MATCH($F143,Disponibilidad!$B$6:$B$18,0)),"Hogar"))</f>
        <v/>
      </c>
      <c r="H143" s="76" t="n"/>
      <c r="I143" s="57">
        <f>IF($D143="","",IF($C143="Cobro",N($H143),-N($H143)))</f>
        <v/>
      </c>
      <c r="J143" s="141" t="n"/>
      <c r="K143" s="64">
        <f>IF($B143="","",TEXT($B143,"YYYY-MM"))</f>
        <v/>
      </c>
      <c r="L143" s="145" t="n"/>
      <c r="M143" s="145" t="n"/>
      <c r="N143" s="145" t="n"/>
      <c r="O143" s="145" t="n"/>
      <c r="P143" s="145" t="n"/>
      <c r="Q143" s="145" t="n"/>
      <c r="R143" s="145" t="n"/>
      <c r="S143" s="145" t="n"/>
      <c r="T143" s="145" t="n"/>
      <c r="U143" s="1" t="n"/>
      <c r="V143" s="1" t="n"/>
      <c r="W143" s="1" t="n"/>
      <c r="X143" s="1" t="n"/>
      <c r="Y143" s="1" t="n"/>
      <c r="Z143" s="1" t="n"/>
    </row>
    <row r="144" ht="15" customHeight="1" s="311">
      <c r="A144" s="41">
        <f>IF($D144="","",ROW()-5)</f>
        <v/>
      </c>
      <c r="B144" s="144" t="n"/>
      <c r="C144" s="83" t="n"/>
      <c r="D144" s="146" t="n"/>
      <c r="E144" s="146" t="n"/>
      <c r="F144" s="146" t="n"/>
      <c r="G144" s="164">
        <f t="array" ref="G144">IF($F144="","",IFERROR(INDEX(Disponibilidad!$O$6:$O$18,MATCH($F144,Disponibilidad!$B$6:$B$18,0)),"Hogar"))</f>
        <v/>
      </c>
      <c r="H144" s="76" t="n"/>
      <c r="I144" s="57">
        <f>IF($D144="","",IF($C144="Cobro",N($H144),-N($H144)))</f>
        <v/>
      </c>
      <c r="J144" s="141" t="n"/>
      <c r="K144" s="64">
        <f>IF($B144="","",TEXT($B144,"YYYY-MM"))</f>
        <v/>
      </c>
      <c r="L144" s="145" t="n"/>
      <c r="M144" s="145" t="n"/>
      <c r="N144" s="145" t="n"/>
      <c r="O144" s="145" t="n"/>
      <c r="P144" s="145" t="n"/>
      <c r="Q144" s="145" t="n"/>
      <c r="R144" s="145" t="n"/>
      <c r="S144" s="145" t="n"/>
      <c r="T144" s="145" t="n"/>
      <c r="U144" s="1" t="n"/>
      <c r="V144" s="1" t="n"/>
      <c r="W144" s="1" t="n"/>
      <c r="X144" s="1" t="n"/>
      <c r="Y144" s="1" t="n"/>
      <c r="Z144" s="1" t="n"/>
    </row>
    <row r="145" ht="15" customHeight="1" s="311">
      <c r="A145" s="41">
        <f>IF($D145="","",ROW()-5)</f>
        <v/>
      </c>
      <c r="B145" s="144" t="n"/>
      <c r="C145" s="83" t="n"/>
      <c r="D145" s="146" t="n"/>
      <c r="E145" s="146" t="n"/>
      <c r="F145" s="146" t="n"/>
      <c r="G145" s="164">
        <f t="array" ref="G145">IF($F145="","",IFERROR(INDEX(Disponibilidad!$O$6:$O$18,MATCH($F145,Disponibilidad!$B$6:$B$18,0)),"Hogar"))</f>
        <v/>
      </c>
      <c r="H145" s="76" t="n"/>
      <c r="I145" s="57">
        <f>IF($D145="","",IF($C145="Cobro",N($H145),-N($H145)))</f>
        <v/>
      </c>
      <c r="J145" s="141" t="n"/>
      <c r="K145" s="64">
        <f>IF($B145="","",TEXT($B145,"YYYY-MM"))</f>
        <v/>
      </c>
      <c r="L145" s="145" t="n"/>
      <c r="M145" s="145" t="n"/>
      <c r="N145" s="145" t="n"/>
      <c r="O145" s="145" t="n"/>
      <c r="P145" s="145" t="n"/>
      <c r="Q145" s="145" t="n"/>
      <c r="R145" s="145" t="n"/>
      <c r="S145" s="145" t="n"/>
      <c r="T145" s="145" t="n"/>
      <c r="U145" s="1" t="n"/>
      <c r="V145" s="1" t="n"/>
      <c r="W145" s="1" t="n"/>
      <c r="X145" s="1" t="n"/>
      <c r="Y145" s="1" t="n"/>
      <c r="Z145" s="1" t="n"/>
    </row>
    <row r="146" ht="15" customHeight="1" s="311">
      <c r="A146" s="41">
        <f>IF($D146="","",ROW()-5)</f>
        <v/>
      </c>
      <c r="B146" s="144" t="n"/>
      <c r="C146" s="83" t="n"/>
      <c r="D146" s="146" t="n"/>
      <c r="E146" s="146" t="n"/>
      <c r="F146" s="146" t="n"/>
      <c r="G146" s="164">
        <f t="array" ref="G146">IF($F146="","",IFERROR(INDEX(Disponibilidad!$O$6:$O$18,MATCH($F146,Disponibilidad!$B$6:$B$18,0)),"Hogar"))</f>
        <v/>
      </c>
      <c r="H146" s="76" t="n"/>
      <c r="I146" s="57">
        <f>IF($D146="","",IF($C146="Cobro",N($H146),-N($H146)))</f>
        <v/>
      </c>
      <c r="J146" s="141" t="n"/>
      <c r="K146" s="64">
        <f>IF($B146="","",TEXT($B146,"YYYY-MM"))</f>
        <v/>
      </c>
      <c r="L146" s="145" t="n"/>
      <c r="M146" s="145" t="n"/>
      <c r="N146" s="145" t="n"/>
      <c r="O146" s="145" t="n"/>
      <c r="P146" s="145" t="n"/>
      <c r="Q146" s="145" t="n"/>
      <c r="R146" s="145" t="n"/>
      <c r="S146" s="145" t="n"/>
      <c r="T146" s="145" t="n"/>
      <c r="U146" s="1" t="n"/>
      <c r="V146" s="1" t="n"/>
      <c r="W146" s="1" t="n"/>
      <c r="X146" s="1" t="n"/>
      <c r="Y146" s="1" t="n"/>
      <c r="Z146" s="1" t="n"/>
    </row>
    <row r="147" ht="15" customHeight="1" s="311">
      <c r="A147" s="41">
        <f>IF($D147="","",ROW()-5)</f>
        <v/>
      </c>
      <c r="B147" s="144" t="n"/>
      <c r="C147" s="83" t="n"/>
      <c r="D147" s="146" t="n"/>
      <c r="E147" s="146" t="n"/>
      <c r="F147" s="146" t="n"/>
      <c r="G147" s="164">
        <f t="array" ref="G147">IF($F147="","",IFERROR(INDEX(Disponibilidad!$O$6:$O$18,MATCH($F147,Disponibilidad!$B$6:$B$18,0)),"Hogar"))</f>
        <v/>
      </c>
      <c r="H147" s="76" t="n"/>
      <c r="I147" s="57">
        <f>IF($D147="","",IF($C147="Cobro",N($H147),-N($H147)))</f>
        <v/>
      </c>
      <c r="J147" s="141" t="n"/>
      <c r="K147" s="64">
        <f>IF($B147="","",TEXT($B147,"YYYY-MM"))</f>
        <v/>
      </c>
      <c r="L147" s="145" t="n"/>
      <c r="M147" s="145" t="n"/>
      <c r="N147" s="145" t="n"/>
      <c r="O147" s="145" t="n"/>
      <c r="P147" s="145" t="n"/>
      <c r="Q147" s="145" t="n"/>
      <c r="R147" s="145" t="n"/>
      <c r="S147" s="145" t="n"/>
      <c r="T147" s="145" t="n"/>
      <c r="U147" s="1" t="n"/>
      <c r="V147" s="1" t="n"/>
      <c r="W147" s="1" t="n"/>
      <c r="X147" s="1" t="n"/>
      <c r="Y147" s="1" t="n"/>
      <c r="Z147" s="1" t="n"/>
    </row>
    <row r="148" ht="15" customHeight="1" s="311">
      <c r="A148" s="41">
        <f>IF($D148="","",ROW()-5)</f>
        <v/>
      </c>
      <c r="B148" s="144" t="n"/>
      <c r="C148" s="83" t="n"/>
      <c r="D148" s="146" t="n"/>
      <c r="E148" s="146" t="n"/>
      <c r="F148" s="146" t="n"/>
      <c r="G148" s="164">
        <f t="array" ref="G148">IF($F148="","",IFERROR(INDEX(Disponibilidad!$O$6:$O$18,MATCH($F148,Disponibilidad!$B$6:$B$18,0)),"Hogar"))</f>
        <v/>
      </c>
      <c r="H148" s="76" t="n"/>
      <c r="I148" s="57">
        <f>IF($D148="","",IF($C148="Cobro",N($H148),-N($H148)))</f>
        <v/>
      </c>
      <c r="J148" s="141" t="n"/>
      <c r="K148" s="64">
        <f>IF($B148="","",TEXT($B148,"YYYY-MM"))</f>
        <v/>
      </c>
      <c r="L148" s="145" t="n"/>
      <c r="M148" s="145" t="n"/>
      <c r="N148" s="145" t="n"/>
      <c r="O148" s="145" t="n"/>
      <c r="P148" s="145" t="n"/>
      <c r="Q148" s="145" t="n"/>
      <c r="R148" s="145" t="n"/>
      <c r="S148" s="145" t="n"/>
      <c r="T148" s="145" t="n"/>
      <c r="U148" s="1" t="n"/>
      <c r="V148" s="1" t="n"/>
      <c r="W148" s="1" t="n"/>
      <c r="X148" s="1" t="n"/>
      <c r="Y148" s="1" t="n"/>
      <c r="Z148" s="1" t="n"/>
    </row>
    <row r="149" ht="15" customHeight="1" s="311">
      <c r="A149" s="41">
        <f>IF($D149="","",ROW()-5)</f>
        <v/>
      </c>
      <c r="B149" s="144" t="n"/>
      <c r="C149" s="83" t="n"/>
      <c r="D149" s="146" t="n"/>
      <c r="E149" s="146" t="n"/>
      <c r="F149" s="146" t="n"/>
      <c r="G149" s="164">
        <f t="array" ref="G149">IF($F149="","",IFERROR(INDEX(Disponibilidad!$O$6:$O$18,MATCH($F149,Disponibilidad!$B$6:$B$18,0)),"Hogar"))</f>
        <v/>
      </c>
      <c r="H149" s="76" t="n"/>
      <c r="I149" s="57">
        <f>IF($D149="","",IF($C149="Cobro",N($H149),-N($H149)))</f>
        <v/>
      </c>
      <c r="J149" s="141" t="n"/>
      <c r="K149" s="64">
        <f>IF($B149="","",TEXT($B149,"YYYY-MM"))</f>
        <v/>
      </c>
      <c r="L149" s="145" t="n"/>
      <c r="M149" s="145" t="n"/>
      <c r="N149" s="145" t="n"/>
      <c r="O149" s="145" t="n"/>
      <c r="P149" s="145" t="n"/>
      <c r="Q149" s="145" t="n"/>
      <c r="R149" s="145" t="n"/>
      <c r="S149" s="145" t="n"/>
      <c r="T149" s="145" t="n"/>
      <c r="U149" s="1" t="n"/>
      <c r="V149" s="1" t="n"/>
      <c r="W149" s="1" t="n"/>
      <c r="X149" s="1" t="n"/>
      <c r="Y149" s="1" t="n"/>
      <c r="Z149" s="1" t="n"/>
    </row>
    <row r="150" ht="15" customHeight="1" s="311">
      <c r="A150" s="41">
        <f>IF($D150="","",ROW()-5)</f>
        <v/>
      </c>
      <c r="B150" s="144" t="n"/>
      <c r="C150" s="83" t="n"/>
      <c r="D150" s="146" t="n"/>
      <c r="E150" s="146" t="n"/>
      <c r="F150" s="146" t="n"/>
      <c r="G150" s="164">
        <f t="array" ref="G150">IF($F150="","",IFERROR(INDEX(Disponibilidad!$O$6:$O$18,MATCH($F150,Disponibilidad!$B$6:$B$18,0)),"Hogar"))</f>
        <v/>
      </c>
      <c r="H150" s="76" t="n"/>
      <c r="I150" s="57">
        <f>IF($D150="","",IF($C150="Cobro",N($H150),-N($H150)))</f>
        <v/>
      </c>
      <c r="J150" s="141" t="n"/>
      <c r="K150" s="64">
        <f>IF($B150="","",TEXT($B150,"YYYY-MM"))</f>
        <v/>
      </c>
      <c r="L150" s="145" t="n"/>
      <c r="M150" s="145" t="n"/>
      <c r="N150" s="145" t="n"/>
      <c r="O150" s="145" t="n"/>
      <c r="P150" s="145" t="n"/>
      <c r="Q150" s="145" t="n"/>
      <c r="R150" s="145" t="n"/>
      <c r="S150" s="145" t="n"/>
      <c r="T150" s="145" t="n"/>
      <c r="U150" s="1" t="n"/>
      <c r="V150" s="1" t="n"/>
      <c r="W150" s="1" t="n"/>
      <c r="X150" s="1" t="n"/>
      <c r="Y150" s="1" t="n"/>
      <c r="Z150" s="1" t="n"/>
    </row>
    <row r="151" ht="15" customHeight="1" s="311">
      <c r="A151" s="41">
        <f>IF($D151="","",ROW()-5)</f>
        <v/>
      </c>
      <c r="B151" s="144" t="n"/>
      <c r="C151" s="83" t="n"/>
      <c r="D151" s="146" t="n"/>
      <c r="E151" s="146" t="n"/>
      <c r="F151" s="146" t="n"/>
      <c r="G151" s="164">
        <f t="array" ref="G151">IF($F151="","",IFERROR(INDEX(Disponibilidad!$O$6:$O$18,MATCH($F151,Disponibilidad!$B$6:$B$18,0)),"Hogar"))</f>
        <v/>
      </c>
      <c r="H151" s="76" t="n"/>
      <c r="I151" s="57">
        <f>IF($D151="","",IF($C151="Cobro",N($H151),-N($H151)))</f>
        <v/>
      </c>
      <c r="J151" s="141" t="n"/>
      <c r="K151" s="64">
        <f>IF($B151="","",TEXT($B151,"YYYY-MM"))</f>
        <v/>
      </c>
      <c r="L151" s="145" t="n"/>
      <c r="M151" s="145" t="n"/>
      <c r="N151" s="145" t="n"/>
      <c r="O151" s="145" t="n"/>
      <c r="P151" s="145" t="n"/>
      <c r="Q151" s="145" t="n"/>
      <c r="R151" s="145" t="n"/>
      <c r="S151" s="145" t="n"/>
      <c r="T151" s="145" t="n"/>
      <c r="U151" s="1" t="n"/>
      <c r="V151" s="1" t="n"/>
      <c r="W151" s="1" t="n"/>
      <c r="X151" s="1" t="n"/>
      <c r="Y151" s="1" t="n"/>
      <c r="Z151" s="1" t="n"/>
    </row>
    <row r="152" ht="15" customHeight="1" s="311">
      <c r="A152" s="41">
        <f>IF($D152="","",ROW()-5)</f>
        <v/>
      </c>
      <c r="B152" s="144" t="n"/>
      <c r="C152" s="83" t="n"/>
      <c r="D152" s="146" t="n"/>
      <c r="E152" s="146" t="n"/>
      <c r="F152" s="146" t="n"/>
      <c r="G152" s="164">
        <f t="array" ref="G152">IF($F152="","",IFERROR(INDEX(Disponibilidad!$O$6:$O$18,MATCH($F152,Disponibilidad!$B$6:$B$18,0)),"Hogar"))</f>
        <v/>
      </c>
      <c r="H152" s="76" t="n"/>
      <c r="I152" s="57">
        <f>IF($D152="","",IF($C152="Cobro",N($H152),-N($H152)))</f>
        <v/>
      </c>
      <c r="J152" s="141" t="n"/>
      <c r="K152" s="64">
        <f>IF($B152="","",TEXT($B152,"YYYY-MM"))</f>
        <v/>
      </c>
      <c r="L152" s="145" t="n"/>
      <c r="M152" s="145" t="n"/>
      <c r="N152" s="145" t="n"/>
      <c r="O152" s="145" t="n"/>
      <c r="P152" s="145" t="n"/>
      <c r="Q152" s="145" t="n"/>
      <c r="R152" s="145" t="n"/>
      <c r="S152" s="145" t="n"/>
      <c r="T152" s="145" t="n"/>
      <c r="U152" s="1" t="n"/>
      <c r="V152" s="1" t="n"/>
      <c r="W152" s="1" t="n"/>
      <c r="X152" s="1" t="n"/>
      <c r="Y152" s="1" t="n"/>
      <c r="Z152" s="1" t="n"/>
    </row>
    <row r="153" ht="15" customHeight="1" s="311">
      <c r="A153" s="41">
        <f>IF($D153="","",ROW()-5)</f>
        <v/>
      </c>
      <c r="B153" s="144" t="n"/>
      <c r="C153" s="83" t="n"/>
      <c r="D153" s="146" t="n"/>
      <c r="E153" s="146" t="n"/>
      <c r="F153" s="146" t="n"/>
      <c r="G153" s="164">
        <f t="array" ref="G153">IF($F153="","",IFERROR(INDEX(Disponibilidad!$O$6:$O$18,MATCH($F153,Disponibilidad!$B$6:$B$18,0)),"Hogar"))</f>
        <v/>
      </c>
      <c r="H153" s="76" t="n"/>
      <c r="I153" s="57">
        <f>IF($D153="","",IF($C153="Cobro",N($H153),-N($H153)))</f>
        <v/>
      </c>
      <c r="J153" s="141" t="n"/>
      <c r="K153" s="64">
        <f>IF($B153="","",TEXT($B153,"YYYY-MM"))</f>
        <v/>
      </c>
      <c r="L153" s="145" t="n"/>
      <c r="M153" s="145" t="n"/>
      <c r="N153" s="145" t="n"/>
      <c r="O153" s="145" t="n"/>
      <c r="P153" s="145" t="n"/>
      <c r="Q153" s="145" t="n"/>
      <c r="R153" s="145" t="n"/>
      <c r="S153" s="145" t="n"/>
      <c r="T153" s="145" t="n"/>
      <c r="U153" s="1" t="n"/>
      <c r="V153" s="1" t="n"/>
      <c r="W153" s="1" t="n"/>
      <c r="X153" s="1" t="n"/>
      <c r="Y153" s="1" t="n"/>
      <c r="Z153" s="1" t="n"/>
    </row>
    <row r="154" ht="15" customHeight="1" s="311">
      <c r="A154" s="41">
        <f>IF($D154="","",ROW()-5)</f>
        <v/>
      </c>
      <c r="B154" s="144" t="n"/>
      <c r="C154" s="83" t="n"/>
      <c r="D154" s="146" t="n"/>
      <c r="E154" s="146" t="n"/>
      <c r="F154" s="146" t="n"/>
      <c r="G154" s="164">
        <f t="array" ref="G154">IF($F154="","",IFERROR(INDEX(Disponibilidad!$O$6:$O$18,MATCH($F154,Disponibilidad!$B$6:$B$18,0)),"Hogar"))</f>
        <v/>
      </c>
      <c r="H154" s="76" t="n"/>
      <c r="I154" s="57">
        <f>IF($D154="","",IF($C154="Cobro",N($H154),-N($H154)))</f>
        <v/>
      </c>
      <c r="J154" s="141" t="n"/>
      <c r="K154" s="64">
        <f>IF($B154="","",TEXT($B154,"YYYY-MM"))</f>
        <v/>
      </c>
      <c r="L154" s="145" t="n"/>
      <c r="M154" s="145" t="n"/>
      <c r="N154" s="145" t="n"/>
      <c r="O154" s="145" t="n"/>
      <c r="P154" s="145" t="n"/>
      <c r="Q154" s="145" t="n"/>
      <c r="R154" s="145" t="n"/>
      <c r="S154" s="145" t="n"/>
      <c r="T154" s="145" t="n"/>
      <c r="U154" s="1" t="n"/>
      <c r="V154" s="1" t="n"/>
      <c r="W154" s="1" t="n"/>
      <c r="X154" s="1" t="n"/>
      <c r="Y154" s="1" t="n"/>
      <c r="Z154" s="1" t="n"/>
    </row>
    <row r="155" ht="15" customHeight="1" s="311">
      <c r="A155" s="41">
        <f>IF($D155="","",ROW()-5)</f>
        <v/>
      </c>
      <c r="B155" s="144" t="n"/>
      <c r="C155" s="83" t="n"/>
      <c r="D155" s="146" t="n"/>
      <c r="E155" s="146" t="n"/>
      <c r="F155" s="146" t="n"/>
      <c r="G155" s="164">
        <f t="array" ref="G155">IF($F155="","",IFERROR(INDEX(Disponibilidad!$O$6:$O$18,MATCH($F155,Disponibilidad!$B$6:$B$18,0)),"Hogar"))</f>
        <v/>
      </c>
      <c r="H155" s="76" t="n"/>
      <c r="I155" s="57">
        <f>IF($D155="","",IF($C155="Cobro",N($H155),-N($H155)))</f>
        <v/>
      </c>
      <c r="J155" s="141" t="n"/>
      <c r="K155" s="64">
        <f>IF($B155="","",TEXT($B155,"YYYY-MM"))</f>
        <v/>
      </c>
      <c r="L155" s="145" t="n"/>
      <c r="M155" s="145" t="n"/>
      <c r="N155" s="145" t="n"/>
      <c r="O155" s="145" t="n"/>
      <c r="P155" s="145" t="n"/>
      <c r="Q155" s="145" t="n"/>
      <c r="R155" s="145" t="n"/>
      <c r="S155" s="145" t="n"/>
      <c r="T155" s="145" t="n"/>
      <c r="U155" s="1" t="n"/>
      <c r="V155" s="1" t="n"/>
      <c r="W155" s="1" t="n"/>
      <c r="X155" s="1" t="n"/>
      <c r="Y155" s="1" t="n"/>
      <c r="Z155" s="1" t="n"/>
    </row>
    <row r="156" ht="15" customHeight="1" s="311">
      <c r="A156" s="41">
        <f>IF($D156="","",ROW()-5)</f>
        <v/>
      </c>
      <c r="B156" s="144" t="n"/>
      <c r="C156" s="83" t="n"/>
      <c r="D156" s="146" t="n"/>
      <c r="E156" s="146" t="n"/>
      <c r="F156" s="146" t="n"/>
      <c r="G156" s="164">
        <f t="array" ref="G156">IF($F156="","",IFERROR(INDEX(Disponibilidad!$O$6:$O$18,MATCH($F156,Disponibilidad!$B$6:$B$18,0)),"Hogar"))</f>
        <v/>
      </c>
      <c r="H156" s="76" t="n"/>
      <c r="I156" s="57">
        <f>IF($D156="","",IF($C156="Cobro",N($H156),-N($H156)))</f>
        <v/>
      </c>
      <c r="J156" s="141" t="n"/>
      <c r="K156" s="64">
        <f>IF($B156="","",TEXT($B156,"YYYY-MM"))</f>
        <v/>
      </c>
      <c r="L156" s="145" t="n"/>
      <c r="M156" s="145" t="n"/>
      <c r="N156" s="145" t="n"/>
      <c r="O156" s="145" t="n"/>
      <c r="P156" s="145" t="n"/>
      <c r="Q156" s="145" t="n"/>
      <c r="R156" s="145" t="n"/>
      <c r="S156" s="145" t="n"/>
      <c r="T156" s="145" t="n"/>
      <c r="U156" s="1" t="n"/>
      <c r="V156" s="1" t="n"/>
      <c r="W156" s="1" t="n"/>
      <c r="X156" s="1" t="n"/>
      <c r="Y156" s="1" t="n"/>
      <c r="Z156" s="1" t="n"/>
    </row>
    <row r="157" ht="15" customHeight="1" s="311">
      <c r="A157" s="41">
        <f>IF($D157="","",ROW()-5)</f>
        <v/>
      </c>
      <c r="B157" s="144" t="n"/>
      <c r="C157" s="83" t="n"/>
      <c r="D157" s="146" t="n"/>
      <c r="E157" s="146" t="n"/>
      <c r="F157" s="146" t="n"/>
      <c r="G157" s="164">
        <f t="array" ref="G157">IF($F157="","",IFERROR(INDEX(Disponibilidad!$O$6:$O$18,MATCH($F157,Disponibilidad!$B$6:$B$18,0)),"Hogar"))</f>
        <v/>
      </c>
      <c r="H157" s="76" t="n"/>
      <c r="I157" s="57">
        <f>IF($D157="","",IF($C157="Cobro",N($H157),-N($H157)))</f>
        <v/>
      </c>
      <c r="J157" s="141" t="n"/>
      <c r="K157" s="64">
        <f>IF($B157="","",TEXT($B157,"YYYY-MM"))</f>
        <v/>
      </c>
      <c r="L157" s="145" t="n"/>
      <c r="M157" s="145" t="n"/>
      <c r="N157" s="145" t="n"/>
      <c r="O157" s="145" t="n"/>
      <c r="P157" s="145" t="n"/>
      <c r="Q157" s="145" t="n"/>
      <c r="R157" s="145" t="n"/>
      <c r="S157" s="145" t="n"/>
      <c r="T157" s="145" t="n"/>
      <c r="U157" s="1" t="n"/>
      <c r="V157" s="1" t="n"/>
      <c r="W157" s="1" t="n"/>
      <c r="X157" s="1" t="n"/>
      <c r="Y157" s="1" t="n"/>
      <c r="Z157" s="1" t="n"/>
    </row>
    <row r="158" ht="15" customHeight="1" s="311">
      <c r="A158" s="41">
        <f>IF($D158="","",ROW()-5)</f>
        <v/>
      </c>
      <c r="B158" s="144" t="n"/>
      <c r="C158" s="83" t="n"/>
      <c r="D158" s="146" t="n"/>
      <c r="E158" s="146" t="n"/>
      <c r="F158" s="146" t="n"/>
      <c r="G158" s="164">
        <f t="array" ref="G158">IF($F158="","",IFERROR(INDEX(Disponibilidad!$O$6:$O$18,MATCH($F158,Disponibilidad!$B$6:$B$18,0)),"Hogar"))</f>
        <v/>
      </c>
      <c r="H158" s="76" t="n"/>
      <c r="I158" s="57">
        <f>IF($D158="","",IF($C158="Cobro",N($H158),-N($H158)))</f>
        <v/>
      </c>
      <c r="J158" s="141" t="n"/>
      <c r="K158" s="64">
        <f>IF($B158="","",TEXT($B158,"YYYY-MM"))</f>
        <v/>
      </c>
      <c r="L158" s="145" t="n"/>
      <c r="M158" s="145" t="n"/>
      <c r="N158" s="145" t="n"/>
      <c r="O158" s="145" t="n"/>
      <c r="P158" s="145" t="n"/>
      <c r="Q158" s="145" t="n"/>
      <c r="R158" s="145" t="n"/>
      <c r="S158" s="145" t="n"/>
      <c r="T158" s="145" t="n"/>
      <c r="U158" s="1" t="n"/>
      <c r="V158" s="1" t="n"/>
      <c r="W158" s="1" t="n"/>
      <c r="X158" s="1" t="n"/>
      <c r="Y158" s="1" t="n"/>
      <c r="Z158" s="1" t="n"/>
    </row>
    <row r="159" ht="15" customHeight="1" s="311">
      <c r="A159" s="41">
        <f>IF($D159="","",ROW()-5)</f>
        <v/>
      </c>
      <c r="B159" s="144" t="n"/>
      <c r="C159" s="83" t="n"/>
      <c r="D159" s="146" t="n"/>
      <c r="E159" s="146" t="n"/>
      <c r="F159" s="146" t="n"/>
      <c r="G159" s="164">
        <f t="array" ref="G159">IF($F159="","",IFERROR(INDEX(Disponibilidad!$O$6:$O$18,MATCH($F159,Disponibilidad!$B$6:$B$18,0)),"Hogar"))</f>
        <v/>
      </c>
      <c r="H159" s="76" t="n"/>
      <c r="I159" s="57">
        <f>IF($D159="","",IF($C159="Cobro",N($H159),-N($H159)))</f>
        <v/>
      </c>
      <c r="J159" s="141" t="n"/>
      <c r="K159" s="64">
        <f>IF($B159="","",TEXT($B159,"YYYY-MM"))</f>
        <v/>
      </c>
      <c r="L159" s="145" t="n"/>
      <c r="M159" s="145" t="n"/>
      <c r="N159" s="145" t="n"/>
      <c r="O159" s="145" t="n"/>
      <c r="P159" s="145" t="n"/>
      <c r="Q159" s="145" t="n"/>
      <c r="R159" s="145" t="n"/>
      <c r="S159" s="145" t="n"/>
      <c r="T159" s="145" t="n"/>
      <c r="U159" s="1" t="n"/>
      <c r="V159" s="1" t="n"/>
      <c r="W159" s="1" t="n"/>
      <c r="X159" s="1" t="n"/>
      <c r="Y159" s="1" t="n"/>
      <c r="Z159" s="1" t="n"/>
    </row>
    <row r="160" ht="15" customHeight="1" s="311">
      <c r="A160" s="41">
        <f>IF($D160="","",ROW()-5)</f>
        <v/>
      </c>
      <c r="B160" s="144" t="n"/>
      <c r="C160" s="83" t="n"/>
      <c r="D160" s="146" t="n"/>
      <c r="E160" s="146" t="n"/>
      <c r="F160" s="146" t="n"/>
      <c r="G160" s="164">
        <f t="array" ref="G160">IF($F160="","",IFERROR(INDEX(Disponibilidad!$O$6:$O$18,MATCH($F160,Disponibilidad!$B$6:$B$18,0)),"Hogar"))</f>
        <v/>
      </c>
      <c r="H160" s="76" t="n"/>
      <c r="I160" s="57">
        <f>IF($D160="","",IF($C160="Cobro",N($H160),-N($H160)))</f>
        <v/>
      </c>
      <c r="J160" s="141" t="n"/>
      <c r="K160" s="64">
        <f>IF($B160="","",TEXT($B160,"YYYY-MM"))</f>
        <v/>
      </c>
      <c r="L160" s="145" t="n"/>
      <c r="M160" s="145" t="n"/>
      <c r="N160" s="145" t="n"/>
      <c r="O160" s="145" t="n"/>
      <c r="P160" s="145" t="n"/>
      <c r="Q160" s="145" t="n"/>
      <c r="R160" s="145" t="n"/>
      <c r="S160" s="145" t="n"/>
      <c r="T160" s="145" t="n"/>
      <c r="U160" s="1" t="n"/>
      <c r="V160" s="1" t="n"/>
      <c r="W160" s="1" t="n"/>
      <c r="X160" s="1" t="n"/>
      <c r="Y160" s="1" t="n"/>
      <c r="Z160" s="1" t="n"/>
    </row>
    <row r="161" ht="15" customHeight="1" s="311">
      <c r="A161" s="41">
        <f>IF($D161="","",ROW()-5)</f>
        <v/>
      </c>
      <c r="B161" s="144" t="n"/>
      <c r="C161" s="83" t="n"/>
      <c r="D161" s="146" t="n"/>
      <c r="E161" s="146" t="n"/>
      <c r="F161" s="146" t="n"/>
      <c r="G161" s="164">
        <f t="array" ref="G161">IF($F161="","",IFERROR(INDEX(Disponibilidad!$O$6:$O$18,MATCH($F161,Disponibilidad!$B$6:$B$18,0)),"Hogar"))</f>
        <v/>
      </c>
      <c r="H161" s="76" t="n"/>
      <c r="I161" s="57">
        <f>IF($D161="","",IF($C161="Cobro",N($H161),-N($H161)))</f>
        <v/>
      </c>
      <c r="J161" s="141" t="n"/>
      <c r="K161" s="64">
        <f>IF($B161="","",TEXT($B161,"YYYY-MM"))</f>
        <v/>
      </c>
      <c r="L161" s="145" t="n"/>
      <c r="M161" s="145" t="n"/>
      <c r="N161" s="145" t="n"/>
      <c r="O161" s="145" t="n"/>
      <c r="P161" s="145" t="n"/>
      <c r="Q161" s="145" t="n"/>
      <c r="R161" s="145" t="n"/>
      <c r="S161" s="145" t="n"/>
      <c r="T161" s="145" t="n"/>
      <c r="U161" s="1" t="n"/>
      <c r="V161" s="1" t="n"/>
      <c r="W161" s="1" t="n"/>
      <c r="X161" s="1" t="n"/>
      <c r="Y161" s="1" t="n"/>
      <c r="Z161" s="1" t="n"/>
    </row>
    <row r="162" ht="15" customHeight="1" s="311">
      <c r="A162" s="41">
        <f>IF($D162="","",ROW()-5)</f>
        <v/>
      </c>
      <c r="B162" s="144" t="n"/>
      <c r="C162" s="83" t="n"/>
      <c r="D162" s="146" t="n"/>
      <c r="E162" s="146" t="n"/>
      <c r="F162" s="146" t="n"/>
      <c r="G162" s="164">
        <f t="array" ref="G162">IF($F162="","",IFERROR(INDEX(Disponibilidad!$O$6:$O$18,MATCH($F162,Disponibilidad!$B$6:$B$18,0)),"Hogar"))</f>
        <v/>
      </c>
      <c r="H162" s="76" t="n"/>
      <c r="I162" s="57">
        <f>IF($D162="","",IF($C162="Cobro",N($H162),-N($H162)))</f>
        <v/>
      </c>
      <c r="J162" s="141" t="n"/>
      <c r="K162" s="64">
        <f>IF($B162="","",TEXT($B162,"YYYY-MM"))</f>
        <v/>
      </c>
      <c r="L162" s="145" t="n"/>
      <c r="M162" s="145" t="n"/>
      <c r="N162" s="145" t="n"/>
      <c r="O162" s="145" t="n"/>
      <c r="P162" s="145" t="n"/>
      <c r="Q162" s="145" t="n"/>
      <c r="R162" s="145" t="n"/>
      <c r="S162" s="145" t="n"/>
      <c r="T162" s="145" t="n"/>
      <c r="U162" s="1" t="n"/>
      <c r="V162" s="1" t="n"/>
      <c r="W162" s="1" t="n"/>
      <c r="X162" s="1" t="n"/>
      <c r="Y162" s="1" t="n"/>
      <c r="Z162" s="1" t="n"/>
    </row>
    <row r="163" ht="15" customHeight="1" s="311">
      <c r="A163" s="41">
        <f>IF($D163="","",ROW()-5)</f>
        <v/>
      </c>
      <c r="B163" s="144" t="n"/>
      <c r="C163" s="83" t="n"/>
      <c r="D163" s="146" t="n"/>
      <c r="E163" s="146" t="n"/>
      <c r="F163" s="146" t="n"/>
      <c r="G163" s="164">
        <f t="array" ref="G163">IF($F163="","",IFERROR(INDEX(Disponibilidad!$O$6:$O$18,MATCH($F163,Disponibilidad!$B$6:$B$18,0)),"Hogar"))</f>
        <v/>
      </c>
      <c r="H163" s="76" t="n"/>
      <c r="I163" s="57">
        <f>IF($D163="","",IF($C163="Cobro",N($H163),-N($H163)))</f>
        <v/>
      </c>
      <c r="J163" s="141" t="n"/>
      <c r="K163" s="64">
        <f>IF($B163="","",TEXT($B163,"YYYY-MM"))</f>
        <v/>
      </c>
      <c r="L163" s="145" t="n"/>
      <c r="M163" s="145" t="n"/>
      <c r="N163" s="145" t="n"/>
      <c r="O163" s="145" t="n"/>
      <c r="P163" s="145" t="n"/>
      <c r="Q163" s="145" t="n"/>
      <c r="R163" s="145" t="n"/>
      <c r="S163" s="145" t="n"/>
      <c r="T163" s="145" t="n"/>
      <c r="U163" s="1" t="n"/>
      <c r="V163" s="1" t="n"/>
      <c r="W163" s="1" t="n"/>
      <c r="X163" s="1" t="n"/>
      <c r="Y163" s="1" t="n"/>
      <c r="Z163" s="1" t="n"/>
    </row>
    <row r="164" ht="15" customHeight="1" s="311">
      <c r="A164" s="41">
        <f>IF($D164="","",ROW()-5)</f>
        <v/>
      </c>
      <c r="B164" s="144" t="n"/>
      <c r="C164" s="83" t="n"/>
      <c r="D164" s="146" t="n"/>
      <c r="E164" s="146" t="n"/>
      <c r="F164" s="146" t="n"/>
      <c r="G164" s="164">
        <f t="array" ref="G164">IF($F164="","",IFERROR(INDEX(Disponibilidad!$O$6:$O$18,MATCH($F164,Disponibilidad!$B$6:$B$18,0)),"Hogar"))</f>
        <v/>
      </c>
      <c r="H164" s="76" t="n"/>
      <c r="I164" s="57">
        <f>IF($D164="","",IF($C164="Cobro",N($H164),-N($H164)))</f>
        <v/>
      </c>
      <c r="J164" s="141" t="n"/>
      <c r="K164" s="64">
        <f>IF($B164="","",TEXT($B164,"YYYY-MM"))</f>
        <v/>
      </c>
      <c r="L164" s="145" t="n"/>
      <c r="M164" s="145" t="n"/>
      <c r="N164" s="145" t="n"/>
      <c r="O164" s="145" t="n"/>
      <c r="P164" s="145" t="n"/>
      <c r="Q164" s="145" t="n"/>
      <c r="R164" s="145" t="n"/>
      <c r="S164" s="145" t="n"/>
      <c r="T164" s="145" t="n"/>
      <c r="U164" s="1" t="n"/>
      <c r="V164" s="1" t="n"/>
      <c r="W164" s="1" t="n"/>
      <c r="X164" s="1" t="n"/>
      <c r="Y164" s="1" t="n"/>
      <c r="Z164" s="1" t="n"/>
    </row>
    <row r="165" ht="15" customHeight="1" s="311">
      <c r="A165" s="41">
        <f>IF($D165="","",ROW()-5)</f>
        <v/>
      </c>
      <c r="B165" s="144" t="n"/>
      <c r="C165" s="83" t="n"/>
      <c r="D165" s="146" t="n"/>
      <c r="E165" s="146" t="n"/>
      <c r="F165" s="146" t="n"/>
      <c r="G165" s="164">
        <f t="array" ref="G165">IF($F165="","",IFERROR(INDEX(Disponibilidad!$O$6:$O$18,MATCH($F165,Disponibilidad!$B$6:$B$18,0)),"Hogar"))</f>
        <v/>
      </c>
      <c r="H165" s="76" t="n"/>
      <c r="I165" s="57">
        <f>IF($D165="","",IF($C165="Cobro",N($H165),-N($H165)))</f>
        <v/>
      </c>
      <c r="J165" s="141" t="n"/>
      <c r="K165" s="64">
        <f>IF($B165="","",TEXT($B165,"YYYY-MM"))</f>
        <v/>
      </c>
      <c r="L165" s="145" t="n"/>
      <c r="M165" s="145" t="n"/>
      <c r="N165" s="145" t="n"/>
      <c r="O165" s="145" t="n"/>
      <c r="P165" s="145" t="n"/>
      <c r="Q165" s="145" t="n"/>
      <c r="R165" s="145" t="n"/>
      <c r="S165" s="145" t="n"/>
      <c r="T165" s="145" t="n"/>
      <c r="U165" s="1" t="n"/>
      <c r="V165" s="1" t="n"/>
      <c r="W165" s="1" t="n"/>
      <c r="X165" s="1" t="n"/>
      <c r="Y165" s="1" t="n"/>
      <c r="Z165" s="1" t="n"/>
    </row>
    <row r="166" ht="15" customHeight="1" s="311">
      <c r="A166" s="41">
        <f>IF($D166="","",ROW()-5)</f>
        <v/>
      </c>
      <c r="B166" s="144" t="n"/>
      <c r="C166" s="83" t="n"/>
      <c r="D166" s="146" t="n"/>
      <c r="E166" s="146" t="n"/>
      <c r="F166" s="146" t="n"/>
      <c r="G166" s="164">
        <f t="array" ref="G166">IF($F166="","",IFERROR(INDEX(Disponibilidad!$O$6:$O$18,MATCH($F166,Disponibilidad!$B$6:$B$18,0)),"Hogar"))</f>
        <v/>
      </c>
      <c r="H166" s="76" t="n"/>
      <c r="I166" s="57">
        <f>IF($D166="","",IF($C166="Cobro",N($H166),-N($H166)))</f>
        <v/>
      </c>
      <c r="J166" s="141" t="n"/>
      <c r="K166" s="64">
        <f>IF($B166="","",TEXT($B166,"YYYY-MM"))</f>
        <v/>
      </c>
      <c r="L166" s="145" t="n"/>
      <c r="M166" s="145" t="n"/>
      <c r="N166" s="145" t="n"/>
      <c r="O166" s="145" t="n"/>
      <c r="P166" s="145" t="n"/>
      <c r="Q166" s="145" t="n"/>
      <c r="R166" s="145" t="n"/>
      <c r="S166" s="145" t="n"/>
      <c r="T166" s="145" t="n"/>
      <c r="U166" s="1" t="n"/>
      <c r="V166" s="1" t="n"/>
      <c r="W166" s="1" t="n"/>
      <c r="X166" s="1" t="n"/>
      <c r="Y166" s="1" t="n"/>
      <c r="Z166" s="1" t="n"/>
    </row>
    <row r="167" ht="15" customHeight="1" s="311">
      <c r="A167" s="41">
        <f>IF($D167="","",ROW()-5)</f>
        <v/>
      </c>
      <c r="B167" s="144" t="n"/>
      <c r="C167" s="83" t="n"/>
      <c r="D167" s="146" t="n"/>
      <c r="E167" s="146" t="n"/>
      <c r="F167" s="146" t="n"/>
      <c r="G167" s="164">
        <f t="array" ref="G167">IF($F167="","",IFERROR(INDEX(Disponibilidad!$O$6:$O$18,MATCH($F167,Disponibilidad!$B$6:$B$18,0)),"Hogar"))</f>
        <v/>
      </c>
      <c r="H167" s="76" t="n"/>
      <c r="I167" s="57">
        <f>IF($D167="","",IF($C167="Cobro",N($H167),-N($H167)))</f>
        <v/>
      </c>
      <c r="J167" s="141" t="n"/>
      <c r="K167" s="64">
        <f>IF($B167="","",TEXT($B167,"YYYY-MM"))</f>
        <v/>
      </c>
      <c r="L167" s="145" t="n"/>
      <c r="M167" s="145" t="n"/>
      <c r="N167" s="145" t="n"/>
      <c r="O167" s="145" t="n"/>
      <c r="P167" s="145" t="n"/>
      <c r="Q167" s="145" t="n"/>
      <c r="R167" s="145" t="n"/>
      <c r="S167" s="145" t="n"/>
      <c r="T167" s="145" t="n"/>
      <c r="U167" s="1" t="n"/>
      <c r="V167" s="1" t="n"/>
      <c r="W167" s="1" t="n"/>
      <c r="X167" s="1" t="n"/>
      <c r="Y167" s="1" t="n"/>
      <c r="Z167" s="1" t="n"/>
    </row>
    <row r="168" ht="15" customHeight="1" s="311">
      <c r="A168" s="41">
        <f>IF($D168="","",ROW()-5)</f>
        <v/>
      </c>
      <c r="B168" s="144" t="n"/>
      <c r="C168" s="83" t="n"/>
      <c r="D168" s="146" t="n"/>
      <c r="E168" s="146" t="n"/>
      <c r="F168" s="146" t="n"/>
      <c r="G168" s="164">
        <f t="array" ref="G168">IF($F168="","",IFERROR(INDEX(Disponibilidad!$O$6:$O$18,MATCH($F168,Disponibilidad!$B$6:$B$18,0)),"Hogar"))</f>
        <v/>
      </c>
      <c r="H168" s="76" t="n"/>
      <c r="I168" s="57">
        <f>IF($D168="","",IF($C168="Cobro",N($H168),-N($H168)))</f>
        <v/>
      </c>
      <c r="J168" s="141" t="n"/>
      <c r="K168" s="64">
        <f>IF($B168="","",TEXT($B168,"YYYY-MM"))</f>
        <v/>
      </c>
      <c r="L168" s="145" t="n"/>
      <c r="M168" s="145" t="n"/>
      <c r="N168" s="145" t="n"/>
      <c r="O168" s="145" t="n"/>
      <c r="P168" s="145" t="n"/>
      <c r="Q168" s="145" t="n"/>
      <c r="R168" s="145" t="n"/>
      <c r="S168" s="145" t="n"/>
      <c r="T168" s="145" t="n"/>
      <c r="U168" s="1" t="n"/>
      <c r="V168" s="1" t="n"/>
      <c r="W168" s="1" t="n"/>
      <c r="X168" s="1" t="n"/>
      <c r="Y168" s="1" t="n"/>
      <c r="Z168" s="1" t="n"/>
    </row>
    <row r="169" ht="15" customHeight="1" s="311">
      <c r="A169" s="41">
        <f>IF($D169="","",ROW()-5)</f>
        <v/>
      </c>
      <c r="B169" s="144" t="n"/>
      <c r="C169" s="83" t="n"/>
      <c r="D169" s="146" t="n"/>
      <c r="E169" s="146" t="n"/>
      <c r="F169" s="146" t="n"/>
      <c r="G169" s="164">
        <f t="array" ref="G169">IF($F169="","",IFERROR(INDEX(Disponibilidad!$O$6:$O$18,MATCH($F169,Disponibilidad!$B$6:$B$18,0)),"Hogar"))</f>
        <v/>
      </c>
      <c r="H169" s="76" t="n"/>
      <c r="I169" s="57">
        <f>IF($D169="","",IF($C169="Cobro",N($H169),-N($H169)))</f>
        <v/>
      </c>
      <c r="J169" s="141" t="n"/>
      <c r="K169" s="64">
        <f>IF($B169="","",TEXT($B169,"YYYY-MM"))</f>
        <v/>
      </c>
      <c r="L169" s="145" t="n"/>
      <c r="M169" s="145" t="n"/>
      <c r="N169" s="145" t="n"/>
      <c r="O169" s="145" t="n"/>
      <c r="P169" s="145" t="n"/>
      <c r="Q169" s="145" t="n"/>
      <c r="R169" s="145" t="n"/>
      <c r="S169" s="145" t="n"/>
      <c r="T169" s="145" t="n"/>
      <c r="U169" s="1" t="n"/>
      <c r="V169" s="1" t="n"/>
      <c r="W169" s="1" t="n"/>
      <c r="X169" s="1" t="n"/>
      <c r="Y169" s="1" t="n"/>
      <c r="Z169" s="1" t="n"/>
    </row>
    <row r="170" ht="15" customHeight="1" s="311">
      <c r="A170" s="41">
        <f>IF($D170="","",ROW()-5)</f>
        <v/>
      </c>
      <c r="B170" s="144" t="n"/>
      <c r="C170" s="83" t="n"/>
      <c r="D170" s="146" t="n"/>
      <c r="E170" s="146" t="n"/>
      <c r="F170" s="146" t="n"/>
      <c r="G170" s="164">
        <f t="array" ref="G170">IF($F170="","",IFERROR(INDEX(Disponibilidad!$O$6:$O$18,MATCH($F170,Disponibilidad!$B$6:$B$18,0)),"Hogar"))</f>
        <v/>
      </c>
      <c r="H170" s="76" t="n"/>
      <c r="I170" s="57">
        <f>IF($D170="","",IF($C170="Cobro",N($H170),-N($H170)))</f>
        <v/>
      </c>
      <c r="J170" s="141" t="n"/>
      <c r="K170" s="64">
        <f>IF($B170="","",TEXT($B170,"YYYY-MM"))</f>
        <v/>
      </c>
      <c r="L170" s="145" t="n"/>
      <c r="M170" s="145" t="n"/>
      <c r="N170" s="145" t="n"/>
      <c r="O170" s="145" t="n"/>
      <c r="P170" s="145" t="n"/>
      <c r="Q170" s="145" t="n"/>
      <c r="R170" s="145" t="n"/>
      <c r="S170" s="145" t="n"/>
      <c r="T170" s="145" t="n"/>
      <c r="U170" s="1" t="n"/>
      <c r="V170" s="1" t="n"/>
      <c r="W170" s="1" t="n"/>
      <c r="X170" s="1" t="n"/>
      <c r="Y170" s="1" t="n"/>
      <c r="Z170" s="1" t="n"/>
    </row>
    <row r="171" ht="15" customHeight="1" s="311">
      <c r="A171" s="41">
        <f>IF($D171="","",ROW()-5)</f>
        <v/>
      </c>
      <c r="B171" s="144" t="n"/>
      <c r="C171" s="83" t="n"/>
      <c r="D171" s="146" t="n"/>
      <c r="E171" s="146" t="n"/>
      <c r="F171" s="146" t="n"/>
      <c r="G171" s="164">
        <f t="array" ref="G171">IF($F171="","",IFERROR(INDEX(Disponibilidad!$O$6:$O$18,MATCH($F171,Disponibilidad!$B$6:$B$18,0)),"Hogar"))</f>
        <v/>
      </c>
      <c r="H171" s="76" t="n"/>
      <c r="I171" s="57">
        <f>IF($D171="","",IF($C171="Cobro",N($H171),-N($H171)))</f>
        <v/>
      </c>
      <c r="J171" s="141" t="n"/>
      <c r="K171" s="64">
        <f>IF($B171="","",TEXT($B171,"YYYY-MM"))</f>
        <v/>
      </c>
      <c r="L171" s="145" t="n"/>
      <c r="M171" s="145" t="n"/>
      <c r="N171" s="145" t="n"/>
      <c r="O171" s="145" t="n"/>
      <c r="P171" s="145" t="n"/>
      <c r="Q171" s="145" t="n"/>
      <c r="R171" s="145" t="n"/>
      <c r="S171" s="145" t="n"/>
      <c r="T171" s="145" t="n"/>
      <c r="U171" s="1" t="n"/>
      <c r="V171" s="1" t="n"/>
      <c r="W171" s="1" t="n"/>
      <c r="X171" s="1" t="n"/>
      <c r="Y171" s="1" t="n"/>
      <c r="Z171" s="1" t="n"/>
    </row>
    <row r="172" ht="15" customHeight="1" s="311">
      <c r="A172" s="41">
        <f>IF($D172="","",ROW()-5)</f>
        <v/>
      </c>
      <c r="B172" s="144" t="n"/>
      <c r="C172" s="83" t="n"/>
      <c r="D172" s="146" t="n"/>
      <c r="E172" s="146" t="n"/>
      <c r="F172" s="146" t="n"/>
      <c r="G172" s="164">
        <f t="array" ref="G172">IF($F172="","",IFERROR(INDEX(Disponibilidad!$O$6:$O$18,MATCH($F172,Disponibilidad!$B$6:$B$18,0)),"Hogar"))</f>
        <v/>
      </c>
      <c r="H172" s="76" t="n"/>
      <c r="I172" s="57">
        <f>IF($D172="","",IF($C172="Cobro",N($H172),-N($H172)))</f>
        <v/>
      </c>
      <c r="J172" s="141" t="n"/>
      <c r="K172" s="64">
        <f>IF($B172="","",TEXT($B172,"YYYY-MM"))</f>
        <v/>
      </c>
      <c r="L172" s="145" t="n"/>
      <c r="M172" s="145" t="n"/>
      <c r="N172" s="145" t="n"/>
      <c r="O172" s="145" t="n"/>
      <c r="P172" s="145" t="n"/>
      <c r="Q172" s="145" t="n"/>
      <c r="R172" s="145" t="n"/>
      <c r="S172" s="145" t="n"/>
      <c r="T172" s="145" t="n"/>
      <c r="U172" s="1" t="n"/>
      <c r="V172" s="1" t="n"/>
      <c r="W172" s="1" t="n"/>
      <c r="X172" s="1" t="n"/>
      <c r="Y172" s="1" t="n"/>
      <c r="Z172" s="1" t="n"/>
    </row>
    <row r="173" ht="15" customHeight="1" s="311">
      <c r="A173" s="41">
        <f>IF($D173="","",ROW()-5)</f>
        <v/>
      </c>
      <c r="B173" s="144" t="n"/>
      <c r="C173" s="83" t="n"/>
      <c r="D173" s="146" t="n"/>
      <c r="E173" s="146" t="n"/>
      <c r="F173" s="146" t="n"/>
      <c r="G173" s="164">
        <f t="array" ref="G173">IF($F173="","",IFERROR(INDEX(Disponibilidad!$O$6:$O$18,MATCH($F173,Disponibilidad!$B$6:$B$18,0)),"Hogar"))</f>
        <v/>
      </c>
      <c r="H173" s="76" t="n"/>
      <c r="I173" s="57">
        <f>IF($D173="","",IF($C173="Cobro",N($H173),-N($H173)))</f>
        <v/>
      </c>
      <c r="J173" s="141" t="n"/>
      <c r="K173" s="64">
        <f>IF($B173="","",TEXT($B173,"YYYY-MM"))</f>
        <v/>
      </c>
      <c r="L173" s="145" t="n"/>
      <c r="M173" s="145" t="n"/>
      <c r="N173" s="145" t="n"/>
      <c r="O173" s="145" t="n"/>
      <c r="P173" s="145" t="n"/>
      <c r="Q173" s="145" t="n"/>
      <c r="R173" s="145" t="n"/>
      <c r="S173" s="145" t="n"/>
      <c r="T173" s="145" t="n"/>
      <c r="U173" s="1" t="n"/>
      <c r="V173" s="1" t="n"/>
      <c r="W173" s="1" t="n"/>
      <c r="X173" s="1" t="n"/>
      <c r="Y173" s="1" t="n"/>
      <c r="Z173" s="1" t="n"/>
    </row>
    <row r="174" ht="15" customHeight="1" s="311">
      <c r="A174" s="41">
        <f>IF($D174="","",ROW()-5)</f>
        <v/>
      </c>
      <c r="B174" s="144" t="n"/>
      <c r="C174" s="83" t="n"/>
      <c r="D174" s="146" t="n"/>
      <c r="E174" s="146" t="n"/>
      <c r="F174" s="146" t="n"/>
      <c r="G174" s="164">
        <f t="array" ref="G174">IF($F174="","",IFERROR(INDEX(Disponibilidad!$O$6:$O$18,MATCH($F174,Disponibilidad!$B$6:$B$18,0)),"Hogar"))</f>
        <v/>
      </c>
      <c r="H174" s="76" t="n"/>
      <c r="I174" s="57">
        <f>IF($D174="","",IF($C174="Cobro",N($H174),-N($H174)))</f>
        <v/>
      </c>
      <c r="J174" s="141" t="n"/>
      <c r="K174" s="64">
        <f>IF($B174="","",TEXT($B174,"YYYY-MM"))</f>
        <v/>
      </c>
      <c r="L174" s="145" t="n"/>
      <c r="M174" s="145" t="n"/>
      <c r="N174" s="145" t="n"/>
      <c r="O174" s="145" t="n"/>
      <c r="P174" s="145" t="n"/>
      <c r="Q174" s="145" t="n"/>
      <c r="R174" s="145" t="n"/>
      <c r="S174" s="145" t="n"/>
      <c r="T174" s="145" t="n"/>
      <c r="U174" s="1" t="n"/>
      <c r="V174" s="1" t="n"/>
      <c r="W174" s="1" t="n"/>
      <c r="X174" s="1" t="n"/>
      <c r="Y174" s="1" t="n"/>
      <c r="Z174" s="1" t="n"/>
    </row>
    <row r="175" ht="15" customHeight="1" s="311">
      <c r="A175" s="41">
        <f>IF($D175="","",ROW()-5)</f>
        <v/>
      </c>
      <c r="B175" s="144" t="n"/>
      <c r="C175" s="83" t="n"/>
      <c r="D175" s="146" t="n"/>
      <c r="E175" s="146" t="n"/>
      <c r="F175" s="146" t="n"/>
      <c r="G175" s="164">
        <f t="array" ref="G175">IF($F175="","",IFERROR(INDEX(Disponibilidad!$O$6:$O$18,MATCH($F175,Disponibilidad!$B$6:$B$18,0)),"Hogar"))</f>
        <v/>
      </c>
      <c r="H175" s="76" t="n"/>
      <c r="I175" s="57">
        <f>IF($D175="","",IF($C175="Cobro",N($H175),-N($H175)))</f>
        <v/>
      </c>
      <c r="J175" s="141" t="n"/>
      <c r="K175" s="64">
        <f>IF($B175="","",TEXT($B175,"YYYY-MM"))</f>
        <v/>
      </c>
      <c r="L175" s="145" t="n"/>
      <c r="M175" s="145" t="n"/>
      <c r="N175" s="145" t="n"/>
      <c r="O175" s="145" t="n"/>
      <c r="P175" s="145" t="n"/>
      <c r="Q175" s="145" t="n"/>
      <c r="R175" s="145" t="n"/>
      <c r="S175" s="145" t="n"/>
      <c r="T175" s="145" t="n"/>
      <c r="U175" s="1" t="n"/>
      <c r="V175" s="1" t="n"/>
      <c r="W175" s="1" t="n"/>
      <c r="X175" s="1" t="n"/>
      <c r="Y175" s="1" t="n"/>
      <c r="Z175" s="1" t="n"/>
    </row>
    <row r="176" ht="15" customHeight="1" s="311">
      <c r="A176" s="41">
        <f>IF($D176="","",ROW()-5)</f>
        <v/>
      </c>
      <c r="B176" s="144" t="n"/>
      <c r="C176" s="83" t="n"/>
      <c r="D176" s="146" t="n"/>
      <c r="E176" s="146" t="n"/>
      <c r="F176" s="146" t="n"/>
      <c r="G176" s="164">
        <f t="array" ref="G176">IF($F176="","",IFERROR(INDEX(Disponibilidad!$O$6:$O$18,MATCH($F176,Disponibilidad!$B$6:$B$18,0)),"Hogar"))</f>
        <v/>
      </c>
      <c r="H176" s="76" t="n"/>
      <c r="I176" s="57">
        <f>IF($D176="","",IF($C176="Cobro",N($H176),-N($H176)))</f>
        <v/>
      </c>
      <c r="J176" s="141" t="n"/>
      <c r="K176" s="64">
        <f>IF($B176="","",TEXT($B176,"YYYY-MM"))</f>
        <v/>
      </c>
      <c r="L176" s="145" t="n"/>
      <c r="M176" s="145" t="n"/>
      <c r="N176" s="145" t="n"/>
      <c r="O176" s="145" t="n"/>
      <c r="P176" s="145" t="n"/>
      <c r="Q176" s="145" t="n"/>
      <c r="R176" s="145" t="n"/>
      <c r="S176" s="145" t="n"/>
      <c r="T176" s="145" t="n"/>
      <c r="U176" s="1" t="n"/>
      <c r="V176" s="1" t="n"/>
      <c r="W176" s="1" t="n"/>
      <c r="X176" s="1" t="n"/>
      <c r="Y176" s="1" t="n"/>
      <c r="Z176" s="1" t="n"/>
    </row>
    <row r="177" ht="15" customHeight="1" s="311">
      <c r="A177" s="41">
        <f>IF($D177="","",ROW()-5)</f>
        <v/>
      </c>
      <c r="B177" s="144" t="n"/>
      <c r="C177" s="83" t="n"/>
      <c r="D177" s="146" t="n"/>
      <c r="E177" s="146" t="n"/>
      <c r="F177" s="146" t="n"/>
      <c r="G177" s="164">
        <f t="array" ref="G177">IF($F177="","",IFERROR(INDEX(Disponibilidad!$O$6:$O$18,MATCH($F177,Disponibilidad!$B$6:$B$18,0)),"Hogar"))</f>
        <v/>
      </c>
      <c r="H177" s="76" t="n"/>
      <c r="I177" s="57">
        <f>IF($D177="","",IF($C177="Cobro",N($H177),-N($H177)))</f>
        <v/>
      </c>
      <c r="J177" s="141" t="n"/>
      <c r="K177" s="64">
        <f>IF($B177="","",TEXT($B177,"YYYY-MM"))</f>
        <v/>
      </c>
      <c r="L177" s="145" t="n"/>
      <c r="M177" s="145" t="n"/>
      <c r="N177" s="145" t="n"/>
      <c r="O177" s="145" t="n"/>
      <c r="P177" s="145" t="n"/>
      <c r="Q177" s="145" t="n"/>
      <c r="R177" s="145" t="n"/>
      <c r="S177" s="145" t="n"/>
      <c r="T177" s="145" t="n"/>
      <c r="U177" s="1" t="n"/>
      <c r="V177" s="1" t="n"/>
      <c r="W177" s="1" t="n"/>
      <c r="X177" s="1" t="n"/>
      <c r="Y177" s="1" t="n"/>
      <c r="Z177" s="1" t="n"/>
    </row>
    <row r="178" ht="15" customHeight="1" s="311">
      <c r="A178" s="41">
        <f>IF($D178="","",ROW()-5)</f>
        <v/>
      </c>
      <c r="B178" s="144" t="n"/>
      <c r="C178" s="83" t="n"/>
      <c r="D178" s="146" t="n"/>
      <c r="E178" s="146" t="n"/>
      <c r="F178" s="146" t="n"/>
      <c r="G178" s="164">
        <f t="array" ref="G178">IF($F178="","",IFERROR(INDEX(Disponibilidad!$O$6:$O$18,MATCH($F178,Disponibilidad!$B$6:$B$18,0)),"Hogar"))</f>
        <v/>
      </c>
      <c r="H178" s="76" t="n"/>
      <c r="I178" s="57">
        <f>IF($D178="","",IF($C178="Cobro",N($H178),-N($H178)))</f>
        <v/>
      </c>
      <c r="J178" s="141" t="n"/>
      <c r="K178" s="64">
        <f>IF($B178="","",TEXT($B178,"YYYY-MM"))</f>
        <v/>
      </c>
      <c r="L178" s="145" t="n"/>
      <c r="M178" s="145" t="n"/>
      <c r="N178" s="145" t="n"/>
      <c r="O178" s="145" t="n"/>
      <c r="P178" s="145" t="n"/>
      <c r="Q178" s="145" t="n"/>
      <c r="R178" s="145" t="n"/>
      <c r="S178" s="145" t="n"/>
      <c r="T178" s="145" t="n"/>
      <c r="U178" s="1" t="n"/>
      <c r="V178" s="1" t="n"/>
      <c r="W178" s="1" t="n"/>
      <c r="X178" s="1" t="n"/>
      <c r="Y178" s="1" t="n"/>
      <c r="Z178" s="1" t="n"/>
    </row>
    <row r="179" ht="15" customHeight="1" s="311">
      <c r="A179" s="41">
        <f>IF($D179="","",ROW()-5)</f>
        <v/>
      </c>
      <c r="B179" s="144" t="n"/>
      <c r="C179" s="83" t="n"/>
      <c r="D179" s="146" t="n"/>
      <c r="E179" s="146" t="n"/>
      <c r="F179" s="146" t="n"/>
      <c r="G179" s="164">
        <f t="array" ref="G179">IF($F179="","",IFERROR(INDEX(Disponibilidad!$O$6:$O$18,MATCH($F179,Disponibilidad!$B$6:$B$18,0)),"Hogar"))</f>
        <v/>
      </c>
      <c r="H179" s="76" t="n"/>
      <c r="I179" s="57">
        <f>IF($D179="","",IF($C179="Cobro",N($H179),-N($H179)))</f>
        <v/>
      </c>
      <c r="J179" s="141" t="n"/>
      <c r="K179" s="64">
        <f>IF($B179="","",TEXT($B179,"YYYY-MM"))</f>
        <v/>
      </c>
      <c r="L179" s="145" t="n"/>
      <c r="M179" s="145" t="n"/>
      <c r="N179" s="145" t="n"/>
      <c r="O179" s="145" t="n"/>
      <c r="P179" s="145" t="n"/>
      <c r="Q179" s="145" t="n"/>
      <c r="R179" s="145" t="n"/>
      <c r="S179" s="145" t="n"/>
      <c r="T179" s="145" t="n"/>
      <c r="U179" s="1" t="n"/>
      <c r="V179" s="1" t="n"/>
      <c r="W179" s="1" t="n"/>
      <c r="X179" s="1" t="n"/>
      <c r="Y179" s="1" t="n"/>
      <c r="Z179" s="1" t="n"/>
    </row>
    <row r="180" ht="15" customHeight="1" s="311">
      <c r="A180" s="41">
        <f>IF($D180="","",ROW()-5)</f>
        <v/>
      </c>
      <c r="B180" s="144" t="n"/>
      <c r="C180" s="83" t="n"/>
      <c r="D180" s="146" t="n"/>
      <c r="E180" s="146" t="n"/>
      <c r="F180" s="146" t="n"/>
      <c r="G180" s="164">
        <f t="array" ref="G180">IF($F180="","",IFERROR(INDEX(Disponibilidad!$O$6:$O$18,MATCH($F180,Disponibilidad!$B$6:$B$18,0)),"Hogar"))</f>
        <v/>
      </c>
      <c r="H180" s="76" t="n"/>
      <c r="I180" s="57">
        <f>IF($D180="","",IF($C180="Cobro",N($H180),-N($H180)))</f>
        <v/>
      </c>
      <c r="J180" s="141" t="n"/>
      <c r="K180" s="64">
        <f>IF($B180="","",TEXT($B180,"YYYY-MM"))</f>
        <v/>
      </c>
      <c r="L180" s="145" t="n"/>
      <c r="M180" s="145" t="n"/>
      <c r="N180" s="145" t="n"/>
      <c r="O180" s="145" t="n"/>
      <c r="P180" s="145" t="n"/>
      <c r="Q180" s="145" t="n"/>
      <c r="R180" s="145" t="n"/>
      <c r="S180" s="145" t="n"/>
      <c r="T180" s="145" t="n"/>
      <c r="U180" s="1" t="n"/>
      <c r="V180" s="1" t="n"/>
      <c r="W180" s="1" t="n"/>
      <c r="X180" s="1" t="n"/>
      <c r="Y180" s="1" t="n"/>
      <c r="Z180" s="1" t="n"/>
    </row>
    <row r="181" ht="15" customHeight="1" s="311">
      <c r="A181" s="41">
        <f>IF($D181="","",ROW()-5)</f>
        <v/>
      </c>
      <c r="B181" s="144" t="n"/>
      <c r="C181" s="83" t="n"/>
      <c r="D181" s="146" t="n"/>
      <c r="E181" s="146" t="n"/>
      <c r="F181" s="146" t="n"/>
      <c r="G181" s="164">
        <f t="array" ref="G181">IF($F181="","",IFERROR(INDEX(Disponibilidad!$O$6:$O$18,MATCH($F181,Disponibilidad!$B$6:$B$18,0)),"Hogar"))</f>
        <v/>
      </c>
      <c r="H181" s="76" t="n"/>
      <c r="I181" s="57">
        <f>IF($D181="","",IF($C181="Cobro",N($H181),-N($H181)))</f>
        <v/>
      </c>
      <c r="J181" s="141" t="n"/>
      <c r="K181" s="64">
        <f>IF($B181="","",TEXT($B181,"YYYY-MM"))</f>
        <v/>
      </c>
      <c r="L181" s="145" t="n"/>
      <c r="M181" s="145" t="n"/>
      <c r="N181" s="145" t="n"/>
      <c r="O181" s="145" t="n"/>
      <c r="P181" s="145" t="n"/>
      <c r="Q181" s="145" t="n"/>
      <c r="R181" s="145" t="n"/>
      <c r="S181" s="145" t="n"/>
      <c r="T181" s="145" t="n"/>
      <c r="U181" s="1" t="n"/>
      <c r="V181" s="1" t="n"/>
      <c r="W181" s="1" t="n"/>
      <c r="X181" s="1" t="n"/>
      <c r="Y181" s="1" t="n"/>
      <c r="Z181" s="1" t="n"/>
    </row>
    <row r="182" ht="15" customHeight="1" s="311">
      <c r="A182" s="41">
        <f>IF($D182="","",ROW()-5)</f>
        <v/>
      </c>
      <c r="B182" s="144" t="n"/>
      <c r="C182" s="83" t="n"/>
      <c r="D182" s="146" t="n"/>
      <c r="E182" s="146" t="n"/>
      <c r="F182" s="146" t="n"/>
      <c r="G182" s="164">
        <f t="array" ref="G182">IF($F182="","",IFERROR(INDEX(Disponibilidad!$O$6:$O$18,MATCH($F182,Disponibilidad!$B$6:$B$18,0)),"Hogar"))</f>
        <v/>
      </c>
      <c r="H182" s="76" t="n"/>
      <c r="I182" s="57">
        <f>IF($D182="","",IF($C182="Cobro",N($H182),-N($H182)))</f>
        <v/>
      </c>
      <c r="J182" s="141" t="n"/>
      <c r="K182" s="64">
        <f>IF($B182="","",TEXT($B182,"YYYY-MM"))</f>
        <v/>
      </c>
      <c r="L182" s="145" t="n"/>
      <c r="M182" s="145" t="n"/>
      <c r="N182" s="145" t="n"/>
      <c r="O182" s="145" t="n"/>
      <c r="P182" s="145" t="n"/>
      <c r="Q182" s="145" t="n"/>
      <c r="R182" s="145" t="n"/>
      <c r="S182" s="145" t="n"/>
      <c r="T182" s="145" t="n"/>
      <c r="U182" s="1" t="n"/>
      <c r="V182" s="1" t="n"/>
      <c r="W182" s="1" t="n"/>
      <c r="X182" s="1" t="n"/>
      <c r="Y182" s="1" t="n"/>
      <c r="Z182" s="1" t="n"/>
    </row>
    <row r="183" ht="15" customHeight="1" s="311">
      <c r="A183" s="41">
        <f>IF($D183="","",ROW()-5)</f>
        <v/>
      </c>
      <c r="B183" s="144" t="n"/>
      <c r="C183" s="83" t="n"/>
      <c r="D183" s="146" t="n"/>
      <c r="E183" s="146" t="n"/>
      <c r="F183" s="146" t="n"/>
      <c r="G183" s="164">
        <f t="array" ref="G183">IF($F183="","",IFERROR(INDEX(Disponibilidad!$O$6:$O$18,MATCH($F183,Disponibilidad!$B$6:$B$18,0)),"Hogar"))</f>
        <v/>
      </c>
      <c r="H183" s="76" t="n"/>
      <c r="I183" s="57">
        <f>IF($D183="","",IF($C183="Cobro",N($H183),-N($H183)))</f>
        <v/>
      </c>
      <c r="J183" s="141" t="n"/>
      <c r="K183" s="64">
        <f>IF($B183="","",TEXT($B183,"YYYY-MM"))</f>
        <v/>
      </c>
      <c r="L183" s="145" t="n"/>
      <c r="M183" s="145" t="n"/>
      <c r="N183" s="145" t="n"/>
      <c r="O183" s="145" t="n"/>
      <c r="P183" s="145" t="n"/>
      <c r="Q183" s="145" t="n"/>
      <c r="R183" s="145" t="n"/>
      <c r="S183" s="145" t="n"/>
      <c r="T183" s="145" t="n"/>
      <c r="U183" s="1" t="n"/>
      <c r="V183" s="1" t="n"/>
      <c r="W183" s="1" t="n"/>
      <c r="X183" s="1" t="n"/>
      <c r="Y183" s="1" t="n"/>
      <c r="Z183" s="1" t="n"/>
    </row>
    <row r="184" ht="15" customHeight="1" s="311">
      <c r="A184" s="41">
        <f>IF($D184="","",ROW()-5)</f>
        <v/>
      </c>
      <c r="B184" s="144" t="n"/>
      <c r="C184" s="83" t="n"/>
      <c r="D184" s="146" t="n"/>
      <c r="E184" s="146" t="n"/>
      <c r="F184" s="146" t="n"/>
      <c r="G184" s="164">
        <f t="array" ref="G184">IF($F184="","",IFERROR(INDEX(Disponibilidad!$O$6:$O$18,MATCH($F184,Disponibilidad!$B$6:$B$18,0)),"Hogar"))</f>
        <v/>
      </c>
      <c r="H184" s="76" t="n"/>
      <c r="I184" s="57">
        <f>IF($D184="","",IF($C184="Cobro",N($H184),-N($H184)))</f>
        <v/>
      </c>
      <c r="J184" s="141" t="n"/>
      <c r="K184" s="64">
        <f>IF($B184="","",TEXT($B184,"YYYY-MM"))</f>
        <v/>
      </c>
      <c r="L184" s="145" t="n"/>
      <c r="M184" s="145" t="n"/>
      <c r="N184" s="145" t="n"/>
      <c r="O184" s="145" t="n"/>
      <c r="P184" s="145" t="n"/>
      <c r="Q184" s="145" t="n"/>
      <c r="R184" s="145" t="n"/>
      <c r="S184" s="145" t="n"/>
      <c r="T184" s="145" t="n"/>
      <c r="U184" s="1" t="n"/>
      <c r="V184" s="1" t="n"/>
      <c r="W184" s="1" t="n"/>
      <c r="X184" s="1" t="n"/>
      <c r="Y184" s="1" t="n"/>
      <c r="Z184" s="1" t="n"/>
    </row>
    <row r="185" ht="15" customHeight="1" s="311">
      <c r="A185" s="41">
        <f>IF($D185="","",ROW()-5)</f>
        <v/>
      </c>
      <c r="B185" s="144" t="n"/>
      <c r="C185" s="83" t="n"/>
      <c r="D185" s="146" t="n"/>
      <c r="E185" s="146" t="n"/>
      <c r="F185" s="146" t="n"/>
      <c r="G185" s="164">
        <f t="array" ref="G185">IF($F185="","",IFERROR(INDEX(Disponibilidad!$O$6:$O$18,MATCH($F185,Disponibilidad!$B$6:$B$18,0)),"Hogar"))</f>
        <v/>
      </c>
      <c r="H185" s="76" t="n"/>
      <c r="I185" s="57">
        <f>IF($D185="","",IF($C185="Cobro",N($H185),-N($H185)))</f>
        <v/>
      </c>
      <c r="J185" s="141" t="n"/>
      <c r="K185" s="64">
        <f>IF($B185="","",TEXT($B185,"YYYY-MM"))</f>
        <v/>
      </c>
      <c r="L185" s="145" t="n"/>
      <c r="M185" s="145" t="n"/>
      <c r="N185" s="145" t="n"/>
      <c r="O185" s="145" t="n"/>
      <c r="P185" s="145" t="n"/>
      <c r="Q185" s="145" t="n"/>
      <c r="R185" s="145" t="n"/>
      <c r="S185" s="145" t="n"/>
      <c r="T185" s="145" t="n"/>
      <c r="U185" s="1" t="n"/>
      <c r="V185" s="1" t="n"/>
      <c r="W185" s="1" t="n"/>
      <c r="X185" s="1" t="n"/>
      <c r="Y185" s="1" t="n"/>
      <c r="Z185" s="1" t="n"/>
    </row>
    <row r="186" ht="15" customHeight="1" s="311">
      <c r="A186" s="41">
        <f>IF($D186="","",ROW()-5)</f>
        <v/>
      </c>
      <c r="B186" s="144" t="n"/>
      <c r="C186" s="83" t="n"/>
      <c r="D186" s="146" t="n"/>
      <c r="E186" s="146" t="n"/>
      <c r="F186" s="146" t="n"/>
      <c r="G186" s="164">
        <f t="array" ref="G186">IF($F186="","",IFERROR(INDEX(Disponibilidad!$O$6:$O$18,MATCH($F186,Disponibilidad!$B$6:$B$18,0)),"Hogar"))</f>
        <v/>
      </c>
      <c r="H186" s="76" t="n"/>
      <c r="I186" s="57">
        <f>IF($D186="","",IF($C186="Cobro",N($H186),-N($H186)))</f>
        <v/>
      </c>
      <c r="J186" s="141" t="n"/>
      <c r="K186" s="64">
        <f>IF($B186="","",TEXT($B186,"YYYY-MM"))</f>
        <v/>
      </c>
      <c r="L186" s="145" t="n"/>
      <c r="M186" s="145" t="n"/>
      <c r="N186" s="145" t="n"/>
      <c r="O186" s="145" t="n"/>
      <c r="P186" s="145" t="n"/>
      <c r="Q186" s="145" t="n"/>
      <c r="R186" s="145" t="n"/>
      <c r="S186" s="145" t="n"/>
      <c r="T186" s="145" t="n"/>
      <c r="U186" s="1" t="n"/>
      <c r="V186" s="1" t="n"/>
      <c r="W186" s="1" t="n"/>
      <c r="X186" s="1" t="n"/>
      <c r="Y186" s="1" t="n"/>
      <c r="Z186" s="1" t="n"/>
    </row>
    <row r="187" ht="15" customHeight="1" s="311">
      <c r="A187" s="41">
        <f>IF($D187="","",ROW()-5)</f>
        <v/>
      </c>
      <c r="B187" s="144" t="n"/>
      <c r="C187" s="83" t="n"/>
      <c r="D187" s="146" t="n"/>
      <c r="E187" s="146" t="n"/>
      <c r="F187" s="146" t="n"/>
      <c r="G187" s="164">
        <f t="array" ref="G187">IF($F187="","",IFERROR(INDEX(Disponibilidad!$O$6:$O$18,MATCH($F187,Disponibilidad!$B$6:$B$18,0)),"Hogar"))</f>
        <v/>
      </c>
      <c r="H187" s="76" t="n"/>
      <c r="I187" s="57">
        <f>IF($D187="","",IF($C187="Cobro",N($H187),-N($H187)))</f>
        <v/>
      </c>
      <c r="J187" s="141" t="n"/>
      <c r="K187" s="64">
        <f>IF($B187="","",TEXT($B187,"YYYY-MM"))</f>
        <v/>
      </c>
      <c r="L187" s="145" t="n"/>
      <c r="M187" s="145" t="n"/>
      <c r="N187" s="145" t="n"/>
      <c r="O187" s="145" t="n"/>
      <c r="P187" s="145" t="n"/>
      <c r="Q187" s="145" t="n"/>
      <c r="R187" s="145" t="n"/>
      <c r="S187" s="145" t="n"/>
      <c r="T187" s="145" t="n"/>
      <c r="U187" s="1" t="n"/>
      <c r="V187" s="1" t="n"/>
      <c r="W187" s="1" t="n"/>
      <c r="X187" s="1" t="n"/>
      <c r="Y187" s="1" t="n"/>
      <c r="Z187" s="1" t="n"/>
    </row>
    <row r="188" ht="15" customHeight="1" s="311">
      <c r="A188" s="41">
        <f>IF($D188="","",ROW()-5)</f>
        <v/>
      </c>
      <c r="B188" s="144" t="n"/>
      <c r="C188" s="83" t="n"/>
      <c r="D188" s="146" t="n"/>
      <c r="E188" s="146" t="n"/>
      <c r="F188" s="146" t="n"/>
      <c r="G188" s="164">
        <f t="array" ref="G188">IF($F188="","",IFERROR(INDEX(Disponibilidad!$O$6:$O$18,MATCH($F188,Disponibilidad!$B$6:$B$18,0)),"Hogar"))</f>
        <v/>
      </c>
      <c r="H188" s="76" t="n"/>
      <c r="I188" s="57">
        <f>IF($D188="","",IF($C188="Cobro",N($H188),-N($H188)))</f>
        <v/>
      </c>
      <c r="J188" s="141" t="n"/>
      <c r="K188" s="64">
        <f>IF($B188="","",TEXT($B188,"YYYY-MM"))</f>
        <v/>
      </c>
      <c r="L188" s="145" t="n"/>
      <c r="M188" s="145" t="n"/>
      <c r="N188" s="145" t="n"/>
      <c r="O188" s="145" t="n"/>
      <c r="P188" s="145" t="n"/>
      <c r="Q188" s="145" t="n"/>
      <c r="R188" s="145" t="n"/>
      <c r="S188" s="145" t="n"/>
      <c r="T188" s="145" t="n"/>
      <c r="U188" s="1" t="n"/>
      <c r="V188" s="1" t="n"/>
      <c r="W188" s="1" t="n"/>
      <c r="X188" s="1" t="n"/>
      <c r="Y188" s="1" t="n"/>
      <c r="Z188" s="1" t="n"/>
    </row>
    <row r="189" ht="15" customHeight="1" s="311">
      <c r="A189" s="41">
        <f>IF($D189="","",ROW()-5)</f>
        <v/>
      </c>
      <c r="B189" s="144" t="n"/>
      <c r="C189" s="83" t="n"/>
      <c r="D189" s="146" t="n"/>
      <c r="E189" s="146" t="n"/>
      <c r="F189" s="146" t="n"/>
      <c r="G189" s="164">
        <f t="array" ref="G189">IF($F189="","",IFERROR(INDEX(Disponibilidad!$O$6:$O$18,MATCH($F189,Disponibilidad!$B$6:$B$18,0)),"Hogar"))</f>
        <v/>
      </c>
      <c r="H189" s="76" t="n"/>
      <c r="I189" s="57">
        <f>IF($D189="","",IF($C189="Cobro",N($H189),-N($H189)))</f>
        <v/>
      </c>
      <c r="J189" s="141" t="n"/>
      <c r="K189" s="64">
        <f>IF($B189="","",TEXT($B189,"YYYY-MM"))</f>
        <v/>
      </c>
      <c r="L189" s="145" t="n"/>
      <c r="M189" s="145" t="n"/>
      <c r="N189" s="145" t="n"/>
      <c r="O189" s="145" t="n"/>
      <c r="P189" s="145" t="n"/>
      <c r="Q189" s="145" t="n"/>
      <c r="R189" s="145" t="n"/>
      <c r="S189" s="145" t="n"/>
      <c r="T189" s="145" t="n"/>
      <c r="U189" s="1" t="n"/>
      <c r="V189" s="1" t="n"/>
      <c r="W189" s="1" t="n"/>
      <c r="X189" s="1" t="n"/>
      <c r="Y189" s="1" t="n"/>
      <c r="Z189" s="1" t="n"/>
    </row>
    <row r="190" ht="15" customHeight="1" s="311">
      <c r="A190" s="41">
        <f>IF($D190="","",ROW()-5)</f>
        <v/>
      </c>
      <c r="B190" s="144" t="n"/>
      <c r="C190" s="83" t="n"/>
      <c r="D190" s="146" t="n"/>
      <c r="E190" s="146" t="n"/>
      <c r="F190" s="146" t="n"/>
      <c r="G190" s="164">
        <f t="array" ref="G190">IF($F190="","",IFERROR(INDEX(Disponibilidad!$O$6:$O$18,MATCH($F190,Disponibilidad!$B$6:$B$18,0)),"Hogar"))</f>
        <v/>
      </c>
      <c r="H190" s="76" t="n"/>
      <c r="I190" s="57">
        <f>IF($D190="","",IF($C190="Cobro",N($H190),-N($H190)))</f>
        <v/>
      </c>
      <c r="J190" s="141" t="n"/>
      <c r="K190" s="64">
        <f>IF($B190="","",TEXT($B190,"YYYY-MM"))</f>
        <v/>
      </c>
      <c r="L190" s="145" t="n"/>
      <c r="M190" s="145" t="n"/>
      <c r="N190" s="145" t="n"/>
      <c r="O190" s="145" t="n"/>
      <c r="P190" s="145" t="n"/>
      <c r="Q190" s="145" t="n"/>
      <c r="R190" s="145" t="n"/>
      <c r="S190" s="145" t="n"/>
      <c r="T190" s="145" t="n"/>
      <c r="U190" s="1" t="n"/>
      <c r="V190" s="1" t="n"/>
      <c r="W190" s="1" t="n"/>
      <c r="X190" s="1" t="n"/>
      <c r="Y190" s="1" t="n"/>
      <c r="Z190" s="1" t="n"/>
    </row>
    <row r="191" ht="15" customHeight="1" s="311">
      <c r="A191" s="41">
        <f>IF($D191="","",ROW()-5)</f>
        <v/>
      </c>
      <c r="B191" s="144" t="n"/>
      <c r="C191" s="83" t="n"/>
      <c r="D191" s="146" t="n"/>
      <c r="E191" s="146" t="n"/>
      <c r="F191" s="146" t="n"/>
      <c r="G191" s="164">
        <f t="array" ref="G191">IF($F191="","",IFERROR(INDEX(Disponibilidad!$O$6:$O$18,MATCH($F191,Disponibilidad!$B$6:$B$18,0)),"Hogar"))</f>
        <v/>
      </c>
      <c r="H191" s="76" t="n"/>
      <c r="I191" s="57">
        <f>IF($D191="","",IF($C191="Cobro",N($H191),-N($H191)))</f>
        <v/>
      </c>
      <c r="J191" s="141" t="n"/>
      <c r="K191" s="64">
        <f>IF($B191="","",TEXT($B191,"YYYY-MM"))</f>
        <v/>
      </c>
      <c r="L191" s="145" t="n"/>
      <c r="M191" s="145" t="n"/>
      <c r="N191" s="145" t="n"/>
      <c r="O191" s="145" t="n"/>
      <c r="P191" s="145" t="n"/>
      <c r="Q191" s="145" t="n"/>
      <c r="R191" s="145" t="n"/>
      <c r="S191" s="145" t="n"/>
      <c r="T191" s="145" t="n"/>
      <c r="U191" s="1" t="n"/>
      <c r="V191" s="1" t="n"/>
      <c r="W191" s="1" t="n"/>
      <c r="X191" s="1" t="n"/>
      <c r="Y191" s="1" t="n"/>
      <c r="Z191" s="1" t="n"/>
    </row>
    <row r="192" ht="15" customHeight="1" s="311">
      <c r="A192" s="41">
        <f>IF($D192="","",ROW()-5)</f>
        <v/>
      </c>
      <c r="B192" s="144" t="n"/>
      <c r="C192" s="83" t="n"/>
      <c r="D192" s="146" t="n"/>
      <c r="E192" s="146" t="n"/>
      <c r="F192" s="146" t="n"/>
      <c r="G192" s="164">
        <f t="array" ref="G192">IF($F192="","",IFERROR(INDEX(Disponibilidad!$O$6:$O$18,MATCH($F192,Disponibilidad!$B$6:$B$18,0)),"Hogar"))</f>
        <v/>
      </c>
      <c r="H192" s="76" t="n"/>
      <c r="I192" s="57">
        <f>IF($D192="","",IF($C192="Cobro",N($H192),-N($H192)))</f>
        <v/>
      </c>
      <c r="J192" s="141" t="n"/>
      <c r="K192" s="64">
        <f>IF($B192="","",TEXT($B192,"YYYY-MM"))</f>
        <v/>
      </c>
      <c r="L192" s="145" t="n"/>
      <c r="M192" s="145" t="n"/>
      <c r="N192" s="145" t="n"/>
      <c r="O192" s="145" t="n"/>
      <c r="P192" s="145" t="n"/>
      <c r="Q192" s="145" t="n"/>
      <c r="R192" s="145" t="n"/>
      <c r="S192" s="145" t="n"/>
      <c r="T192" s="145" t="n"/>
      <c r="U192" s="1" t="n"/>
      <c r="V192" s="1" t="n"/>
      <c r="W192" s="1" t="n"/>
      <c r="X192" s="1" t="n"/>
      <c r="Y192" s="1" t="n"/>
      <c r="Z192" s="1" t="n"/>
    </row>
    <row r="193" ht="15" customHeight="1" s="311">
      <c r="A193" s="41">
        <f>IF($D193="","",ROW()-5)</f>
        <v/>
      </c>
      <c r="B193" s="144" t="n"/>
      <c r="C193" s="83" t="n"/>
      <c r="D193" s="146" t="n"/>
      <c r="E193" s="146" t="n"/>
      <c r="F193" s="146" t="n"/>
      <c r="G193" s="164">
        <f t="array" ref="G193">IF($F193="","",IFERROR(INDEX(Disponibilidad!$O$6:$O$18,MATCH($F193,Disponibilidad!$B$6:$B$18,0)),"Hogar"))</f>
        <v/>
      </c>
      <c r="H193" s="76" t="n"/>
      <c r="I193" s="57">
        <f>IF($D193="","",IF($C193="Cobro",N($H193),-N($H193)))</f>
        <v/>
      </c>
      <c r="J193" s="141" t="n"/>
      <c r="K193" s="64">
        <f>IF($B193="","",TEXT($B193,"YYYY-MM"))</f>
        <v/>
      </c>
      <c r="L193" s="145" t="n"/>
      <c r="M193" s="145" t="n"/>
      <c r="N193" s="145" t="n"/>
      <c r="O193" s="145" t="n"/>
      <c r="P193" s="145" t="n"/>
      <c r="Q193" s="145" t="n"/>
      <c r="R193" s="145" t="n"/>
      <c r="S193" s="145" t="n"/>
      <c r="T193" s="145" t="n"/>
      <c r="U193" s="1" t="n"/>
      <c r="V193" s="1" t="n"/>
      <c r="W193" s="1" t="n"/>
      <c r="X193" s="1" t="n"/>
      <c r="Y193" s="1" t="n"/>
      <c r="Z193" s="1" t="n"/>
    </row>
    <row r="194" ht="15" customHeight="1" s="311">
      <c r="A194" s="41">
        <f>IF($D194="","",ROW()-5)</f>
        <v/>
      </c>
      <c r="B194" s="144" t="n"/>
      <c r="C194" s="83" t="n"/>
      <c r="D194" s="146" t="n"/>
      <c r="E194" s="146" t="n"/>
      <c r="F194" s="146" t="n"/>
      <c r="G194" s="164">
        <f t="array" ref="G194">IF($F194="","",IFERROR(INDEX(Disponibilidad!$O$6:$O$18,MATCH($F194,Disponibilidad!$B$6:$B$18,0)),"Hogar"))</f>
        <v/>
      </c>
      <c r="H194" s="76" t="n"/>
      <c r="I194" s="57">
        <f>IF($D194="","",IF($C194="Cobro",N($H194),-N($H194)))</f>
        <v/>
      </c>
      <c r="J194" s="141" t="n"/>
      <c r="K194" s="64">
        <f>IF($B194="","",TEXT($B194,"YYYY-MM"))</f>
        <v/>
      </c>
      <c r="L194" s="145" t="n"/>
      <c r="M194" s="145" t="n"/>
      <c r="N194" s="145" t="n"/>
      <c r="O194" s="145" t="n"/>
      <c r="P194" s="145" t="n"/>
      <c r="Q194" s="145" t="n"/>
      <c r="R194" s="145" t="n"/>
      <c r="S194" s="145" t="n"/>
      <c r="T194" s="145" t="n"/>
      <c r="U194" s="1" t="n"/>
      <c r="V194" s="1" t="n"/>
      <c r="W194" s="1" t="n"/>
      <c r="X194" s="1" t="n"/>
      <c r="Y194" s="1" t="n"/>
      <c r="Z194" s="1" t="n"/>
    </row>
    <row r="195" ht="15" customHeight="1" s="311">
      <c r="A195" s="41">
        <f>IF($D195="","",ROW()-5)</f>
        <v/>
      </c>
      <c r="B195" s="144" t="n"/>
      <c r="C195" s="83" t="n"/>
      <c r="D195" s="146" t="n"/>
      <c r="E195" s="146" t="n"/>
      <c r="F195" s="146" t="n"/>
      <c r="G195" s="164">
        <f t="array" ref="G195">IF($F195="","",IFERROR(INDEX(Disponibilidad!$O$6:$O$18,MATCH($F195,Disponibilidad!$B$6:$B$18,0)),"Hogar"))</f>
        <v/>
      </c>
      <c r="H195" s="76" t="n"/>
      <c r="I195" s="57">
        <f>IF($D195="","",IF($C195="Cobro",N($H195),-N($H195)))</f>
        <v/>
      </c>
      <c r="J195" s="141" t="n"/>
      <c r="K195" s="64">
        <f>IF($B195="","",TEXT($B195,"YYYY-MM"))</f>
        <v/>
      </c>
      <c r="L195" s="145" t="n"/>
      <c r="M195" s="145" t="n"/>
      <c r="N195" s="145" t="n"/>
      <c r="O195" s="145" t="n"/>
      <c r="P195" s="145" t="n"/>
      <c r="Q195" s="145" t="n"/>
      <c r="R195" s="145" t="n"/>
      <c r="S195" s="145" t="n"/>
      <c r="T195" s="145" t="n"/>
      <c r="U195" s="1" t="n"/>
      <c r="V195" s="1" t="n"/>
      <c r="W195" s="1" t="n"/>
      <c r="X195" s="1" t="n"/>
      <c r="Y195" s="1" t="n"/>
      <c r="Z195" s="1" t="n"/>
    </row>
    <row r="196" ht="15" customHeight="1" s="311">
      <c r="A196" s="41">
        <f>IF($D196="","",ROW()-5)</f>
        <v/>
      </c>
      <c r="B196" s="144" t="n"/>
      <c r="C196" s="83" t="n"/>
      <c r="D196" s="146" t="n"/>
      <c r="E196" s="146" t="n"/>
      <c r="F196" s="146" t="n"/>
      <c r="G196" s="164">
        <f t="array" ref="G196">IF($F196="","",IFERROR(INDEX(Disponibilidad!$O$6:$O$18,MATCH($F196,Disponibilidad!$B$6:$B$18,0)),"Hogar"))</f>
        <v/>
      </c>
      <c r="H196" s="76" t="n"/>
      <c r="I196" s="57">
        <f>IF($D196="","",IF($C196="Cobro",N($H196),-N($H196)))</f>
        <v/>
      </c>
      <c r="J196" s="141" t="n"/>
      <c r="K196" s="64">
        <f>IF($B196="","",TEXT($B196,"YYYY-MM"))</f>
        <v/>
      </c>
      <c r="L196" s="145" t="n"/>
      <c r="M196" s="145" t="n"/>
      <c r="N196" s="145" t="n"/>
      <c r="O196" s="145" t="n"/>
      <c r="P196" s="145" t="n"/>
      <c r="Q196" s="145" t="n"/>
      <c r="R196" s="145" t="n"/>
      <c r="S196" s="145" t="n"/>
      <c r="T196" s="145" t="n"/>
      <c r="U196" s="1" t="n"/>
      <c r="V196" s="1" t="n"/>
      <c r="W196" s="1" t="n"/>
      <c r="X196" s="1" t="n"/>
      <c r="Y196" s="1" t="n"/>
      <c r="Z196" s="1" t="n"/>
    </row>
    <row r="197" ht="15" customHeight="1" s="311">
      <c r="A197" s="41">
        <f>IF($D197="","",ROW()-5)</f>
        <v/>
      </c>
      <c r="B197" s="144" t="n"/>
      <c r="C197" s="83" t="n"/>
      <c r="D197" s="146" t="n"/>
      <c r="E197" s="146" t="n"/>
      <c r="F197" s="146" t="n"/>
      <c r="G197" s="164">
        <f t="array" ref="G197">IF($F197="","",IFERROR(INDEX(Disponibilidad!$O$6:$O$18,MATCH($F197,Disponibilidad!$B$6:$B$18,0)),"Hogar"))</f>
        <v/>
      </c>
      <c r="H197" s="76" t="n"/>
      <c r="I197" s="57">
        <f>IF($D197="","",IF($C197="Cobro",N($H197),-N($H197)))</f>
        <v/>
      </c>
      <c r="J197" s="141" t="n"/>
      <c r="K197" s="64">
        <f>IF($B197="","",TEXT($B197,"YYYY-MM"))</f>
        <v/>
      </c>
      <c r="L197" s="145" t="n"/>
      <c r="M197" s="145" t="n"/>
      <c r="N197" s="145" t="n"/>
      <c r="O197" s="145" t="n"/>
      <c r="P197" s="145" t="n"/>
      <c r="Q197" s="145" t="n"/>
      <c r="R197" s="145" t="n"/>
      <c r="S197" s="145" t="n"/>
      <c r="T197" s="145" t="n"/>
      <c r="U197" s="1" t="n"/>
      <c r="V197" s="1" t="n"/>
      <c r="W197" s="1" t="n"/>
      <c r="X197" s="1" t="n"/>
      <c r="Y197" s="1" t="n"/>
      <c r="Z197" s="1" t="n"/>
    </row>
    <row r="198" ht="15" customHeight="1" s="311">
      <c r="A198" s="41">
        <f>IF($D198="","",ROW()-5)</f>
        <v/>
      </c>
      <c r="B198" s="144" t="n"/>
      <c r="C198" s="83" t="n"/>
      <c r="D198" s="146" t="n"/>
      <c r="E198" s="146" t="n"/>
      <c r="F198" s="146" t="n"/>
      <c r="G198" s="164">
        <f t="array" ref="G198">IF($F198="","",IFERROR(INDEX(Disponibilidad!$O$6:$O$18,MATCH($F198,Disponibilidad!$B$6:$B$18,0)),"Hogar"))</f>
        <v/>
      </c>
      <c r="H198" s="76" t="n"/>
      <c r="I198" s="57">
        <f>IF($D198="","",IF($C198="Cobro",N($H198),-N($H198)))</f>
        <v/>
      </c>
      <c r="J198" s="141" t="n"/>
      <c r="K198" s="64">
        <f>IF($B198="","",TEXT($B198,"YYYY-MM"))</f>
        <v/>
      </c>
      <c r="L198" s="145" t="n"/>
      <c r="M198" s="145" t="n"/>
      <c r="N198" s="145" t="n"/>
      <c r="O198" s="145" t="n"/>
      <c r="P198" s="145" t="n"/>
      <c r="Q198" s="145" t="n"/>
      <c r="R198" s="145" t="n"/>
      <c r="S198" s="145" t="n"/>
      <c r="T198" s="145" t="n"/>
      <c r="U198" s="1" t="n"/>
      <c r="V198" s="1" t="n"/>
      <c r="W198" s="1" t="n"/>
      <c r="X198" s="1" t="n"/>
      <c r="Y198" s="1" t="n"/>
      <c r="Z198" s="1" t="n"/>
    </row>
    <row r="199" ht="15" customHeight="1" s="311">
      <c r="A199" s="41">
        <f>IF($D199="","",ROW()-5)</f>
        <v/>
      </c>
      <c r="B199" s="144" t="n"/>
      <c r="C199" s="83" t="n"/>
      <c r="D199" s="146" t="n"/>
      <c r="E199" s="146" t="n"/>
      <c r="F199" s="146" t="n"/>
      <c r="G199" s="164">
        <f t="array" ref="G199">IF($F199="","",IFERROR(INDEX(Disponibilidad!$O$6:$O$18,MATCH($F199,Disponibilidad!$B$6:$B$18,0)),"Hogar"))</f>
        <v/>
      </c>
      <c r="H199" s="76" t="n"/>
      <c r="I199" s="57">
        <f>IF($D199="","",IF($C199="Cobro",N($H199),-N($H199)))</f>
        <v/>
      </c>
      <c r="J199" s="141" t="n"/>
      <c r="K199" s="64">
        <f>IF($B199="","",TEXT($B199,"YYYY-MM"))</f>
        <v/>
      </c>
      <c r="L199" s="145" t="n"/>
      <c r="M199" s="145" t="n"/>
      <c r="N199" s="145" t="n"/>
      <c r="O199" s="145" t="n"/>
      <c r="P199" s="145" t="n"/>
      <c r="Q199" s="145" t="n"/>
      <c r="R199" s="145" t="n"/>
      <c r="S199" s="145" t="n"/>
      <c r="T199" s="145" t="n"/>
      <c r="U199" s="1" t="n"/>
      <c r="V199" s="1" t="n"/>
      <c r="W199" s="1" t="n"/>
      <c r="X199" s="1" t="n"/>
      <c r="Y199" s="1" t="n"/>
      <c r="Z199" s="1" t="n"/>
    </row>
    <row r="200" ht="15" customHeight="1" s="311">
      <c r="A200" s="41">
        <f>IF($D200="","",ROW()-5)</f>
        <v/>
      </c>
      <c r="B200" s="144" t="n"/>
      <c r="C200" s="83" t="n"/>
      <c r="D200" s="146" t="n"/>
      <c r="E200" s="146" t="n"/>
      <c r="F200" s="146" t="n"/>
      <c r="G200" s="164">
        <f t="array" ref="G200">IF($F200="","",IFERROR(INDEX(Disponibilidad!$O$6:$O$18,MATCH($F200,Disponibilidad!$B$6:$B$18,0)),"Hogar"))</f>
        <v/>
      </c>
      <c r="H200" s="76" t="n"/>
      <c r="I200" s="57">
        <f>IF($D200="","",IF($C200="Cobro",N($H200),-N($H200)))</f>
        <v/>
      </c>
      <c r="J200" s="141" t="n"/>
      <c r="K200" s="64">
        <f>IF($B200="","",TEXT($B200,"YYYY-MM"))</f>
        <v/>
      </c>
      <c r="L200" s="145" t="n"/>
      <c r="M200" s="145" t="n"/>
      <c r="N200" s="145" t="n"/>
      <c r="O200" s="145" t="n"/>
      <c r="P200" s="145" t="n"/>
      <c r="Q200" s="145" t="n"/>
      <c r="R200" s="145" t="n"/>
      <c r="S200" s="145" t="n"/>
      <c r="T200" s="145" t="n"/>
      <c r="U200" s="1" t="n"/>
      <c r="V200" s="1" t="n"/>
      <c r="W200" s="1" t="n"/>
      <c r="X200" s="1" t="n"/>
      <c r="Y200" s="1" t="n"/>
      <c r="Z200" s="1" t="n"/>
    </row>
    <row r="201" ht="15" customHeight="1" s="311">
      <c r="A201" s="41">
        <f>IF($D201="","",ROW()-5)</f>
        <v/>
      </c>
      <c r="B201" s="144" t="n"/>
      <c r="C201" s="83" t="n"/>
      <c r="D201" s="146" t="n"/>
      <c r="E201" s="146" t="n"/>
      <c r="F201" s="146" t="n"/>
      <c r="G201" s="164">
        <f t="array" ref="G201">IF($F201="","",IFERROR(INDEX(Disponibilidad!$O$6:$O$18,MATCH($F201,Disponibilidad!$B$6:$B$18,0)),"Hogar"))</f>
        <v/>
      </c>
      <c r="H201" s="76" t="n"/>
      <c r="I201" s="57">
        <f>IF($D201="","",IF($C201="Cobro",N($H201),-N($H201)))</f>
        <v/>
      </c>
      <c r="J201" s="141" t="n"/>
      <c r="K201" s="64">
        <f>IF($B201="","",TEXT($B201,"YYYY-MM"))</f>
        <v/>
      </c>
      <c r="L201" s="145" t="n"/>
      <c r="M201" s="145" t="n"/>
      <c r="N201" s="145" t="n"/>
      <c r="O201" s="145" t="n"/>
      <c r="P201" s="145" t="n"/>
      <c r="Q201" s="145" t="n"/>
      <c r="R201" s="145" t="n"/>
      <c r="S201" s="145" t="n"/>
      <c r="T201" s="145" t="n"/>
      <c r="U201" s="1" t="n"/>
      <c r="V201" s="1" t="n"/>
      <c r="W201" s="1" t="n"/>
      <c r="X201" s="1" t="n"/>
      <c r="Y201" s="1" t="n"/>
      <c r="Z201" s="1" t="n"/>
    </row>
    <row r="202" ht="15" customHeight="1" s="311">
      <c r="A202" s="41">
        <f>IF($D202="","",ROW()-5)</f>
        <v/>
      </c>
      <c r="B202" s="144" t="n"/>
      <c r="C202" s="83" t="n"/>
      <c r="D202" s="146" t="n"/>
      <c r="E202" s="146" t="n"/>
      <c r="F202" s="146" t="n"/>
      <c r="G202" s="164">
        <f t="array" ref="G202">IF($F202="","",IFERROR(INDEX(Disponibilidad!$O$6:$O$18,MATCH($F202,Disponibilidad!$B$6:$B$18,0)),"Hogar"))</f>
        <v/>
      </c>
      <c r="H202" s="76" t="n"/>
      <c r="I202" s="57">
        <f>IF($D202="","",IF($C202="Cobro",N($H202),-N($H202)))</f>
        <v/>
      </c>
      <c r="J202" s="141" t="n"/>
      <c r="K202" s="64">
        <f>IF($B202="","",TEXT($B202,"YYYY-MM"))</f>
        <v/>
      </c>
      <c r="L202" s="145" t="n"/>
      <c r="M202" s="145" t="n"/>
      <c r="N202" s="145" t="n"/>
      <c r="O202" s="145" t="n"/>
      <c r="P202" s="145" t="n"/>
      <c r="Q202" s="145" t="n"/>
      <c r="R202" s="145" t="n"/>
      <c r="S202" s="145" t="n"/>
      <c r="T202" s="145" t="n"/>
      <c r="U202" s="1" t="n"/>
      <c r="V202" s="1" t="n"/>
      <c r="W202" s="1" t="n"/>
      <c r="X202" s="1" t="n"/>
      <c r="Y202" s="1" t="n"/>
      <c r="Z202" s="1" t="n"/>
    </row>
    <row r="203" ht="15" customHeight="1" s="311">
      <c r="A203" s="41">
        <f>IF($D203="","",ROW()-5)</f>
        <v/>
      </c>
      <c r="B203" s="144" t="n"/>
      <c r="C203" s="83" t="n"/>
      <c r="D203" s="146" t="n"/>
      <c r="E203" s="146" t="n"/>
      <c r="F203" s="146" t="n"/>
      <c r="G203" s="164">
        <f t="array" ref="G203">IF($F203="","",IFERROR(INDEX(Disponibilidad!$O$6:$O$18,MATCH($F203,Disponibilidad!$B$6:$B$18,0)),"Hogar"))</f>
        <v/>
      </c>
      <c r="H203" s="76" t="n"/>
      <c r="I203" s="57">
        <f>IF($D203="","",IF($C203="Cobro",N($H203),-N($H203)))</f>
        <v/>
      </c>
      <c r="J203" s="141" t="n"/>
      <c r="K203" s="64">
        <f>IF($B203="","",TEXT($B203,"YYYY-MM"))</f>
        <v/>
      </c>
      <c r="L203" s="145" t="n"/>
      <c r="M203" s="145" t="n"/>
      <c r="N203" s="145" t="n"/>
      <c r="O203" s="145" t="n"/>
      <c r="P203" s="145" t="n"/>
      <c r="Q203" s="145" t="n"/>
      <c r="R203" s="145" t="n"/>
      <c r="S203" s="145" t="n"/>
      <c r="T203" s="145" t="n"/>
      <c r="U203" s="1" t="n"/>
      <c r="V203" s="1" t="n"/>
      <c r="W203" s="1" t="n"/>
      <c r="X203" s="1" t="n"/>
      <c r="Y203" s="1" t="n"/>
      <c r="Z203" s="1" t="n"/>
    </row>
    <row r="204" ht="15" customHeight="1" s="311">
      <c r="A204" s="41">
        <f>IF($D204="","",ROW()-5)</f>
        <v/>
      </c>
      <c r="B204" s="144" t="n"/>
      <c r="C204" s="83" t="n"/>
      <c r="D204" s="146" t="n"/>
      <c r="E204" s="146" t="n"/>
      <c r="F204" s="146" t="n"/>
      <c r="G204" s="164">
        <f t="array" ref="G204">IF($F204="","",IFERROR(INDEX(Disponibilidad!$O$6:$O$18,MATCH($F204,Disponibilidad!$B$6:$B$18,0)),"Hogar"))</f>
        <v/>
      </c>
      <c r="H204" s="76" t="n"/>
      <c r="I204" s="57">
        <f>IF($D204="","",IF($C204="Cobro",N($H204),-N($H204)))</f>
        <v/>
      </c>
      <c r="J204" s="141" t="n"/>
      <c r="K204" s="64">
        <f>IF($B204="","",TEXT($B204,"YYYY-MM"))</f>
        <v/>
      </c>
      <c r="L204" s="145" t="n"/>
      <c r="M204" s="145" t="n"/>
      <c r="N204" s="145" t="n"/>
      <c r="O204" s="145" t="n"/>
      <c r="P204" s="145" t="n"/>
      <c r="Q204" s="145" t="n"/>
      <c r="R204" s="145" t="n"/>
      <c r="S204" s="145" t="n"/>
      <c r="T204" s="145" t="n"/>
      <c r="U204" s="1" t="n"/>
      <c r="V204" s="1" t="n"/>
      <c r="W204" s="1" t="n"/>
      <c r="X204" s="1" t="n"/>
      <c r="Y204" s="1" t="n"/>
      <c r="Z204" s="1" t="n"/>
    </row>
    <row r="205" ht="15" customHeight="1" s="311">
      <c r="A205" s="41">
        <f>IF($D205="","",ROW()-5)</f>
        <v/>
      </c>
      <c r="B205" s="144" t="n"/>
      <c r="C205" s="83" t="n"/>
      <c r="D205" s="146" t="n"/>
      <c r="E205" s="146" t="n"/>
      <c r="F205" s="146" t="n"/>
      <c r="G205" s="164">
        <f t="array" ref="G205">IF($F205="","",IFERROR(INDEX(Disponibilidad!$O$6:$O$18,MATCH($F205,Disponibilidad!$B$6:$B$18,0)),"Hogar"))</f>
        <v/>
      </c>
      <c r="H205" s="76" t="n"/>
      <c r="I205" s="57">
        <f>IF($D205="","",IF($C205="Cobro",N($H205),-N($H205)))</f>
        <v/>
      </c>
      <c r="J205" s="141" t="n"/>
      <c r="K205" s="64">
        <f>IF($B205="","",TEXT($B205,"YYYY-MM"))</f>
        <v/>
      </c>
      <c r="L205" s="145" t="n"/>
      <c r="M205" s="145" t="n"/>
      <c r="N205" s="145" t="n"/>
      <c r="O205" s="145" t="n"/>
      <c r="P205" s="145" t="n"/>
      <c r="Q205" s="145" t="n"/>
      <c r="R205" s="145" t="n"/>
      <c r="S205" s="145" t="n"/>
      <c r="T205" s="145" t="n"/>
      <c r="U205" s="1" t="n"/>
      <c r="V205" s="1" t="n"/>
      <c r="W205" s="1" t="n"/>
      <c r="X205" s="1" t="n"/>
      <c r="Y205" s="1" t="n"/>
      <c r="Z205" s="1" t="n"/>
    </row>
    <row r="206" ht="15" customHeight="1" s="311">
      <c r="A206" s="41">
        <f>IF($D206="","",ROW()-5)</f>
        <v/>
      </c>
      <c r="B206" s="144" t="n"/>
      <c r="C206" s="83" t="n"/>
      <c r="D206" s="146" t="n"/>
      <c r="E206" s="146" t="n"/>
      <c r="F206" s="146" t="n"/>
      <c r="G206" s="164">
        <f t="array" ref="G206">IF($F206="","",IFERROR(INDEX(Disponibilidad!$O$6:$O$18,MATCH($F206,Disponibilidad!$B$6:$B$18,0)),"Hogar"))</f>
        <v/>
      </c>
      <c r="H206" s="76" t="n"/>
      <c r="I206" s="57">
        <f>IF($D206="","",IF($C206="Cobro",N($H206),-N($H206)))</f>
        <v/>
      </c>
      <c r="J206" s="141" t="n"/>
      <c r="K206" s="64">
        <f>IF($B206="","",TEXT($B206,"YYYY-MM"))</f>
        <v/>
      </c>
      <c r="L206" s="145" t="n"/>
      <c r="M206" s="145" t="n"/>
      <c r="N206" s="145" t="n"/>
      <c r="O206" s="145" t="n"/>
      <c r="P206" s="145" t="n"/>
      <c r="Q206" s="145" t="n"/>
      <c r="R206" s="145" t="n"/>
      <c r="S206" s="145" t="n"/>
      <c r="T206" s="145" t="n"/>
      <c r="U206" s="1" t="n"/>
      <c r="V206" s="1" t="n"/>
      <c r="W206" s="1" t="n"/>
      <c r="X206" s="1" t="n"/>
      <c r="Y206" s="1" t="n"/>
      <c r="Z206" s="1" t="n"/>
    </row>
    <row r="207" ht="15" customHeight="1" s="311">
      <c r="A207" s="41">
        <f>IF($D207="","",ROW()-5)</f>
        <v/>
      </c>
      <c r="B207" s="144" t="n"/>
      <c r="C207" s="83" t="n"/>
      <c r="D207" s="146" t="n"/>
      <c r="E207" s="146" t="n"/>
      <c r="F207" s="146" t="n"/>
      <c r="G207" s="164">
        <f t="array" ref="G207">IF($F207="","",IFERROR(INDEX(Disponibilidad!$O$6:$O$18,MATCH($F207,Disponibilidad!$B$6:$B$18,0)),"Hogar"))</f>
        <v/>
      </c>
      <c r="H207" s="76" t="n"/>
      <c r="I207" s="57">
        <f>IF($D207="","",IF($C207="Cobro",N($H207),-N($H207)))</f>
        <v/>
      </c>
      <c r="J207" s="141" t="n"/>
      <c r="K207" s="64">
        <f>IF($B207="","",TEXT($B207,"YYYY-MM"))</f>
        <v/>
      </c>
      <c r="L207" s="145" t="n"/>
      <c r="M207" s="145" t="n"/>
      <c r="N207" s="145" t="n"/>
      <c r="O207" s="145" t="n"/>
      <c r="P207" s="145" t="n"/>
      <c r="Q207" s="145" t="n"/>
      <c r="R207" s="145" t="n"/>
      <c r="S207" s="145" t="n"/>
      <c r="T207" s="145" t="n"/>
      <c r="U207" s="1" t="n"/>
      <c r="V207" s="1" t="n"/>
      <c r="W207" s="1" t="n"/>
      <c r="X207" s="1" t="n"/>
      <c r="Y207" s="1" t="n"/>
      <c r="Z207" s="1" t="n"/>
    </row>
    <row r="208" ht="15" customHeight="1" s="311">
      <c r="A208" s="41">
        <f>IF($D208="","",ROW()-5)</f>
        <v/>
      </c>
      <c r="B208" s="144" t="n"/>
      <c r="C208" s="83" t="n"/>
      <c r="D208" s="146" t="n"/>
      <c r="E208" s="146" t="n"/>
      <c r="F208" s="146" t="n"/>
      <c r="G208" s="164">
        <f t="array" ref="G208">IF($F208="","",IFERROR(INDEX(Disponibilidad!$O$6:$O$18,MATCH($F208,Disponibilidad!$B$6:$B$18,0)),"Hogar"))</f>
        <v/>
      </c>
      <c r="H208" s="76" t="n"/>
      <c r="I208" s="57">
        <f>IF($D208="","",IF($C208="Cobro",N($H208),-N($H208)))</f>
        <v/>
      </c>
      <c r="J208" s="141" t="n"/>
      <c r="K208" s="64">
        <f>IF($B208="","",TEXT($B208,"YYYY-MM"))</f>
        <v/>
      </c>
      <c r="L208" s="145" t="n"/>
      <c r="M208" s="145" t="n"/>
      <c r="N208" s="145" t="n"/>
      <c r="O208" s="145" t="n"/>
      <c r="P208" s="145" t="n"/>
      <c r="Q208" s="145" t="n"/>
      <c r="R208" s="145" t="n"/>
      <c r="S208" s="145" t="n"/>
      <c r="T208" s="145" t="n"/>
      <c r="U208" s="1" t="n"/>
      <c r="V208" s="1" t="n"/>
      <c r="W208" s="1" t="n"/>
      <c r="X208" s="1" t="n"/>
      <c r="Y208" s="1" t="n"/>
      <c r="Z208" s="1" t="n"/>
    </row>
    <row r="209" ht="15" customHeight="1" s="311">
      <c r="A209" s="41">
        <f>IF($D209="","",ROW()-5)</f>
        <v/>
      </c>
      <c r="B209" s="144" t="n"/>
      <c r="C209" s="83" t="n"/>
      <c r="D209" s="146" t="n"/>
      <c r="E209" s="146" t="n"/>
      <c r="F209" s="146" t="n"/>
      <c r="G209" s="164">
        <f t="array" ref="G209">IF($F209="","",IFERROR(INDEX(Disponibilidad!$O$6:$O$18,MATCH($F209,Disponibilidad!$B$6:$B$18,0)),"Hogar"))</f>
        <v/>
      </c>
      <c r="H209" s="76" t="n"/>
      <c r="I209" s="57">
        <f>IF($D209="","",IF($C209="Cobro",N($H209),-N($H209)))</f>
        <v/>
      </c>
      <c r="J209" s="141" t="n"/>
      <c r="K209" s="64">
        <f>IF($B209="","",TEXT($B209,"YYYY-MM"))</f>
        <v/>
      </c>
      <c r="L209" s="145" t="n"/>
      <c r="M209" s="145" t="n"/>
      <c r="N209" s="145" t="n"/>
      <c r="O209" s="145" t="n"/>
      <c r="P209" s="145" t="n"/>
      <c r="Q209" s="145" t="n"/>
      <c r="R209" s="145" t="n"/>
      <c r="S209" s="145" t="n"/>
      <c r="T209" s="145" t="n"/>
      <c r="U209" s="1" t="n"/>
      <c r="V209" s="1" t="n"/>
      <c r="W209" s="1" t="n"/>
      <c r="X209" s="1" t="n"/>
      <c r="Y209" s="1" t="n"/>
      <c r="Z209" s="1" t="n"/>
    </row>
    <row r="210" ht="15" customHeight="1" s="311">
      <c r="A210" s="41">
        <f>IF($D210="","",ROW()-5)</f>
        <v/>
      </c>
      <c r="B210" s="144" t="n"/>
      <c r="C210" s="83" t="n"/>
      <c r="D210" s="146" t="n"/>
      <c r="E210" s="146" t="n"/>
      <c r="F210" s="146" t="n"/>
      <c r="G210" s="164">
        <f t="array" ref="G210">IF($F210="","",IFERROR(INDEX(Disponibilidad!$O$6:$O$18,MATCH($F210,Disponibilidad!$B$6:$B$18,0)),"Hogar"))</f>
        <v/>
      </c>
      <c r="H210" s="76" t="n"/>
      <c r="I210" s="57">
        <f>IF($D210="","",IF($C210="Cobro",N($H210),-N($H210)))</f>
        <v/>
      </c>
      <c r="J210" s="141" t="n"/>
      <c r="K210" s="64">
        <f>IF($B210="","",TEXT($B210,"YYYY-MM"))</f>
        <v/>
      </c>
      <c r="L210" s="145" t="n"/>
      <c r="M210" s="145" t="n"/>
      <c r="N210" s="145" t="n"/>
      <c r="O210" s="145" t="n"/>
      <c r="P210" s="145" t="n"/>
      <c r="Q210" s="145" t="n"/>
      <c r="R210" s="145" t="n"/>
      <c r="S210" s="145" t="n"/>
      <c r="T210" s="145" t="n"/>
      <c r="U210" s="1" t="n"/>
      <c r="V210" s="1" t="n"/>
      <c r="W210" s="1" t="n"/>
      <c r="X210" s="1" t="n"/>
      <c r="Y210" s="1" t="n"/>
      <c r="Z210" s="1" t="n"/>
    </row>
    <row r="211" ht="15" customHeight="1" s="311">
      <c r="A211" s="41">
        <f>IF($D211="","",ROW()-5)</f>
        <v/>
      </c>
      <c r="B211" s="144" t="n"/>
      <c r="C211" s="83" t="n"/>
      <c r="D211" s="146" t="n"/>
      <c r="E211" s="146" t="n"/>
      <c r="F211" s="146" t="n"/>
      <c r="G211" s="164">
        <f t="array" ref="G211">IF($F211="","",IFERROR(INDEX(Disponibilidad!$O$6:$O$18,MATCH($F211,Disponibilidad!$B$6:$B$18,0)),"Hogar"))</f>
        <v/>
      </c>
      <c r="H211" s="76" t="n"/>
      <c r="I211" s="57">
        <f>IF($D211="","",IF($C211="Cobro",N($H211),-N($H211)))</f>
        <v/>
      </c>
      <c r="J211" s="141" t="n"/>
      <c r="K211" s="64">
        <f>IF($B211="","",TEXT($B211,"YYYY-MM"))</f>
        <v/>
      </c>
      <c r="L211" s="145" t="n"/>
      <c r="M211" s="145" t="n"/>
      <c r="N211" s="145" t="n"/>
      <c r="O211" s="145" t="n"/>
      <c r="P211" s="145" t="n"/>
      <c r="Q211" s="145" t="n"/>
      <c r="R211" s="145" t="n"/>
      <c r="S211" s="145" t="n"/>
      <c r="T211" s="145" t="n"/>
      <c r="U211" s="1" t="n"/>
      <c r="V211" s="1" t="n"/>
      <c r="W211" s="1" t="n"/>
      <c r="X211" s="1" t="n"/>
      <c r="Y211" s="1" t="n"/>
      <c r="Z211" s="1" t="n"/>
    </row>
    <row r="212" ht="15" customHeight="1" s="311">
      <c r="A212" s="41">
        <f>IF($D212="","",ROW()-5)</f>
        <v/>
      </c>
      <c r="B212" s="144" t="n"/>
      <c r="C212" s="83" t="n"/>
      <c r="D212" s="146" t="n"/>
      <c r="E212" s="146" t="n"/>
      <c r="F212" s="146" t="n"/>
      <c r="G212" s="164">
        <f t="array" ref="G212">IF($F212="","",IFERROR(INDEX(Disponibilidad!$O$6:$O$18,MATCH($F212,Disponibilidad!$B$6:$B$18,0)),"Hogar"))</f>
        <v/>
      </c>
      <c r="H212" s="76" t="n"/>
      <c r="I212" s="57">
        <f>IF($D212="","",IF($C212="Cobro",N($H212),-N($H212)))</f>
        <v/>
      </c>
      <c r="J212" s="141" t="n"/>
      <c r="K212" s="64">
        <f>IF($B212="","",TEXT($B212,"YYYY-MM"))</f>
        <v/>
      </c>
      <c r="L212" s="145" t="n"/>
      <c r="M212" s="145" t="n"/>
      <c r="N212" s="145" t="n"/>
      <c r="O212" s="145" t="n"/>
      <c r="P212" s="145" t="n"/>
      <c r="Q212" s="145" t="n"/>
      <c r="R212" s="145" t="n"/>
      <c r="S212" s="145" t="n"/>
      <c r="T212" s="145" t="n"/>
      <c r="U212" s="1" t="n"/>
      <c r="V212" s="1" t="n"/>
      <c r="W212" s="1" t="n"/>
      <c r="X212" s="1" t="n"/>
      <c r="Y212" s="1" t="n"/>
      <c r="Z212" s="1" t="n"/>
    </row>
    <row r="213" ht="15" customHeight="1" s="311">
      <c r="A213" s="41">
        <f>IF($D213="","",ROW()-5)</f>
        <v/>
      </c>
      <c r="B213" s="144" t="n"/>
      <c r="C213" s="83" t="n"/>
      <c r="D213" s="146" t="n"/>
      <c r="E213" s="146" t="n"/>
      <c r="F213" s="146" t="n"/>
      <c r="G213" s="164">
        <f t="array" ref="G213">IF($F213="","",IFERROR(INDEX(Disponibilidad!$O$6:$O$18,MATCH($F213,Disponibilidad!$B$6:$B$18,0)),"Hogar"))</f>
        <v/>
      </c>
      <c r="H213" s="76" t="n"/>
      <c r="I213" s="57">
        <f>IF($D213="","",IF($C213="Cobro",N($H213),-N($H213)))</f>
        <v/>
      </c>
      <c r="J213" s="141" t="n"/>
      <c r="K213" s="64">
        <f>IF($B213="","",TEXT($B213,"YYYY-MM"))</f>
        <v/>
      </c>
      <c r="L213" s="145" t="n"/>
      <c r="M213" s="145" t="n"/>
      <c r="N213" s="145" t="n"/>
      <c r="O213" s="145" t="n"/>
      <c r="P213" s="145" t="n"/>
      <c r="Q213" s="145" t="n"/>
      <c r="R213" s="145" t="n"/>
      <c r="S213" s="145" t="n"/>
      <c r="T213" s="145" t="n"/>
      <c r="U213" s="1" t="n"/>
      <c r="V213" s="1" t="n"/>
      <c r="W213" s="1" t="n"/>
      <c r="X213" s="1" t="n"/>
      <c r="Y213" s="1" t="n"/>
      <c r="Z213" s="1" t="n"/>
    </row>
    <row r="214" ht="15" customHeight="1" s="311">
      <c r="A214" s="41">
        <f>IF($D214="","",ROW()-5)</f>
        <v/>
      </c>
      <c r="B214" s="144" t="n"/>
      <c r="C214" s="83" t="n"/>
      <c r="D214" s="146" t="n"/>
      <c r="E214" s="146" t="n"/>
      <c r="F214" s="146" t="n"/>
      <c r="G214" s="164">
        <f t="array" ref="G214">IF($F214="","",IFERROR(INDEX(Disponibilidad!$O$6:$O$18,MATCH($F214,Disponibilidad!$B$6:$B$18,0)),"Hogar"))</f>
        <v/>
      </c>
      <c r="H214" s="76" t="n"/>
      <c r="I214" s="57">
        <f>IF($D214="","",IF($C214="Cobro",N($H214),-N($H214)))</f>
        <v/>
      </c>
      <c r="J214" s="141" t="n"/>
      <c r="K214" s="64">
        <f>IF($B214="","",TEXT($B214,"YYYY-MM"))</f>
        <v/>
      </c>
      <c r="L214" s="145" t="n"/>
      <c r="M214" s="145" t="n"/>
      <c r="N214" s="145" t="n"/>
      <c r="O214" s="145" t="n"/>
      <c r="P214" s="145" t="n"/>
      <c r="Q214" s="145" t="n"/>
      <c r="R214" s="145" t="n"/>
      <c r="S214" s="145" t="n"/>
      <c r="T214" s="145" t="n"/>
      <c r="U214" s="1" t="n"/>
      <c r="V214" s="1" t="n"/>
      <c r="W214" s="1" t="n"/>
      <c r="X214" s="1" t="n"/>
      <c r="Y214" s="1" t="n"/>
      <c r="Z214" s="1" t="n"/>
    </row>
    <row r="215" ht="15" customHeight="1" s="311">
      <c r="A215" s="41">
        <f>IF($D215="","",ROW()-5)</f>
        <v/>
      </c>
      <c r="B215" s="144" t="n"/>
      <c r="C215" s="83" t="n"/>
      <c r="D215" s="146" t="n"/>
      <c r="E215" s="146" t="n"/>
      <c r="F215" s="146" t="n"/>
      <c r="G215" s="164">
        <f t="array" ref="G215">IF($F215="","",IFERROR(INDEX(Disponibilidad!$O$6:$O$18,MATCH($F215,Disponibilidad!$B$6:$B$18,0)),"Hogar"))</f>
        <v/>
      </c>
      <c r="H215" s="76" t="n"/>
      <c r="I215" s="57">
        <f>IF($D215="","",IF($C215="Cobro",N($H215),-N($H215)))</f>
        <v/>
      </c>
      <c r="J215" s="141" t="n"/>
      <c r="K215" s="64">
        <f>IF($B215="","",TEXT($B215,"YYYY-MM"))</f>
        <v/>
      </c>
      <c r="L215" s="145" t="n"/>
      <c r="M215" s="145" t="n"/>
      <c r="N215" s="145" t="n"/>
      <c r="O215" s="145" t="n"/>
      <c r="P215" s="145" t="n"/>
      <c r="Q215" s="145" t="n"/>
      <c r="R215" s="145" t="n"/>
      <c r="S215" s="145" t="n"/>
      <c r="T215" s="145" t="n"/>
      <c r="U215" s="1" t="n"/>
      <c r="V215" s="1" t="n"/>
      <c r="W215" s="1" t="n"/>
      <c r="X215" s="1" t="n"/>
      <c r="Y215" s="1" t="n"/>
      <c r="Z215" s="1" t="n"/>
    </row>
    <row r="216" ht="15" customHeight="1" s="311">
      <c r="A216" s="41">
        <f>IF($D216="","",ROW()-5)</f>
        <v/>
      </c>
      <c r="B216" s="144" t="n"/>
      <c r="C216" s="83" t="n"/>
      <c r="D216" s="146" t="n"/>
      <c r="E216" s="146" t="n"/>
      <c r="F216" s="146" t="n"/>
      <c r="G216" s="164">
        <f t="array" ref="G216">IF($F216="","",IFERROR(INDEX(Disponibilidad!$O$6:$O$18,MATCH($F216,Disponibilidad!$B$6:$B$18,0)),"Hogar"))</f>
        <v/>
      </c>
      <c r="H216" s="76" t="n"/>
      <c r="I216" s="57">
        <f>IF($D216="","",IF($C216="Cobro",N($H216),-N($H216)))</f>
        <v/>
      </c>
      <c r="J216" s="141" t="n"/>
      <c r="K216" s="64">
        <f>IF($B216="","",TEXT($B216,"YYYY-MM"))</f>
        <v/>
      </c>
      <c r="L216" s="145" t="n"/>
      <c r="M216" s="145" t="n"/>
      <c r="N216" s="145" t="n"/>
      <c r="O216" s="145" t="n"/>
      <c r="P216" s="145" t="n"/>
      <c r="Q216" s="145" t="n"/>
      <c r="R216" s="145" t="n"/>
      <c r="S216" s="145" t="n"/>
      <c r="T216" s="145" t="n"/>
      <c r="U216" s="1" t="n"/>
      <c r="V216" s="1" t="n"/>
      <c r="W216" s="1" t="n"/>
      <c r="X216" s="1" t="n"/>
      <c r="Y216" s="1" t="n"/>
      <c r="Z216" s="1" t="n"/>
    </row>
    <row r="217" ht="15" customHeight="1" s="311">
      <c r="A217" s="41">
        <f>IF($D217="","",ROW()-5)</f>
        <v/>
      </c>
      <c r="B217" s="144" t="n"/>
      <c r="C217" s="83" t="n"/>
      <c r="D217" s="146" t="n"/>
      <c r="E217" s="146" t="n"/>
      <c r="F217" s="146" t="n"/>
      <c r="G217" s="164">
        <f t="array" ref="G217">IF($F217="","",IFERROR(INDEX(Disponibilidad!$O$6:$O$18,MATCH($F217,Disponibilidad!$B$6:$B$18,0)),"Hogar"))</f>
        <v/>
      </c>
      <c r="H217" s="76" t="n"/>
      <c r="I217" s="57">
        <f>IF($D217="","",IF($C217="Cobro",N($H217),-N($H217)))</f>
        <v/>
      </c>
      <c r="J217" s="141" t="n"/>
      <c r="K217" s="64">
        <f>IF($B217="","",TEXT($B217,"YYYY-MM"))</f>
        <v/>
      </c>
      <c r="L217" s="145" t="n"/>
      <c r="M217" s="145" t="n"/>
      <c r="N217" s="145" t="n"/>
      <c r="O217" s="145" t="n"/>
      <c r="P217" s="145" t="n"/>
      <c r="Q217" s="145" t="n"/>
      <c r="R217" s="145" t="n"/>
      <c r="S217" s="145" t="n"/>
      <c r="T217" s="145" t="n"/>
      <c r="U217" s="1" t="n"/>
      <c r="V217" s="1" t="n"/>
      <c r="W217" s="1" t="n"/>
      <c r="X217" s="1" t="n"/>
      <c r="Y217" s="1" t="n"/>
      <c r="Z217" s="1" t="n"/>
    </row>
    <row r="218" ht="15" customHeight="1" s="311">
      <c r="A218" s="41">
        <f>IF($D218="","",ROW()-5)</f>
        <v/>
      </c>
      <c r="B218" s="144" t="n"/>
      <c r="C218" s="83" t="n"/>
      <c r="D218" s="146" t="n"/>
      <c r="E218" s="146" t="n"/>
      <c r="F218" s="146" t="n"/>
      <c r="G218" s="164">
        <f t="array" ref="G218">IF($F218="","",IFERROR(INDEX(Disponibilidad!$O$6:$O$18,MATCH($F218,Disponibilidad!$B$6:$B$18,0)),"Hogar"))</f>
        <v/>
      </c>
      <c r="H218" s="76" t="n"/>
      <c r="I218" s="57">
        <f>IF($D218="","",IF($C218="Cobro",N($H218),-N($H218)))</f>
        <v/>
      </c>
      <c r="J218" s="141" t="n"/>
      <c r="K218" s="64">
        <f>IF($B218="","",TEXT($B218,"YYYY-MM"))</f>
        <v/>
      </c>
      <c r="L218" s="145" t="n"/>
      <c r="M218" s="145" t="n"/>
      <c r="N218" s="145" t="n"/>
      <c r="O218" s="145" t="n"/>
      <c r="P218" s="145" t="n"/>
      <c r="Q218" s="145" t="n"/>
      <c r="R218" s="145" t="n"/>
      <c r="S218" s="145" t="n"/>
      <c r="T218" s="145" t="n"/>
      <c r="U218" s="1" t="n"/>
      <c r="V218" s="1" t="n"/>
      <c r="W218" s="1" t="n"/>
      <c r="X218" s="1" t="n"/>
      <c r="Y218" s="1" t="n"/>
      <c r="Z218" s="1" t="n"/>
    </row>
    <row r="219" ht="15" customHeight="1" s="311">
      <c r="A219" s="41">
        <f>IF($D219="","",ROW()-5)</f>
        <v/>
      </c>
      <c r="B219" s="144" t="n"/>
      <c r="C219" s="83" t="n"/>
      <c r="D219" s="146" t="n"/>
      <c r="E219" s="146" t="n"/>
      <c r="F219" s="146" t="n"/>
      <c r="G219" s="164">
        <f t="array" ref="G219">IF($F219="","",IFERROR(INDEX(Disponibilidad!$O$6:$O$18,MATCH($F219,Disponibilidad!$B$6:$B$18,0)),"Hogar"))</f>
        <v/>
      </c>
      <c r="H219" s="76" t="n"/>
      <c r="I219" s="57">
        <f>IF($D219="","",IF($C219="Cobro",N($H219),-N($H219)))</f>
        <v/>
      </c>
      <c r="J219" s="141" t="n"/>
      <c r="K219" s="64">
        <f>IF($B219="","",TEXT($B219,"YYYY-MM"))</f>
        <v/>
      </c>
      <c r="L219" s="145" t="n"/>
      <c r="M219" s="145" t="n"/>
      <c r="N219" s="145" t="n"/>
      <c r="O219" s="145" t="n"/>
      <c r="P219" s="145" t="n"/>
      <c r="Q219" s="145" t="n"/>
      <c r="R219" s="145" t="n"/>
      <c r="S219" s="145" t="n"/>
      <c r="T219" s="145" t="n"/>
      <c r="U219" s="1" t="n"/>
      <c r="V219" s="1" t="n"/>
      <c r="W219" s="1" t="n"/>
      <c r="X219" s="1" t="n"/>
      <c r="Y219" s="1" t="n"/>
      <c r="Z219" s="1" t="n"/>
    </row>
    <row r="220" ht="15" customHeight="1" s="311">
      <c r="A220" s="41">
        <f>IF($D220="","",ROW()-5)</f>
        <v/>
      </c>
      <c r="B220" s="144" t="n"/>
      <c r="C220" s="83" t="n"/>
      <c r="D220" s="146" t="n"/>
      <c r="E220" s="146" t="n"/>
      <c r="F220" s="146" t="n"/>
      <c r="G220" s="164">
        <f t="array" ref="G220">IF($F220="","",IFERROR(INDEX(Disponibilidad!$O$6:$O$18,MATCH($F220,Disponibilidad!$B$6:$B$18,0)),"Hogar"))</f>
        <v/>
      </c>
      <c r="H220" s="76" t="n"/>
      <c r="I220" s="57">
        <f>IF($D220="","",IF($C220="Cobro",N($H220),-N($H220)))</f>
        <v/>
      </c>
      <c r="J220" s="141" t="n"/>
      <c r="K220" s="64">
        <f>IF($B220="","",TEXT($B220,"YYYY-MM"))</f>
        <v/>
      </c>
      <c r="L220" s="145" t="n"/>
      <c r="M220" s="145" t="n"/>
      <c r="N220" s="145" t="n"/>
      <c r="O220" s="145" t="n"/>
      <c r="P220" s="145" t="n"/>
      <c r="Q220" s="145" t="n"/>
      <c r="R220" s="145" t="n"/>
      <c r="S220" s="145" t="n"/>
      <c r="T220" s="145" t="n"/>
      <c r="U220" s="1" t="n"/>
      <c r="V220" s="1" t="n"/>
      <c r="W220" s="1" t="n"/>
      <c r="X220" s="1" t="n"/>
      <c r="Y220" s="1" t="n"/>
      <c r="Z220" s="1" t="n"/>
    </row>
    <row r="221" ht="15" customHeight="1" s="311">
      <c r="A221" s="41">
        <f>IF($D221="","",ROW()-5)</f>
        <v/>
      </c>
      <c r="B221" s="144" t="n"/>
      <c r="C221" s="83" t="n"/>
      <c r="D221" s="146" t="n"/>
      <c r="E221" s="146" t="n"/>
      <c r="F221" s="146" t="n"/>
      <c r="G221" s="164">
        <f t="array" ref="G221">IF($F221="","",IFERROR(INDEX(Disponibilidad!$O$6:$O$18,MATCH($F221,Disponibilidad!$B$6:$B$18,0)),"Hogar"))</f>
        <v/>
      </c>
      <c r="H221" s="76" t="n"/>
      <c r="I221" s="57">
        <f>IF($D221="","",IF($C221="Cobro",N($H221),-N($H221)))</f>
        <v/>
      </c>
      <c r="J221" s="141" t="n"/>
      <c r="K221" s="64">
        <f>IF($B221="","",TEXT($B221,"YYYY-MM"))</f>
        <v/>
      </c>
      <c r="L221" s="145" t="n"/>
      <c r="M221" s="145" t="n"/>
      <c r="N221" s="145" t="n"/>
      <c r="O221" s="145" t="n"/>
      <c r="P221" s="145" t="n"/>
      <c r="Q221" s="145" t="n"/>
      <c r="R221" s="145" t="n"/>
      <c r="S221" s="145" t="n"/>
      <c r="T221" s="145" t="n"/>
      <c r="U221" s="1" t="n"/>
      <c r="V221" s="1" t="n"/>
      <c r="W221" s="1" t="n"/>
      <c r="X221" s="1" t="n"/>
      <c r="Y221" s="1" t="n"/>
      <c r="Z221" s="1" t="n"/>
    </row>
    <row r="222" ht="15" customHeight="1" s="311">
      <c r="A222" s="41">
        <f>IF($D222="","",ROW()-5)</f>
        <v/>
      </c>
      <c r="B222" s="144" t="n"/>
      <c r="C222" s="83" t="n"/>
      <c r="D222" s="146" t="n"/>
      <c r="E222" s="146" t="n"/>
      <c r="F222" s="146" t="n"/>
      <c r="G222" s="164">
        <f t="array" ref="G222">IF($F222="","",IFERROR(INDEX(Disponibilidad!$O$6:$O$18,MATCH($F222,Disponibilidad!$B$6:$B$18,0)),"Hogar"))</f>
        <v/>
      </c>
      <c r="H222" s="76" t="n"/>
      <c r="I222" s="57">
        <f>IF($D222="","",IF($C222="Cobro",N($H222),-N($H222)))</f>
        <v/>
      </c>
      <c r="J222" s="141" t="n"/>
      <c r="K222" s="64">
        <f>IF($B222="","",TEXT($B222,"YYYY-MM"))</f>
        <v/>
      </c>
      <c r="L222" s="145" t="n"/>
      <c r="M222" s="145" t="n"/>
      <c r="N222" s="145" t="n"/>
      <c r="O222" s="145" t="n"/>
      <c r="P222" s="145" t="n"/>
      <c r="Q222" s="145" t="n"/>
      <c r="R222" s="145" t="n"/>
      <c r="S222" s="145" t="n"/>
      <c r="T222" s="145" t="n"/>
      <c r="U222" s="1" t="n"/>
      <c r="V222" s="1" t="n"/>
      <c r="W222" s="1" t="n"/>
      <c r="X222" s="1" t="n"/>
      <c r="Y222" s="1" t="n"/>
      <c r="Z222" s="1" t="n"/>
    </row>
    <row r="223" ht="15" customHeight="1" s="311">
      <c r="A223" s="41">
        <f>IF($D223="","",ROW()-5)</f>
        <v/>
      </c>
      <c r="B223" s="144" t="n"/>
      <c r="C223" s="83" t="n"/>
      <c r="D223" s="146" t="n"/>
      <c r="E223" s="146" t="n"/>
      <c r="F223" s="146" t="n"/>
      <c r="G223" s="164">
        <f t="array" ref="G223">IF($F223="","",IFERROR(INDEX(Disponibilidad!$O$6:$O$18,MATCH($F223,Disponibilidad!$B$6:$B$18,0)),"Hogar"))</f>
        <v/>
      </c>
      <c r="H223" s="76" t="n"/>
      <c r="I223" s="57">
        <f>IF($D223="","",IF($C223="Cobro",N($H223),-N($H223)))</f>
        <v/>
      </c>
      <c r="J223" s="141" t="n"/>
      <c r="K223" s="64">
        <f>IF($B223="","",TEXT($B223,"YYYY-MM"))</f>
        <v/>
      </c>
      <c r="L223" s="145" t="n"/>
      <c r="M223" s="145" t="n"/>
      <c r="N223" s="145" t="n"/>
      <c r="O223" s="145" t="n"/>
      <c r="P223" s="145" t="n"/>
      <c r="Q223" s="145" t="n"/>
      <c r="R223" s="145" t="n"/>
      <c r="S223" s="145" t="n"/>
      <c r="T223" s="145" t="n"/>
      <c r="U223" s="1" t="n"/>
      <c r="V223" s="1" t="n"/>
      <c r="W223" s="1" t="n"/>
      <c r="X223" s="1" t="n"/>
      <c r="Y223" s="1" t="n"/>
      <c r="Z223" s="1" t="n"/>
    </row>
    <row r="224" ht="15" customHeight="1" s="311">
      <c r="A224" s="41">
        <f>IF($D224="","",ROW()-5)</f>
        <v/>
      </c>
      <c r="B224" s="144" t="n"/>
      <c r="C224" s="83" t="n"/>
      <c r="D224" s="146" t="n"/>
      <c r="E224" s="146" t="n"/>
      <c r="F224" s="146" t="n"/>
      <c r="G224" s="164">
        <f t="array" ref="G224">IF($F224="","",IFERROR(INDEX(Disponibilidad!$O$6:$O$18,MATCH($F224,Disponibilidad!$B$6:$B$18,0)),"Hogar"))</f>
        <v/>
      </c>
      <c r="H224" s="76" t="n"/>
      <c r="I224" s="57">
        <f>IF($D224="","",IF($C224="Cobro",N($H224),-N($H224)))</f>
        <v/>
      </c>
      <c r="J224" s="141" t="n"/>
      <c r="K224" s="64">
        <f>IF($B224="","",TEXT($B224,"YYYY-MM"))</f>
        <v/>
      </c>
      <c r="L224" s="145" t="n"/>
      <c r="M224" s="145" t="n"/>
      <c r="N224" s="145" t="n"/>
      <c r="O224" s="145" t="n"/>
      <c r="P224" s="145" t="n"/>
      <c r="Q224" s="145" t="n"/>
      <c r="R224" s="145" t="n"/>
      <c r="S224" s="145" t="n"/>
      <c r="T224" s="145" t="n"/>
      <c r="U224" s="1" t="n"/>
      <c r="V224" s="1" t="n"/>
      <c r="W224" s="1" t="n"/>
      <c r="X224" s="1" t="n"/>
      <c r="Y224" s="1" t="n"/>
      <c r="Z224" s="1" t="n"/>
    </row>
    <row r="225" ht="15" customHeight="1" s="311">
      <c r="A225" s="41">
        <f>IF($D225="","",ROW()-5)</f>
        <v/>
      </c>
      <c r="B225" s="144" t="n"/>
      <c r="C225" s="83" t="n"/>
      <c r="D225" s="146" t="n"/>
      <c r="E225" s="146" t="n"/>
      <c r="F225" s="146" t="n"/>
      <c r="G225" s="164">
        <f t="array" ref="G225">IF($F225="","",IFERROR(INDEX(Disponibilidad!$O$6:$O$18,MATCH($F225,Disponibilidad!$B$6:$B$18,0)),"Hogar"))</f>
        <v/>
      </c>
      <c r="H225" s="76" t="n"/>
      <c r="I225" s="57">
        <f>IF($D225="","",IF($C225="Cobro",N($H225),-N($H225)))</f>
        <v/>
      </c>
      <c r="J225" s="141" t="n"/>
      <c r="K225" s="64">
        <f>IF($B225="","",TEXT($B225,"YYYY-MM"))</f>
        <v/>
      </c>
      <c r="L225" s="145" t="n"/>
      <c r="M225" s="145" t="n"/>
      <c r="N225" s="145" t="n"/>
      <c r="O225" s="145" t="n"/>
      <c r="P225" s="145" t="n"/>
      <c r="Q225" s="145" t="n"/>
      <c r="R225" s="145" t="n"/>
      <c r="S225" s="145" t="n"/>
      <c r="T225" s="145" t="n"/>
      <c r="U225" s="1" t="n"/>
      <c r="V225" s="1" t="n"/>
      <c r="W225" s="1" t="n"/>
      <c r="X225" s="1" t="n"/>
      <c r="Y225" s="1" t="n"/>
      <c r="Z225" s="1" t="n"/>
    </row>
    <row r="226" ht="15" customHeight="1" s="311">
      <c r="A226" s="41">
        <f>IF($D226="","",ROW()-5)</f>
        <v/>
      </c>
      <c r="B226" s="144" t="n"/>
      <c r="C226" s="83" t="n"/>
      <c r="D226" s="146" t="n"/>
      <c r="E226" s="146" t="n"/>
      <c r="F226" s="146" t="n"/>
      <c r="G226" s="164">
        <f t="array" ref="G226">IF($F226="","",IFERROR(INDEX(Disponibilidad!$O$6:$O$18,MATCH($F226,Disponibilidad!$B$6:$B$18,0)),"Hogar"))</f>
        <v/>
      </c>
      <c r="H226" s="76" t="n"/>
      <c r="I226" s="57">
        <f>IF($D226="","",IF($C226="Cobro",N($H226),-N($H226)))</f>
        <v/>
      </c>
      <c r="J226" s="141" t="n"/>
      <c r="K226" s="64">
        <f>IF($B226="","",TEXT($B226,"YYYY-MM"))</f>
        <v/>
      </c>
      <c r="L226" s="145" t="n"/>
      <c r="M226" s="145" t="n"/>
      <c r="N226" s="145" t="n"/>
      <c r="O226" s="145" t="n"/>
      <c r="P226" s="145" t="n"/>
      <c r="Q226" s="145" t="n"/>
      <c r="R226" s="145" t="n"/>
      <c r="S226" s="145" t="n"/>
      <c r="T226" s="145" t="n"/>
      <c r="U226" s="1" t="n"/>
      <c r="V226" s="1" t="n"/>
      <c r="W226" s="1" t="n"/>
      <c r="X226" s="1" t="n"/>
      <c r="Y226" s="1" t="n"/>
      <c r="Z226" s="1" t="n"/>
    </row>
    <row r="227" ht="15" customHeight="1" s="311">
      <c r="A227" s="41">
        <f>IF($D227="","",ROW()-5)</f>
        <v/>
      </c>
      <c r="B227" s="144" t="n"/>
      <c r="C227" s="83" t="n"/>
      <c r="D227" s="146" t="n"/>
      <c r="E227" s="146" t="n"/>
      <c r="F227" s="146" t="n"/>
      <c r="G227" s="164">
        <f t="array" ref="G227">IF($F227="","",IFERROR(INDEX(Disponibilidad!$O$6:$O$18,MATCH($F227,Disponibilidad!$B$6:$B$18,0)),"Hogar"))</f>
        <v/>
      </c>
      <c r="H227" s="76" t="n"/>
      <c r="I227" s="57">
        <f>IF($D227="","",IF($C227="Cobro",N($H227),-N($H227)))</f>
        <v/>
      </c>
      <c r="J227" s="141" t="n"/>
      <c r="K227" s="64">
        <f>IF($B227="","",TEXT($B227,"YYYY-MM"))</f>
        <v/>
      </c>
      <c r="L227" s="145" t="n"/>
      <c r="M227" s="145" t="n"/>
      <c r="N227" s="145" t="n"/>
      <c r="O227" s="145" t="n"/>
      <c r="P227" s="145" t="n"/>
      <c r="Q227" s="145" t="n"/>
      <c r="R227" s="145" t="n"/>
      <c r="S227" s="145" t="n"/>
      <c r="T227" s="145" t="n"/>
      <c r="U227" s="1" t="n"/>
      <c r="V227" s="1" t="n"/>
      <c r="W227" s="1" t="n"/>
      <c r="X227" s="1" t="n"/>
      <c r="Y227" s="1" t="n"/>
      <c r="Z227" s="1" t="n"/>
    </row>
    <row r="228" ht="15" customHeight="1" s="311">
      <c r="A228" s="41">
        <f>IF($D228="","",ROW()-5)</f>
        <v/>
      </c>
      <c r="B228" s="144" t="n"/>
      <c r="C228" s="83" t="n"/>
      <c r="D228" s="146" t="n"/>
      <c r="E228" s="146" t="n"/>
      <c r="F228" s="146" t="n"/>
      <c r="G228" s="164">
        <f t="array" ref="G228">IF($F228="","",IFERROR(INDEX(Disponibilidad!$O$6:$O$18,MATCH($F228,Disponibilidad!$B$6:$B$18,0)),"Hogar"))</f>
        <v/>
      </c>
      <c r="H228" s="76" t="n"/>
      <c r="I228" s="57">
        <f>IF($D228="","",IF($C228="Cobro",N($H228),-N($H228)))</f>
        <v/>
      </c>
      <c r="J228" s="141" t="n"/>
      <c r="K228" s="64">
        <f>IF($B228="","",TEXT($B228,"YYYY-MM"))</f>
        <v/>
      </c>
      <c r="L228" s="145" t="n"/>
      <c r="M228" s="145" t="n"/>
      <c r="N228" s="145" t="n"/>
      <c r="O228" s="145" t="n"/>
      <c r="P228" s="145" t="n"/>
      <c r="Q228" s="145" t="n"/>
      <c r="R228" s="145" t="n"/>
      <c r="S228" s="145" t="n"/>
      <c r="T228" s="145" t="n"/>
      <c r="U228" s="1" t="n"/>
      <c r="V228" s="1" t="n"/>
      <c r="W228" s="1" t="n"/>
      <c r="X228" s="1" t="n"/>
      <c r="Y228" s="1" t="n"/>
      <c r="Z228" s="1" t="n"/>
    </row>
    <row r="229" ht="15" customHeight="1" s="311">
      <c r="A229" s="41">
        <f>IF($D229="","",ROW()-5)</f>
        <v/>
      </c>
      <c r="B229" s="144" t="n"/>
      <c r="C229" s="83" t="n"/>
      <c r="D229" s="146" t="n"/>
      <c r="E229" s="146" t="n"/>
      <c r="F229" s="146" t="n"/>
      <c r="G229" s="164">
        <f t="array" ref="G229">IF($F229="","",IFERROR(INDEX(Disponibilidad!$O$6:$O$18,MATCH($F229,Disponibilidad!$B$6:$B$18,0)),"Hogar"))</f>
        <v/>
      </c>
      <c r="H229" s="76" t="n"/>
      <c r="I229" s="57">
        <f>IF($D229="","",IF($C229="Cobro",N($H229),-N($H229)))</f>
        <v/>
      </c>
      <c r="J229" s="141" t="n"/>
      <c r="K229" s="64">
        <f>IF($B229="","",TEXT($B229,"YYYY-MM"))</f>
        <v/>
      </c>
      <c r="L229" s="145" t="n"/>
      <c r="M229" s="145" t="n"/>
      <c r="N229" s="145" t="n"/>
      <c r="O229" s="145" t="n"/>
      <c r="P229" s="145" t="n"/>
      <c r="Q229" s="145" t="n"/>
      <c r="R229" s="145" t="n"/>
      <c r="S229" s="145" t="n"/>
      <c r="T229" s="145" t="n"/>
      <c r="U229" s="1" t="n"/>
      <c r="V229" s="1" t="n"/>
      <c r="W229" s="1" t="n"/>
      <c r="X229" s="1" t="n"/>
      <c r="Y229" s="1" t="n"/>
      <c r="Z229" s="1" t="n"/>
    </row>
    <row r="230" ht="15" customHeight="1" s="311">
      <c r="A230" s="41">
        <f>IF($D230="","",ROW()-5)</f>
        <v/>
      </c>
      <c r="B230" s="144" t="n"/>
      <c r="C230" s="83" t="n"/>
      <c r="D230" s="146" t="n"/>
      <c r="E230" s="146" t="n"/>
      <c r="F230" s="146" t="n"/>
      <c r="G230" s="164">
        <f t="array" ref="G230">IF($F230="","",IFERROR(INDEX(Disponibilidad!$O$6:$O$18,MATCH($F230,Disponibilidad!$B$6:$B$18,0)),"Hogar"))</f>
        <v/>
      </c>
      <c r="H230" s="76" t="n"/>
      <c r="I230" s="57">
        <f>IF($D230="","",IF($C230="Cobro",N($H230),-N($H230)))</f>
        <v/>
      </c>
      <c r="J230" s="141" t="n"/>
      <c r="K230" s="64">
        <f>IF($B230="","",TEXT($B230,"YYYY-MM"))</f>
        <v/>
      </c>
      <c r="L230" s="145" t="n"/>
      <c r="M230" s="145" t="n"/>
      <c r="N230" s="145" t="n"/>
      <c r="O230" s="145" t="n"/>
      <c r="P230" s="145" t="n"/>
      <c r="Q230" s="145" t="n"/>
      <c r="R230" s="145" t="n"/>
      <c r="S230" s="145" t="n"/>
      <c r="T230" s="145" t="n"/>
      <c r="U230" s="1" t="n"/>
      <c r="V230" s="1" t="n"/>
      <c r="W230" s="1" t="n"/>
      <c r="X230" s="1" t="n"/>
      <c r="Y230" s="1" t="n"/>
      <c r="Z230" s="1" t="n"/>
    </row>
    <row r="231" ht="15" customHeight="1" s="311">
      <c r="A231" s="41">
        <f>IF($D231="","",ROW()-5)</f>
        <v/>
      </c>
      <c r="B231" s="144" t="n"/>
      <c r="C231" s="83" t="n"/>
      <c r="D231" s="146" t="n"/>
      <c r="E231" s="146" t="n"/>
      <c r="F231" s="146" t="n"/>
      <c r="G231" s="164">
        <f t="array" ref="G231">IF($F231="","",IFERROR(INDEX(Disponibilidad!$O$6:$O$18,MATCH($F231,Disponibilidad!$B$6:$B$18,0)),"Hogar"))</f>
        <v/>
      </c>
      <c r="H231" s="76" t="n"/>
      <c r="I231" s="57">
        <f>IF($D231="","",IF($C231="Cobro",N($H231),-N($H231)))</f>
        <v/>
      </c>
      <c r="J231" s="141" t="n"/>
      <c r="K231" s="64">
        <f>IF($B231="","",TEXT($B231,"YYYY-MM"))</f>
        <v/>
      </c>
      <c r="L231" s="145" t="n"/>
      <c r="M231" s="145" t="n"/>
      <c r="N231" s="145" t="n"/>
      <c r="O231" s="145" t="n"/>
      <c r="P231" s="145" t="n"/>
      <c r="Q231" s="145" t="n"/>
      <c r="R231" s="145" t="n"/>
      <c r="S231" s="145" t="n"/>
      <c r="T231" s="145" t="n"/>
      <c r="U231" s="1" t="n"/>
      <c r="V231" s="1" t="n"/>
      <c r="W231" s="1" t="n"/>
      <c r="X231" s="1" t="n"/>
      <c r="Y231" s="1" t="n"/>
      <c r="Z231" s="1" t="n"/>
    </row>
    <row r="232" ht="15" customHeight="1" s="311">
      <c r="A232" s="41">
        <f>IF($D232="","",ROW()-5)</f>
        <v/>
      </c>
      <c r="B232" s="144" t="n"/>
      <c r="C232" s="83" t="n"/>
      <c r="D232" s="146" t="n"/>
      <c r="E232" s="146" t="n"/>
      <c r="F232" s="146" t="n"/>
      <c r="G232" s="164">
        <f t="array" ref="G232">IF($F232="","",IFERROR(INDEX(Disponibilidad!$O$6:$O$18,MATCH($F232,Disponibilidad!$B$6:$B$18,0)),"Hogar"))</f>
        <v/>
      </c>
      <c r="H232" s="76" t="n"/>
      <c r="I232" s="57">
        <f>IF($D232="","",IF($C232="Cobro",N($H232),-N($H232)))</f>
        <v/>
      </c>
      <c r="J232" s="141" t="n"/>
      <c r="K232" s="64">
        <f>IF($B232="","",TEXT($B232,"YYYY-MM"))</f>
        <v/>
      </c>
      <c r="L232" s="145" t="n"/>
      <c r="M232" s="145" t="n"/>
      <c r="N232" s="145" t="n"/>
      <c r="O232" s="145" t="n"/>
      <c r="P232" s="145" t="n"/>
      <c r="Q232" s="145" t="n"/>
      <c r="R232" s="145" t="n"/>
      <c r="S232" s="145" t="n"/>
      <c r="T232" s="145" t="n"/>
      <c r="U232" s="1" t="n"/>
      <c r="V232" s="1" t="n"/>
      <c r="W232" s="1" t="n"/>
      <c r="X232" s="1" t="n"/>
      <c r="Y232" s="1" t="n"/>
      <c r="Z232" s="1" t="n"/>
    </row>
    <row r="233" ht="15" customHeight="1" s="311">
      <c r="A233" s="41">
        <f>IF($D233="","",ROW()-5)</f>
        <v/>
      </c>
      <c r="B233" s="144" t="n"/>
      <c r="C233" s="83" t="n"/>
      <c r="D233" s="146" t="n"/>
      <c r="E233" s="146" t="n"/>
      <c r="F233" s="146" t="n"/>
      <c r="G233" s="164">
        <f t="array" ref="G233">IF($F233="","",IFERROR(INDEX(Disponibilidad!$O$6:$O$18,MATCH($F233,Disponibilidad!$B$6:$B$18,0)),"Hogar"))</f>
        <v/>
      </c>
      <c r="H233" s="76" t="n"/>
      <c r="I233" s="57">
        <f>IF($D233="","",IF($C233="Cobro",N($H233),-N($H233)))</f>
        <v/>
      </c>
      <c r="J233" s="141" t="n"/>
      <c r="K233" s="64">
        <f>IF($B233="","",TEXT($B233,"YYYY-MM"))</f>
        <v/>
      </c>
      <c r="L233" s="145" t="n"/>
      <c r="M233" s="145" t="n"/>
      <c r="N233" s="145" t="n"/>
      <c r="O233" s="145" t="n"/>
      <c r="P233" s="145" t="n"/>
      <c r="Q233" s="145" t="n"/>
      <c r="R233" s="145" t="n"/>
      <c r="S233" s="145" t="n"/>
      <c r="T233" s="145" t="n"/>
      <c r="U233" s="1" t="n"/>
      <c r="V233" s="1" t="n"/>
      <c r="W233" s="1" t="n"/>
      <c r="X233" s="1" t="n"/>
      <c r="Y233" s="1" t="n"/>
      <c r="Z233" s="1" t="n"/>
    </row>
    <row r="234" ht="15" customHeight="1" s="311">
      <c r="A234" s="41">
        <f>IF($D234="","",ROW()-5)</f>
        <v/>
      </c>
      <c r="B234" s="144" t="n"/>
      <c r="C234" s="83" t="n"/>
      <c r="D234" s="146" t="n"/>
      <c r="E234" s="146" t="n"/>
      <c r="F234" s="146" t="n"/>
      <c r="G234" s="164">
        <f t="array" ref="G234">IF($F234="","",IFERROR(INDEX(Disponibilidad!$O$6:$O$18,MATCH($F234,Disponibilidad!$B$6:$B$18,0)),"Hogar"))</f>
        <v/>
      </c>
      <c r="H234" s="76" t="n"/>
      <c r="I234" s="57">
        <f>IF($D234="","",IF($C234="Cobro",N($H234),-N($H234)))</f>
        <v/>
      </c>
      <c r="J234" s="141" t="n"/>
      <c r="K234" s="64">
        <f>IF($B234="","",TEXT($B234,"YYYY-MM"))</f>
        <v/>
      </c>
      <c r="L234" s="145" t="n"/>
      <c r="M234" s="145" t="n"/>
      <c r="N234" s="145" t="n"/>
      <c r="O234" s="145" t="n"/>
      <c r="P234" s="145" t="n"/>
      <c r="Q234" s="145" t="n"/>
      <c r="R234" s="145" t="n"/>
      <c r="S234" s="145" t="n"/>
      <c r="T234" s="145" t="n"/>
      <c r="U234" s="1" t="n"/>
      <c r="V234" s="1" t="n"/>
      <c r="W234" s="1" t="n"/>
      <c r="X234" s="1" t="n"/>
      <c r="Y234" s="1" t="n"/>
      <c r="Z234" s="1" t="n"/>
    </row>
    <row r="235" ht="15" customHeight="1" s="311">
      <c r="A235" s="41">
        <f>IF($D235="","",ROW()-5)</f>
        <v/>
      </c>
      <c r="B235" s="144" t="n"/>
      <c r="C235" s="83" t="n"/>
      <c r="D235" s="146" t="n"/>
      <c r="E235" s="146" t="n"/>
      <c r="F235" s="146" t="n"/>
      <c r="G235" s="164">
        <f t="array" ref="G235">IF($F235="","",IFERROR(INDEX(Disponibilidad!$O$6:$O$18,MATCH($F235,Disponibilidad!$B$6:$B$18,0)),"Hogar"))</f>
        <v/>
      </c>
      <c r="H235" s="76" t="n"/>
      <c r="I235" s="57">
        <f>IF($D235="","",IF($C235="Cobro",N($H235),-N($H235)))</f>
        <v/>
      </c>
      <c r="J235" s="141" t="n"/>
      <c r="K235" s="64">
        <f>IF($B235="","",TEXT($B235,"YYYY-MM"))</f>
        <v/>
      </c>
      <c r="L235" s="145" t="n"/>
      <c r="M235" s="145" t="n"/>
      <c r="N235" s="145" t="n"/>
      <c r="O235" s="145" t="n"/>
      <c r="P235" s="145" t="n"/>
      <c r="Q235" s="145" t="n"/>
      <c r="R235" s="145" t="n"/>
      <c r="S235" s="145" t="n"/>
      <c r="T235" s="145" t="n"/>
      <c r="U235" s="1" t="n"/>
      <c r="V235" s="1" t="n"/>
      <c r="W235" s="1" t="n"/>
      <c r="X235" s="1" t="n"/>
      <c r="Y235" s="1" t="n"/>
      <c r="Z235" s="1" t="n"/>
    </row>
    <row r="236" ht="15" customHeight="1" s="311">
      <c r="A236" s="41">
        <f>IF($D236="","",ROW()-5)</f>
        <v/>
      </c>
      <c r="B236" s="144" t="n"/>
      <c r="C236" s="83" t="n"/>
      <c r="D236" s="146" t="n"/>
      <c r="E236" s="146" t="n"/>
      <c r="F236" s="146" t="n"/>
      <c r="G236" s="164">
        <f t="array" ref="G236">IF($F236="","",IFERROR(INDEX(Disponibilidad!$O$6:$O$18,MATCH($F236,Disponibilidad!$B$6:$B$18,0)),"Hogar"))</f>
        <v/>
      </c>
      <c r="H236" s="76" t="n"/>
      <c r="I236" s="57">
        <f>IF($D236="","",IF($C236="Cobro",N($H236),-N($H236)))</f>
        <v/>
      </c>
      <c r="J236" s="141" t="n"/>
      <c r="K236" s="64">
        <f>IF($B236="","",TEXT($B236,"YYYY-MM"))</f>
        <v/>
      </c>
      <c r="L236" s="145" t="n"/>
      <c r="M236" s="145" t="n"/>
      <c r="N236" s="145" t="n"/>
      <c r="O236" s="145" t="n"/>
      <c r="P236" s="145" t="n"/>
      <c r="Q236" s="145" t="n"/>
      <c r="R236" s="145" t="n"/>
      <c r="S236" s="145" t="n"/>
      <c r="T236" s="145" t="n"/>
      <c r="U236" s="1" t="n"/>
      <c r="V236" s="1" t="n"/>
      <c r="W236" s="1" t="n"/>
      <c r="X236" s="1" t="n"/>
      <c r="Y236" s="1" t="n"/>
      <c r="Z236" s="1" t="n"/>
    </row>
    <row r="237" ht="15" customHeight="1" s="311">
      <c r="A237" s="41">
        <f>IF($D237="","",ROW()-5)</f>
        <v/>
      </c>
      <c r="B237" s="144" t="n"/>
      <c r="C237" s="83" t="n"/>
      <c r="D237" s="146" t="n"/>
      <c r="E237" s="146" t="n"/>
      <c r="F237" s="146" t="n"/>
      <c r="G237" s="164">
        <f t="array" ref="G237">IF($F237="","",IFERROR(INDEX(Disponibilidad!$O$6:$O$18,MATCH($F237,Disponibilidad!$B$6:$B$18,0)),"Hogar"))</f>
        <v/>
      </c>
      <c r="H237" s="76" t="n"/>
      <c r="I237" s="57">
        <f>IF($D237="","",IF($C237="Cobro",N($H237),-N($H237)))</f>
        <v/>
      </c>
      <c r="J237" s="141" t="n"/>
      <c r="K237" s="64">
        <f>IF($B237="","",TEXT($B237,"YYYY-MM"))</f>
        <v/>
      </c>
      <c r="L237" s="145" t="n"/>
      <c r="M237" s="145" t="n"/>
      <c r="N237" s="145" t="n"/>
      <c r="O237" s="145" t="n"/>
      <c r="P237" s="145" t="n"/>
      <c r="Q237" s="145" t="n"/>
      <c r="R237" s="145" t="n"/>
      <c r="S237" s="145" t="n"/>
      <c r="T237" s="145" t="n"/>
      <c r="U237" s="1" t="n"/>
      <c r="V237" s="1" t="n"/>
      <c r="W237" s="1" t="n"/>
      <c r="X237" s="1" t="n"/>
      <c r="Y237" s="1" t="n"/>
      <c r="Z237" s="1" t="n"/>
    </row>
    <row r="238" ht="15" customHeight="1" s="311">
      <c r="A238" s="41">
        <f>IF($D238="","",ROW()-5)</f>
        <v/>
      </c>
      <c r="B238" s="144" t="n"/>
      <c r="C238" s="83" t="n"/>
      <c r="D238" s="146" t="n"/>
      <c r="E238" s="146" t="n"/>
      <c r="F238" s="146" t="n"/>
      <c r="G238" s="164">
        <f t="array" ref="G238">IF($F238="","",IFERROR(INDEX(Disponibilidad!$O$6:$O$18,MATCH($F238,Disponibilidad!$B$6:$B$18,0)),"Hogar"))</f>
        <v/>
      </c>
      <c r="H238" s="76" t="n"/>
      <c r="I238" s="57">
        <f>IF($D238="","",IF($C238="Cobro",N($H238),-N($H238)))</f>
        <v/>
      </c>
      <c r="J238" s="141" t="n"/>
      <c r="K238" s="64">
        <f>IF($B238="","",TEXT($B238,"YYYY-MM"))</f>
        <v/>
      </c>
      <c r="L238" s="145" t="n"/>
      <c r="M238" s="145" t="n"/>
      <c r="N238" s="145" t="n"/>
      <c r="O238" s="145" t="n"/>
      <c r="P238" s="145" t="n"/>
      <c r="Q238" s="145" t="n"/>
      <c r="R238" s="145" t="n"/>
      <c r="S238" s="145" t="n"/>
      <c r="T238" s="145" t="n"/>
      <c r="U238" s="1" t="n"/>
      <c r="V238" s="1" t="n"/>
      <c r="W238" s="1" t="n"/>
      <c r="X238" s="1" t="n"/>
      <c r="Y238" s="1" t="n"/>
      <c r="Z238" s="1" t="n"/>
    </row>
    <row r="239" ht="15" customHeight="1" s="311">
      <c r="A239" s="41">
        <f>IF($D239="","",ROW()-5)</f>
        <v/>
      </c>
      <c r="B239" s="144" t="n"/>
      <c r="C239" s="83" t="n"/>
      <c r="D239" s="146" t="n"/>
      <c r="E239" s="146" t="n"/>
      <c r="F239" s="146" t="n"/>
      <c r="G239" s="164">
        <f t="array" ref="G239">IF($F239="","",IFERROR(INDEX(Disponibilidad!$O$6:$O$18,MATCH($F239,Disponibilidad!$B$6:$B$18,0)),"Hogar"))</f>
        <v/>
      </c>
      <c r="H239" s="76" t="n"/>
      <c r="I239" s="57">
        <f>IF($D239="","",IF($C239="Cobro",N($H239),-N($H239)))</f>
        <v/>
      </c>
      <c r="J239" s="141" t="n"/>
      <c r="K239" s="64">
        <f>IF($B239="","",TEXT($B239,"YYYY-MM"))</f>
        <v/>
      </c>
      <c r="L239" s="145" t="n"/>
      <c r="M239" s="145" t="n"/>
      <c r="N239" s="145" t="n"/>
      <c r="O239" s="145" t="n"/>
      <c r="P239" s="145" t="n"/>
      <c r="Q239" s="145" t="n"/>
      <c r="R239" s="145" t="n"/>
      <c r="S239" s="145" t="n"/>
      <c r="T239" s="145" t="n"/>
      <c r="U239" s="1" t="n"/>
      <c r="V239" s="1" t="n"/>
      <c r="W239" s="1" t="n"/>
      <c r="X239" s="1" t="n"/>
      <c r="Y239" s="1" t="n"/>
      <c r="Z239" s="1" t="n"/>
    </row>
    <row r="240" ht="15" customHeight="1" s="311">
      <c r="A240" s="41">
        <f>IF($D240="","",ROW()-5)</f>
        <v/>
      </c>
      <c r="B240" s="144" t="n"/>
      <c r="C240" s="83" t="n"/>
      <c r="D240" s="146" t="n"/>
      <c r="E240" s="146" t="n"/>
      <c r="F240" s="146" t="n"/>
      <c r="G240" s="164">
        <f t="array" ref="G240">IF($F240="","",IFERROR(INDEX(Disponibilidad!$O$6:$O$18,MATCH($F240,Disponibilidad!$B$6:$B$18,0)),"Hogar"))</f>
        <v/>
      </c>
      <c r="H240" s="76" t="n"/>
      <c r="I240" s="57">
        <f>IF($D240="","",IF($C240="Cobro",N($H240),-N($H240)))</f>
        <v/>
      </c>
      <c r="J240" s="141" t="n"/>
      <c r="K240" s="64">
        <f>IF($B240="","",TEXT($B240,"YYYY-MM"))</f>
        <v/>
      </c>
      <c r="L240" s="145" t="n"/>
      <c r="M240" s="145" t="n"/>
      <c r="N240" s="145" t="n"/>
      <c r="O240" s="145" t="n"/>
      <c r="P240" s="145" t="n"/>
      <c r="Q240" s="145" t="n"/>
      <c r="R240" s="145" t="n"/>
      <c r="S240" s="145" t="n"/>
      <c r="T240" s="145" t="n"/>
      <c r="U240" s="1" t="n"/>
      <c r="V240" s="1" t="n"/>
      <c r="W240" s="1" t="n"/>
      <c r="X240" s="1" t="n"/>
      <c r="Y240" s="1" t="n"/>
      <c r="Z240" s="1" t="n"/>
    </row>
    <row r="241" ht="15" customHeight="1" s="311">
      <c r="A241" s="41">
        <f>IF($D241="","",ROW()-5)</f>
        <v/>
      </c>
      <c r="B241" s="144" t="n"/>
      <c r="C241" s="83" t="n"/>
      <c r="D241" s="146" t="n"/>
      <c r="E241" s="146" t="n"/>
      <c r="F241" s="146" t="n"/>
      <c r="G241" s="164">
        <f t="array" ref="G241">IF($F241="","",IFERROR(INDEX(Disponibilidad!$O$6:$O$18,MATCH($F241,Disponibilidad!$B$6:$B$18,0)),"Hogar"))</f>
        <v/>
      </c>
      <c r="H241" s="76" t="n"/>
      <c r="I241" s="57">
        <f>IF($D241="","",IF($C241="Cobro",N($H241),-N($H241)))</f>
        <v/>
      </c>
      <c r="J241" s="141" t="n"/>
      <c r="K241" s="64">
        <f>IF($B241="","",TEXT($B241,"YYYY-MM"))</f>
        <v/>
      </c>
      <c r="L241" s="145" t="n"/>
      <c r="M241" s="145" t="n"/>
      <c r="N241" s="145" t="n"/>
      <c r="O241" s="145" t="n"/>
      <c r="P241" s="145" t="n"/>
      <c r="Q241" s="145" t="n"/>
      <c r="R241" s="145" t="n"/>
      <c r="S241" s="145" t="n"/>
      <c r="T241" s="145" t="n"/>
      <c r="U241" s="1" t="n"/>
      <c r="V241" s="1" t="n"/>
      <c r="W241" s="1" t="n"/>
      <c r="X241" s="1" t="n"/>
      <c r="Y241" s="1" t="n"/>
      <c r="Z241" s="1" t="n"/>
    </row>
    <row r="242" ht="15" customHeight="1" s="311">
      <c r="A242" s="41">
        <f>IF($D242="","",ROW()-5)</f>
        <v/>
      </c>
      <c r="B242" s="144" t="n"/>
      <c r="C242" s="83" t="n"/>
      <c r="D242" s="146" t="n"/>
      <c r="E242" s="146" t="n"/>
      <c r="F242" s="146" t="n"/>
      <c r="G242" s="164">
        <f t="array" ref="G242">IF($F242="","",IFERROR(INDEX(Disponibilidad!$O$6:$O$18,MATCH($F242,Disponibilidad!$B$6:$B$18,0)),"Hogar"))</f>
        <v/>
      </c>
      <c r="H242" s="76" t="n"/>
      <c r="I242" s="57">
        <f>IF($D242="","",IF($C242="Cobro",N($H242),-N($H242)))</f>
        <v/>
      </c>
      <c r="J242" s="141" t="n"/>
      <c r="K242" s="64">
        <f>IF($B242="","",TEXT($B242,"YYYY-MM"))</f>
        <v/>
      </c>
      <c r="L242" s="145" t="n"/>
      <c r="M242" s="145" t="n"/>
      <c r="N242" s="145" t="n"/>
      <c r="O242" s="145" t="n"/>
      <c r="P242" s="145" t="n"/>
      <c r="Q242" s="145" t="n"/>
      <c r="R242" s="145" t="n"/>
      <c r="S242" s="145" t="n"/>
      <c r="T242" s="145" t="n"/>
      <c r="U242" s="1" t="n"/>
      <c r="V242" s="1" t="n"/>
      <c r="W242" s="1" t="n"/>
      <c r="X242" s="1" t="n"/>
      <c r="Y242" s="1" t="n"/>
      <c r="Z242" s="1" t="n"/>
    </row>
    <row r="243" ht="15" customHeight="1" s="311">
      <c r="A243" s="41">
        <f>IF($D243="","",ROW()-5)</f>
        <v/>
      </c>
      <c r="B243" s="144" t="n"/>
      <c r="C243" s="83" t="n"/>
      <c r="D243" s="146" t="n"/>
      <c r="E243" s="146" t="n"/>
      <c r="F243" s="146" t="n"/>
      <c r="G243" s="164">
        <f t="array" ref="G243">IF($F243="","",IFERROR(INDEX(Disponibilidad!$O$6:$O$18,MATCH($F243,Disponibilidad!$B$6:$B$18,0)),"Hogar"))</f>
        <v/>
      </c>
      <c r="H243" s="76" t="n"/>
      <c r="I243" s="57">
        <f>IF($D243="","",IF($C243="Cobro",N($H243),-N($H243)))</f>
        <v/>
      </c>
      <c r="J243" s="141" t="n"/>
      <c r="K243" s="64">
        <f>IF($B243="","",TEXT($B243,"YYYY-MM"))</f>
        <v/>
      </c>
      <c r="L243" s="145" t="n"/>
      <c r="M243" s="145" t="n"/>
      <c r="N243" s="145" t="n"/>
      <c r="O243" s="145" t="n"/>
      <c r="P243" s="145" t="n"/>
      <c r="Q243" s="145" t="n"/>
      <c r="R243" s="145" t="n"/>
      <c r="S243" s="145" t="n"/>
      <c r="T243" s="145" t="n"/>
      <c r="U243" s="1" t="n"/>
      <c r="V243" s="1" t="n"/>
      <c r="W243" s="1" t="n"/>
      <c r="X243" s="1" t="n"/>
      <c r="Y243" s="1" t="n"/>
      <c r="Z243" s="1" t="n"/>
    </row>
    <row r="244" ht="15" customHeight="1" s="311">
      <c r="A244" s="41">
        <f>IF($D244="","",ROW()-5)</f>
        <v/>
      </c>
      <c r="B244" s="144" t="n"/>
      <c r="C244" s="83" t="n"/>
      <c r="D244" s="146" t="n"/>
      <c r="E244" s="146" t="n"/>
      <c r="F244" s="146" t="n"/>
      <c r="G244" s="164">
        <f t="array" ref="G244">IF($F244="","",IFERROR(INDEX(Disponibilidad!$O$6:$O$18,MATCH($F244,Disponibilidad!$B$6:$B$18,0)),"Hogar"))</f>
        <v/>
      </c>
      <c r="H244" s="76" t="n"/>
      <c r="I244" s="57">
        <f>IF($D244="","",IF($C244="Cobro",N($H244),-N($H244)))</f>
        <v/>
      </c>
      <c r="J244" s="141" t="n"/>
      <c r="K244" s="64">
        <f>IF($B244="","",TEXT($B244,"YYYY-MM"))</f>
        <v/>
      </c>
      <c r="L244" s="145" t="n"/>
      <c r="M244" s="145" t="n"/>
      <c r="N244" s="145" t="n"/>
      <c r="O244" s="145" t="n"/>
      <c r="P244" s="145" t="n"/>
      <c r="Q244" s="145" t="n"/>
      <c r="R244" s="145" t="n"/>
      <c r="S244" s="145" t="n"/>
      <c r="T244" s="145" t="n"/>
      <c r="U244" s="1" t="n"/>
      <c r="V244" s="1" t="n"/>
      <c r="W244" s="1" t="n"/>
      <c r="X244" s="1" t="n"/>
      <c r="Y244" s="1" t="n"/>
      <c r="Z244" s="1" t="n"/>
    </row>
    <row r="245" ht="15" customHeight="1" s="311">
      <c r="A245" s="41">
        <f>IF($D245="","",ROW()-5)</f>
        <v/>
      </c>
      <c r="B245" s="144" t="n"/>
      <c r="C245" s="83" t="n"/>
      <c r="D245" s="146" t="n"/>
      <c r="E245" s="146" t="n"/>
      <c r="F245" s="146" t="n"/>
      <c r="G245" s="164">
        <f t="array" ref="G245">IF($F245="","",IFERROR(INDEX(Disponibilidad!$O$6:$O$18,MATCH($F245,Disponibilidad!$B$6:$B$18,0)),"Hogar"))</f>
        <v/>
      </c>
      <c r="H245" s="76" t="n"/>
      <c r="I245" s="57">
        <f>IF($D245="","",IF($C245="Cobro",N($H245),-N($H245)))</f>
        <v/>
      </c>
      <c r="J245" s="141" t="n"/>
      <c r="K245" s="64">
        <f>IF($B245="","",TEXT($B245,"YYYY-MM"))</f>
        <v/>
      </c>
      <c r="L245" s="145" t="n"/>
      <c r="M245" s="145" t="n"/>
      <c r="N245" s="145" t="n"/>
      <c r="O245" s="145" t="n"/>
      <c r="P245" s="145" t="n"/>
      <c r="Q245" s="145" t="n"/>
      <c r="R245" s="145" t="n"/>
      <c r="S245" s="145" t="n"/>
      <c r="T245" s="145" t="n"/>
      <c r="U245" s="1" t="n"/>
      <c r="V245" s="1" t="n"/>
      <c r="W245" s="1" t="n"/>
      <c r="X245" s="1" t="n"/>
      <c r="Y245" s="1" t="n"/>
      <c r="Z245" s="1" t="n"/>
    </row>
    <row r="246" ht="15" customHeight="1" s="311">
      <c r="A246" s="41">
        <f>IF($D246="","",ROW()-5)</f>
        <v/>
      </c>
      <c r="B246" s="144" t="n"/>
      <c r="C246" s="83" t="n"/>
      <c r="D246" s="146" t="n"/>
      <c r="E246" s="146" t="n"/>
      <c r="F246" s="146" t="n"/>
      <c r="G246" s="164">
        <f t="array" ref="G246">IF($F246="","",IFERROR(INDEX(Disponibilidad!$O$6:$O$18,MATCH($F246,Disponibilidad!$B$6:$B$18,0)),"Hogar"))</f>
        <v/>
      </c>
      <c r="H246" s="76" t="n"/>
      <c r="I246" s="57">
        <f>IF($D246="","",IF($C246="Cobro",N($H246),-N($H246)))</f>
        <v/>
      </c>
      <c r="J246" s="141" t="n"/>
      <c r="K246" s="64">
        <f>IF($B246="","",TEXT($B246,"YYYY-MM"))</f>
        <v/>
      </c>
      <c r="L246" s="145" t="n"/>
      <c r="M246" s="145" t="n"/>
      <c r="N246" s="145" t="n"/>
      <c r="O246" s="145" t="n"/>
      <c r="P246" s="145" t="n"/>
      <c r="Q246" s="145" t="n"/>
      <c r="R246" s="145" t="n"/>
      <c r="S246" s="145" t="n"/>
      <c r="T246" s="145" t="n"/>
      <c r="U246" s="1" t="n"/>
      <c r="V246" s="1" t="n"/>
      <c r="W246" s="1" t="n"/>
      <c r="X246" s="1" t="n"/>
      <c r="Y246" s="1" t="n"/>
      <c r="Z246" s="1" t="n"/>
    </row>
    <row r="247" ht="15" customHeight="1" s="311">
      <c r="A247" s="41">
        <f>IF($D247="","",ROW()-5)</f>
        <v/>
      </c>
      <c r="B247" s="144" t="n"/>
      <c r="C247" s="83" t="n"/>
      <c r="D247" s="146" t="n"/>
      <c r="E247" s="146" t="n"/>
      <c r="F247" s="146" t="n"/>
      <c r="G247" s="164">
        <f t="array" ref="G247">IF($F247="","",IFERROR(INDEX(Disponibilidad!$O$6:$O$18,MATCH($F247,Disponibilidad!$B$6:$B$18,0)),"Hogar"))</f>
        <v/>
      </c>
      <c r="H247" s="76" t="n"/>
      <c r="I247" s="57">
        <f>IF($D247="","",IF($C247="Cobro",N($H247),-N($H247)))</f>
        <v/>
      </c>
      <c r="J247" s="141" t="n"/>
      <c r="K247" s="64">
        <f>IF($B247="","",TEXT($B247,"YYYY-MM"))</f>
        <v/>
      </c>
      <c r="L247" s="145" t="n"/>
      <c r="M247" s="145" t="n"/>
      <c r="N247" s="145" t="n"/>
      <c r="O247" s="145" t="n"/>
      <c r="P247" s="145" t="n"/>
      <c r="Q247" s="145" t="n"/>
      <c r="R247" s="145" t="n"/>
      <c r="S247" s="145" t="n"/>
      <c r="T247" s="145" t="n"/>
      <c r="U247" s="1" t="n"/>
      <c r="V247" s="1" t="n"/>
      <c r="W247" s="1" t="n"/>
      <c r="X247" s="1" t="n"/>
      <c r="Y247" s="1" t="n"/>
      <c r="Z247" s="1" t="n"/>
    </row>
    <row r="248" ht="15" customHeight="1" s="311">
      <c r="A248" s="41">
        <f>IF($D248="","",ROW()-5)</f>
        <v/>
      </c>
      <c r="B248" s="144" t="n"/>
      <c r="C248" s="83" t="n"/>
      <c r="D248" s="146" t="n"/>
      <c r="E248" s="146" t="n"/>
      <c r="F248" s="146" t="n"/>
      <c r="G248" s="164">
        <f t="array" ref="G248">IF($F248="","",IFERROR(INDEX(Disponibilidad!$O$6:$O$18,MATCH($F248,Disponibilidad!$B$6:$B$18,0)),"Hogar"))</f>
        <v/>
      </c>
      <c r="H248" s="76" t="n"/>
      <c r="I248" s="57">
        <f>IF($D248="","",IF($C248="Cobro",N($H248),-N($H248)))</f>
        <v/>
      </c>
      <c r="J248" s="141" t="n"/>
      <c r="K248" s="64">
        <f>IF($B248="","",TEXT($B248,"YYYY-MM"))</f>
        <v/>
      </c>
      <c r="L248" s="145" t="n"/>
      <c r="M248" s="145" t="n"/>
      <c r="N248" s="145" t="n"/>
      <c r="O248" s="145" t="n"/>
      <c r="P248" s="145" t="n"/>
      <c r="Q248" s="145" t="n"/>
      <c r="R248" s="145" t="n"/>
      <c r="S248" s="145" t="n"/>
      <c r="T248" s="145" t="n"/>
      <c r="U248" s="1" t="n"/>
      <c r="V248" s="1" t="n"/>
      <c r="W248" s="1" t="n"/>
      <c r="X248" s="1" t="n"/>
      <c r="Y248" s="1" t="n"/>
      <c r="Z248" s="1" t="n"/>
    </row>
    <row r="249" ht="15" customHeight="1" s="311">
      <c r="A249" s="41">
        <f>IF($D249="","",ROW()-5)</f>
        <v/>
      </c>
      <c r="B249" s="144" t="n"/>
      <c r="C249" s="83" t="n"/>
      <c r="D249" s="146" t="n"/>
      <c r="E249" s="146" t="n"/>
      <c r="F249" s="146" t="n"/>
      <c r="G249" s="164">
        <f t="array" ref="G249">IF($F249="","",IFERROR(INDEX(Disponibilidad!$O$6:$O$18,MATCH($F249,Disponibilidad!$B$6:$B$18,0)),"Hogar"))</f>
        <v/>
      </c>
      <c r="H249" s="76" t="n"/>
      <c r="I249" s="57">
        <f>IF($D249="","",IF($C249="Cobro",N($H249),-N($H249)))</f>
        <v/>
      </c>
      <c r="J249" s="141" t="n"/>
      <c r="K249" s="64">
        <f>IF($B249="","",TEXT($B249,"YYYY-MM"))</f>
        <v/>
      </c>
      <c r="L249" s="145" t="n"/>
      <c r="M249" s="145" t="n"/>
      <c r="N249" s="145" t="n"/>
      <c r="O249" s="145" t="n"/>
      <c r="P249" s="145" t="n"/>
      <c r="Q249" s="145" t="n"/>
      <c r="R249" s="145" t="n"/>
      <c r="S249" s="145" t="n"/>
      <c r="T249" s="145" t="n"/>
      <c r="U249" s="1" t="n"/>
      <c r="V249" s="1" t="n"/>
      <c r="W249" s="1" t="n"/>
      <c r="X249" s="1" t="n"/>
      <c r="Y249" s="1" t="n"/>
      <c r="Z249" s="1" t="n"/>
    </row>
    <row r="250" ht="15" customHeight="1" s="311">
      <c r="A250" s="41">
        <f>IF($D250="","",ROW()-5)</f>
        <v/>
      </c>
      <c r="B250" s="144" t="n"/>
      <c r="C250" s="83" t="n"/>
      <c r="D250" s="146" t="n"/>
      <c r="E250" s="146" t="n"/>
      <c r="F250" s="146" t="n"/>
      <c r="G250" s="164">
        <f t="array" ref="G250">IF($F250="","",IFERROR(INDEX(Disponibilidad!$O$6:$O$18,MATCH($F250,Disponibilidad!$B$6:$B$18,0)),"Hogar"))</f>
        <v/>
      </c>
      <c r="H250" s="76" t="n"/>
      <c r="I250" s="57">
        <f>IF($D250="","",IF($C250="Cobro",N($H250),-N($H250)))</f>
        <v/>
      </c>
      <c r="J250" s="141" t="n"/>
      <c r="K250" s="64">
        <f>IF($B250="","",TEXT($B250,"YYYY-MM"))</f>
        <v/>
      </c>
      <c r="L250" s="145" t="n"/>
      <c r="M250" s="145" t="n"/>
      <c r="N250" s="145" t="n"/>
      <c r="O250" s="145" t="n"/>
      <c r="P250" s="145" t="n"/>
      <c r="Q250" s="145" t="n"/>
      <c r="R250" s="145" t="n"/>
      <c r="S250" s="145" t="n"/>
      <c r="T250" s="145" t="n"/>
      <c r="U250" s="1" t="n"/>
      <c r="V250" s="1" t="n"/>
      <c r="W250" s="1" t="n"/>
      <c r="X250" s="1" t="n"/>
      <c r="Y250" s="1" t="n"/>
      <c r="Z250" s="1" t="n"/>
    </row>
    <row r="251" ht="15" customHeight="1" s="311">
      <c r="A251" s="41">
        <f>IF($D251="","",ROW()-5)</f>
        <v/>
      </c>
      <c r="B251" s="144" t="n"/>
      <c r="C251" s="83" t="n"/>
      <c r="D251" s="146" t="n"/>
      <c r="E251" s="146" t="n"/>
      <c r="F251" s="146" t="n"/>
      <c r="G251" s="164">
        <f t="array" ref="G251">IF($F251="","",IFERROR(INDEX(Disponibilidad!$O$6:$O$18,MATCH($F251,Disponibilidad!$B$6:$B$18,0)),"Hogar"))</f>
        <v/>
      </c>
      <c r="H251" s="76" t="n"/>
      <c r="I251" s="57">
        <f>IF($D251="","",IF($C251="Cobro",N($H251),-N($H251)))</f>
        <v/>
      </c>
      <c r="J251" s="141" t="n"/>
      <c r="K251" s="64">
        <f>IF($B251="","",TEXT($B251,"YYYY-MM"))</f>
        <v/>
      </c>
      <c r="L251" s="145" t="n"/>
      <c r="M251" s="145" t="n"/>
      <c r="N251" s="145" t="n"/>
      <c r="O251" s="145" t="n"/>
      <c r="P251" s="145" t="n"/>
      <c r="Q251" s="145" t="n"/>
      <c r="R251" s="145" t="n"/>
      <c r="S251" s="145" t="n"/>
      <c r="T251" s="145" t="n"/>
      <c r="U251" s="1" t="n"/>
      <c r="V251" s="1" t="n"/>
      <c r="W251" s="1" t="n"/>
      <c r="X251" s="1" t="n"/>
      <c r="Y251" s="1" t="n"/>
      <c r="Z251" s="1" t="n"/>
    </row>
    <row r="252" ht="15" customHeight="1" s="311">
      <c r="A252" s="41">
        <f>IF($D252="","",ROW()-5)</f>
        <v/>
      </c>
      <c r="B252" s="144" t="n"/>
      <c r="C252" s="83" t="n"/>
      <c r="D252" s="146" t="n"/>
      <c r="E252" s="146" t="n"/>
      <c r="F252" s="146" t="n"/>
      <c r="G252" s="164">
        <f t="array" ref="G252">IF($F252="","",IFERROR(INDEX(Disponibilidad!$O$6:$O$18,MATCH($F252,Disponibilidad!$B$6:$B$18,0)),"Hogar"))</f>
        <v/>
      </c>
      <c r="H252" s="76" t="n"/>
      <c r="I252" s="57">
        <f>IF($D252="","",IF($C252="Cobro",N($H252),-N($H252)))</f>
        <v/>
      </c>
      <c r="J252" s="141" t="n"/>
      <c r="K252" s="64">
        <f>IF($B252="","",TEXT($B252,"YYYY-MM"))</f>
        <v/>
      </c>
      <c r="L252" s="145" t="n"/>
      <c r="M252" s="145" t="n"/>
      <c r="N252" s="145" t="n"/>
      <c r="O252" s="145" t="n"/>
      <c r="P252" s="145" t="n"/>
      <c r="Q252" s="145" t="n"/>
      <c r="R252" s="145" t="n"/>
      <c r="S252" s="145" t="n"/>
      <c r="T252" s="145" t="n"/>
      <c r="U252" s="1" t="n"/>
      <c r="V252" s="1" t="n"/>
      <c r="W252" s="1" t="n"/>
      <c r="X252" s="1" t="n"/>
      <c r="Y252" s="1" t="n"/>
      <c r="Z252" s="1" t="n"/>
    </row>
    <row r="253" ht="15" customHeight="1" s="311">
      <c r="A253" s="41">
        <f>IF($D253="","",ROW()-5)</f>
        <v/>
      </c>
      <c r="B253" s="144" t="n"/>
      <c r="C253" s="83" t="n"/>
      <c r="D253" s="146" t="n"/>
      <c r="E253" s="146" t="n"/>
      <c r="F253" s="146" t="n"/>
      <c r="G253" s="164">
        <f t="array" ref="G253">IF($F253="","",IFERROR(INDEX(Disponibilidad!$O$6:$O$18,MATCH($F253,Disponibilidad!$B$6:$B$18,0)),"Hogar"))</f>
        <v/>
      </c>
      <c r="H253" s="76" t="n"/>
      <c r="I253" s="57">
        <f>IF($D253="","",IF($C253="Cobro",N($H253),-N($H253)))</f>
        <v/>
      </c>
      <c r="J253" s="141" t="n"/>
      <c r="K253" s="64">
        <f>IF($B253="","",TEXT($B253,"YYYY-MM"))</f>
        <v/>
      </c>
      <c r="L253" s="145" t="n"/>
      <c r="M253" s="145" t="n"/>
      <c r="N253" s="145" t="n"/>
      <c r="O253" s="145" t="n"/>
      <c r="P253" s="145" t="n"/>
      <c r="Q253" s="145" t="n"/>
      <c r="R253" s="145" t="n"/>
      <c r="S253" s="145" t="n"/>
      <c r="T253" s="145" t="n"/>
      <c r="U253" s="1" t="n"/>
      <c r="V253" s="1" t="n"/>
      <c r="W253" s="1" t="n"/>
      <c r="X253" s="1" t="n"/>
      <c r="Y253" s="1" t="n"/>
      <c r="Z253" s="1" t="n"/>
    </row>
    <row r="254" ht="15" customHeight="1" s="311">
      <c r="A254" s="41">
        <f>IF($D254="","",ROW()-5)</f>
        <v/>
      </c>
      <c r="B254" s="144" t="n"/>
      <c r="C254" s="83" t="n"/>
      <c r="D254" s="146" t="n"/>
      <c r="E254" s="146" t="n"/>
      <c r="F254" s="146" t="n"/>
      <c r="G254" s="164">
        <f t="array" ref="G254">IF($F254="","",IFERROR(INDEX(Disponibilidad!$O$6:$O$18,MATCH($F254,Disponibilidad!$B$6:$B$18,0)),"Hogar"))</f>
        <v/>
      </c>
      <c r="H254" s="76" t="n"/>
      <c r="I254" s="57">
        <f>IF($D254="","",IF($C254="Cobro",N($H254),-N($H254)))</f>
        <v/>
      </c>
      <c r="J254" s="141" t="n"/>
      <c r="K254" s="64">
        <f>IF($B254="","",TEXT($B254,"YYYY-MM"))</f>
        <v/>
      </c>
      <c r="L254" s="145" t="n"/>
      <c r="M254" s="145" t="n"/>
      <c r="N254" s="145" t="n"/>
      <c r="O254" s="145" t="n"/>
      <c r="P254" s="145" t="n"/>
      <c r="Q254" s="145" t="n"/>
      <c r="R254" s="145" t="n"/>
      <c r="S254" s="145" t="n"/>
      <c r="T254" s="145" t="n"/>
      <c r="U254" s="1" t="n"/>
      <c r="V254" s="1" t="n"/>
      <c r="W254" s="1" t="n"/>
      <c r="X254" s="1" t="n"/>
      <c r="Y254" s="1" t="n"/>
      <c r="Z254" s="1" t="n"/>
    </row>
    <row r="255" ht="15" customHeight="1" s="311">
      <c r="A255" s="41">
        <f>IF($D255="","",ROW()-5)</f>
        <v/>
      </c>
      <c r="B255" s="144" t="n"/>
      <c r="C255" s="83" t="n"/>
      <c r="D255" s="146" t="n"/>
      <c r="E255" s="146" t="n"/>
      <c r="F255" s="146" t="n"/>
      <c r="G255" s="164">
        <f t="array" ref="G255">IF($F255="","",IFERROR(INDEX(Disponibilidad!$O$6:$O$18,MATCH($F255,Disponibilidad!$B$6:$B$18,0)),"Hogar"))</f>
        <v/>
      </c>
      <c r="H255" s="76" t="n"/>
      <c r="I255" s="57">
        <f>IF($D255="","",IF($C255="Cobro",N($H255),-N($H255)))</f>
        <v/>
      </c>
      <c r="J255" s="141" t="n"/>
      <c r="K255" s="64">
        <f>IF($B255="","",TEXT($B255,"YYYY-MM"))</f>
        <v/>
      </c>
      <c r="L255" s="145" t="n"/>
      <c r="M255" s="145" t="n"/>
      <c r="N255" s="145" t="n"/>
      <c r="O255" s="145" t="n"/>
      <c r="P255" s="145" t="n"/>
      <c r="Q255" s="145" t="n"/>
      <c r="R255" s="145" t="n"/>
      <c r="S255" s="145" t="n"/>
      <c r="T255" s="145" t="n"/>
      <c r="U255" s="1" t="n"/>
      <c r="V255" s="1" t="n"/>
      <c r="W255" s="1" t="n"/>
      <c r="X255" s="1" t="n"/>
      <c r="Y255" s="1" t="n"/>
      <c r="Z255" s="1" t="n"/>
    </row>
    <row r="256" ht="15" customHeight="1" s="311">
      <c r="A256" s="41">
        <f>IF($D256="","",ROW()-5)</f>
        <v/>
      </c>
      <c r="B256" s="144" t="n"/>
      <c r="C256" s="83" t="n"/>
      <c r="D256" s="146" t="n"/>
      <c r="E256" s="146" t="n"/>
      <c r="F256" s="146" t="n"/>
      <c r="G256" s="164">
        <f t="array" ref="G256">IF($F256="","",IFERROR(INDEX(Disponibilidad!$O$6:$O$18,MATCH($F256,Disponibilidad!$B$6:$B$18,0)),"Hogar"))</f>
        <v/>
      </c>
      <c r="H256" s="76" t="n"/>
      <c r="I256" s="57">
        <f>IF($D256="","",IF($C256="Cobro",N($H256),-N($H256)))</f>
        <v/>
      </c>
      <c r="J256" s="141" t="n"/>
      <c r="K256" s="64">
        <f>IF($B256="","",TEXT($B256,"YYYY-MM"))</f>
        <v/>
      </c>
      <c r="L256" s="145" t="n"/>
      <c r="M256" s="145" t="n"/>
      <c r="N256" s="145" t="n"/>
      <c r="O256" s="145" t="n"/>
      <c r="P256" s="145" t="n"/>
      <c r="Q256" s="145" t="n"/>
      <c r="R256" s="145" t="n"/>
      <c r="S256" s="145" t="n"/>
      <c r="T256" s="145" t="n"/>
      <c r="U256" s="1" t="n"/>
      <c r="V256" s="1" t="n"/>
      <c r="W256" s="1" t="n"/>
      <c r="X256" s="1" t="n"/>
      <c r="Y256" s="1" t="n"/>
      <c r="Z256" s="1" t="n"/>
    </row>
    <row r="257" ht="15" customHeight="1" s="311">
      <c r="A257" s="41">
        <f>IF($D257="","",ROW()-5)</f>
        <v/>
      </c>
      <c r="B257" s="144" t="n"/>
      <c r="C257" s="83" t="n"/>
      <c r="D257" s="146" t="n"/>
      <c r="E257" s="146" t="n"/>
      <c r="F257" s="146" t="n"/>
      <c r="G257" s="164">
        <f t="array" ref="G257">IF($F257="","",IFERROR(INDEX(Disponibilidad!$O$6:$O$18,MATCH($F257,Disponibilidad!$B$6:$B$18,0)),"Hogar"))</f>
        <v/>
      </c>
      <c r="H257" s="76" t="n"/>
      <c r="I257" s="57">
        <f>IF($D257="","",IF($C257="Cobro",N($H257),-N($H257)))</f>
        <v/>
      </c>
      <c r="J257" s="141" t="n"/>
      <c r="K257" s="64">
        <f>IF($B257="","",TEXT($B257,"YYYY-MM"))</f>
        <v/>
      </c>
      <c r="L257" s="145" t="n"/>
      <c r="M257" s="145" t="n"/>
      <c r="N257" s="145" t="n"/>
      <c r="O257" s="145" t="n"/>
      <c r="P257" s="145" t="n"/>
      <c r="Q257" s="145" t="n"/>
      <c r="R257" s="145" t="n"/>
      <c r="S257" s="145" t="n"/>
      <c r="T257" s="145" t="n"/>
      <c r="U257" s="1" t="n"/>
      <c r="V257" s="1" t="n"/>
      <c r="W257" s="1" t="n"/>
      <c r="X257" s="1" t="n"/>
      <c r="Y257" s="1" t="n"/>
      <c r="Z257" s="1" t="n"/>
    </row>
    <row r="258" ht="15" customHeight="1" s="311">
      <c r="A258" s="41">
        <f>IF($D258="","",ROW()-5)</f>
        <v/>
      </c>
      <c r="B258" s="144" t="n"/>
      <c r="C258" s="83" t="n"/>
      <c r="D258" s="146" t="n"/>
      <c r="E258" s="146" t="n"/>
      <c r="F258" s="146" t="n"/>
      <c r="G258" s="164">
        <f t="array" ref="G258">IF($F258="","",IFERROR(INDEX(Disponibilidad!$O$6:$O$18,MATCH($F258,Disponibilidad!$B$6:$B$18,0)),"Hogar"))</f>
        <v/>
      </c>
      <c r="H258" s="76" t="n"/>
      <c r="I258" s="57">
        <f>IF($D258="","",IF($C258="Cobro",N($H258),-N($H258)))</f>
        <v/>
      </c>
      <c r="J258" s="141" t="n"/>
      <c r="K258" s="64">
        <f>IF($B258="","",TEXT($B258,"YYYY-MM"))</f>
        <v/>
      </c>
      <c r="L258" s="145" t="n"/>
      <c r="M258" s="145" t="n"/>
      <c r="N258" s="145" t="n"/>
      <c r="O258" s="145" t="n"/>
      <c r="P258" s="145" t="n"/>
      <c r="Q258" s="145" t="n"/>
      <c r="R258" s="145" t="n"/>
      <c r="S258" s="145" t="n"/>
      <c r="T258" s="145" t="n"/>
      <c r="U258" s="1" t="n"/>
      <c r="V258" s="1" t="n"/>
      <c r="W258" s="1" t="n"/>
      <c r="X258" s="1" t="n"/>
      <c r="Y258" s="1" t="n"/>
      <c r="Z258" s="1" t="n"/>
    </row>
    <row r="259" ht="15" customHeight="1" s="311">
      <c r="A259" s="41">
        <f>IF($D259="","",ROW()-5)</f>
        <v/>
      </c>
      <c r="B259" s="144" t="n"/>
      <c r="C259" s="83" t="n"/>
      <c r="D259" s="146" t="n"/>
      <c r="E259" s="146" t="n"/>
      <c r="F259" s="146" t="n"/>
      <c r="G259" s="164">
        <f t="array" ref="G259">IF($F259="","",IFERROR(INDEX(Disponibilidad!$O$6:$O$18,MATCH($F259,Disponibilidad!$B$6:$B$18,0)),"Hogar"))</f>
        <v/>
      </c>
      <c r="H259" s="76" t="n"/>
      <c r="I259" s="57">
        <f>IF($D259="","",IF($C259="Cobro",N($H259),-N($H259)))</f>
        <v/>
      </c>
      <c r="J259" s="141" t="n"/>
      <c r="K259" s="64">
        <f>IF($B259="","",TEXT($B259,"YYYY-MM"))</f>
        <v/>
      </c>
      <c r="L259" s="145" t="n"/>
      <c r="M259" s="145" t="n"/>
      <c r="N259" s="145" t="n"/>
      <c r="O259" s="145" t="n"/>
      <c r="P259" s="145" t="n"/>
      <c r="Q259" s="145" t="n"/>
      <c r="R259" s="145" t="n"/>
      <c r="S259" s="145" t="n"/>
      <c r="T259" s="145" t="n"/>
      <c r="U259" s="1" t="n"/>
      <c r="V259" s="1" t="n"/>
      <c r="W259" s="1" t="n"/>
      <c r="X259" s="1" t="n"/>
      <c r="Y259" s="1" t="n"/>
      <c r="Z259" s="1" t="n"/>
    </row>
    <row r="260" ht="15" customHeight="1" s="311">
      <c r="A260" s="41">
        <f>IF($D260="","",ROW()-5)</f>
        <v/>
      </c>
      <c r="B260" s="144" t="n"/>
      <c r="C260" s="83" t="n"/>
      <c r="D260" s="146" t="n"/>
      <c r="E260" s="146" t="n"/>
      <c r="F260" s="146" t="n"/>
      <c r="G260" s="164">
        <f t="array" ref="G260">IF($F260="","",IFERROR(INDEX(Disponibilidad!$O$6:$O$18,MATCH($F260,Disponibilidad!$B$6:$B$18,0)),"Hogar"))</f>
        <v/>
      </c>
      <c r="H260" s="76" t="n"/>
      <c r="I260" s="57">
        <f>IF($D260="","",IF($C260="Cobro",N($H260),-N($H260)))</f>
        <v/>
      </c>
      <c r="J260" s="141" t="n"/>
      <c r="K260" s="64">
        <f>IF($B260="","",TEXT($B260,"YYYY-MM"))</f>
        <v/>
      </c>
      <c r="L260" s="145" t="n"/>
      <c r="M260" s="145" t="n"/>
      <c r="N260" s="145" t="n"/>
      <c r="O260" s="145" t="n"/>
      <c r="P260" s="145" t="n"/>
      <c r="Q260" s="145" t="n"/>
      <c r="R260" s="145" t="n"/>
      <c r="S260" s="145" t="n"/>
      <c r="T260" s="145" t="n"/>
      <c r="U260" s="1" t="n"/>
      <c r="V260" s="1" t="n"/>
      <c r="W260" s="1" t="n"/>
      <c r="X260" s="1" t="n"/>
      <c r="Y260" s="1" t="n"/>
      <c r="Z260" s="1" t="n"/>
    </row>
    <row r="261" ht="15" customHeight="1" s="311">
      <c r="A261" s="41">
        <f>IF($D261="","",ROW()-5)</f>
        <v/>
      </c>
      <c r="B261" s="144" t="n"/>
      <c r="C261" s="83" t="n"/>
      <c r="D261" s="146" t="n"/>
      <c r="E261" s="146" t="n"/>
      <c r="F261" s="146" t="n"/>
      <c r="G261" s="164">
        <f t="array" ref="G261">IF($F261="","",IFERROR(INDEX(Disponibilidad!$O$6:$O$18,MATCH($F261,Disponibilidad!$B$6:$B$18,0)),"Hogar"))</f>
        <v/>
      </c>
      <c r="H261" s="76" t="n"/>
      <c r="I261" s="57">
        <f>IF($D261="","",IF($C261="Cobro",N($H261),-N($H261)))</f>
        <v/>
      </c>
      <c r="J261" s="141" t="n"/>
      <c r="K261" s="64">
        <f>IF($B261="","",TEXT($B261,"YYYY-MM"))</f>
        <v/>
      </c>
      <c r="L261" s="145" t="n"/>
      <c r="M261" s="145" t="n"/>
      <c r="N261" s="145" t="n"/>
      <c r="O261" s="145" t="n"/>
      <c r="P261" s="145" t="n"/>
      <c r="Q261" s="145" t="n"/>
      <c r="R261" s="145" t="n"/>
      <c r="S261" s="145" t="n"/>
      <c r="T261" s="145" t="n"/>
      <c r="U261" s="1" t="n"/>
      <c r="V261" s="1" t="n"/>
      <c r="W261" s="1" t="n"/>
      <c r="X261" s="1" t="n"/>
      <c r="Y261" s="1" t="n"/>
      <c r="Z261" s="1" t="n"/>
    </row>
    <row r="262" ht="15" customHeight="1" s="311">
      <c r="A262" s="41">
        <f>IF($D262="","",ROW()-5)</f>
        <v/>
      </c>
      <c r="B262" s="144" t="n"/>
      <c r="C262" s="83" t="n"/>
      <c r="D262" s="146" t="n"/>
      <c r="E262" s="146" t="n"/>
      <c r="F262" s="146" t="n"/>
      <c r="G262" s="164">
        <f t="array" ref="G262">IF($F262="","",IFERROR(INDEX(Disponibilidad!$O$6:$O$18,MATCH($F262,Disponibilidad!$B$6:$B$18,0)),"Hogar"))</f>
        <v/>
      </c>
      <c r="H262" s="76" t="n"/>
      <c r="I262" s="57">
        <f>IF($D262="","",IF($C262="Cobro",N($H262),-N($H262)))</f>
        <v/>
      </c>
      <c r="J262" s="141" t="n"/>
      <c r="K262" s="64">
        <f>IF($B262="","",TEXT($B262,"YYYY-MM"))</f>
        <v/>
      </c>
      <c r="L262" s="145" t="n"/>
      <c r="M262" s="145" t="n"/>
      <c r="N262" s="145" t="n"/>
      <c r="O262" s="145" t="n"/>
      <c r="P262" s="145" t="n"/>
      <c r="Q262" s="145" t="n"/>
      <c r="R262" s="145" t="n"/>
      <c r="S262" s="145" t="n"/>
      <c r="T262" s="145" t="n"/>
      <c r="U262" s="1" t="n"/>
      <c r="V262" s="1" t="n"/>
      <c r="W262" s="1" t="n"/>
      <c r="X262" s="1" t="n"/>
      <c r="Y262" s="1" t="n"/>
      <c r="Z262" s="1" t="n"/>
    </row>
    <row r="263" ht="15" customHeight="1" s="311">
      <c r="A263" s="41">
        <f>IF($D263="","",ROW()-5)</f>
        <v/>
      </c>
      <c r="B263" s="144" t="n"/>
      <c r="C263" s="83" t="n"/>
      <c r="D263" s="146" t="n"/>
      <c r="E263" s="146" t="n"/>
      <c r="F263" s="146" t="n"/>
      <c r="G263" s="164">
        <f t="array" ref="G263">IF($F263="","",IFERROR(INDEX(Disponibilidad!$O$6:$O$18,MATCH($F263,Disponibilidad!$B$6:$B$18,0)),"Hogar"))</f>
        <v/>
      </c>
      <c r="H263" s="76" t="n"/>
      <c r="I263" s="57">
        <f>IF($D263="","",IF($C263="Cobro",N($H263),-N($H263)))</f>
        <v/>
      </c>
      <c r="J263" s="141" t="n"/>
      <c r="K263" s="64">
        <f>IF($B263="","",TEXT($B263,"YYYY-MM"))</f>
        <v/>
      </c>
      <c r="L263" s="145" t="n"/>
      <c r="M263" s="145" t="n"/>
      <c r="N263" s="145" t="n"/>
      <c r="O263" s="145" t="n"/>
      <c r="P263" s="145" t="n"/>
      <c r="Q263" s="145" t="n"/>
      <c r="R263" s="145" t="n"/>
      <c r="S263" s="145" t="n"/>
      <c r="T263" s="145" t="n"/>
      <c r="U263" s="1" t="n"/>
      <c r="V263" s="1" t="n"/>
      <c r="W263" s="1" t="n"/>
      <c r="X263" s="1" t="n"/>
      <c r="Y263" s="1" t="n"/>
      <c r="Z263" s="1" t="n"/>
    </row>
    <row r="264" ht="15" customHeight="1" s="311">
      <c r="A264" s="41">
        <f>IF($D264="","",ROW()-5)</f>
        <v/>
      </c>
      <c r="B264" s="144" t="n"/>
      <c r="C264" s="83" t="n"/>
      <c r="D264" s="146" t="n"/>
      <c r="E264" s="146" t="n"/>
      <c r="F264" s="146" t="n"/>
      <c r="G264" s="164">
        <f t="array" ref="G264">IF($F264="","",IFERROR(INDEX(Disponibilidad!$O$6:$O$18,MATCH($F264,Disponibilidad!$B$6:$B$18,0)),"Hogar"))</f>
        <v/>
      </c>
      <c r="H264" s="76" t="n"/>
      <c r="I264" s="57">
        <f>IF($D264="","",IF($C264="Cobro",N($H264),-N($H264)))</f>
        <v/>
      </c>
      <c r="J264" s="141" t="n"/>
      <c r="K264" s="64">
        <f>IF($B264="","",TEXT($B264,"YYYY-MM"))</f>
        <v/>
      </c>
      <c r="L264" s="145" t="n"/>
      <c r="M264" s="145" t="n"/>
      <c r="N264" s="145" t="n"/>
      <c r="O264" s="145" t="n"/>
      <c r="P264" s="145" t="n"/>
      <c r="Q264" s="145" t="n"/>
      <c r="R264" s="145" t="n"/>
      <c r="S264" s="145" t="n"/>
      <c r="T264" s="145" t="n"/>
      <c r="U264" s="1" t="n"/>
      <c r="V264" s="1" t="n"/>
      <c r="W264" s="1" t="n"/>
      <c r="X264" s="1" t="n"/>
      <c r="Y264" s="1" t="n"/>
      <c r="Z264" s="1" t="n"/>
    </row>
    <row r="265" ht="15" customHeight="1" s="311">
      <c r="A265" s="41">
        <f>IF($D265="","",ROW()-5)</f>
        <v/>
      </c>
      <c r="B265" s="144" t="n"/>
      <c r="C265" s="83" t="n"/>
      <c r="D265" s="146" t="n"/>
      <c r="E265" s="146" t="n"/>
      <c r="F265" s="146" t="n"/>
      <c r="G265" s="164">
        <f t="array" ref="G265">IF($F265="","",IFERROR(INDEX(Disponibilidad!$O$6:$O$18,MATCH($F265,Disponibilidad!$B$6:$B$18,0)),"Hogar"))</f>
        <v/>
      </c>
      <c r="H265" s="76" t="n"/>
      <c r="I265" s="57">
        <f>IF($D265="","",IF($C265="Cobro",N($H265),-N($H265)))</f>
        <v/>
      </c>
      <c r="J265" s="141" t="n"/>
      <c r="K265" s="64">
        <f>IF($B265="","",TEXT($B265,"YYYY-MM"))</f>
        <v/>
      </c>
      <c r="L265" s="145" t="n"/>
      <c r="M265" s="145" t="n"/>
      <c r="N265" s="145" t="n"/>
      <c r="O265" s="145" t="n"/>
      <c r="P265" s="145" t="n"/>
      <c r="Q265" s="145" t="n"/>
      <c r="R265" s="145" t="n"/>
      <c r="S265" s="145" t="n"/>
      <c r="T265" s="145" t="n"/>
      <c r="U265" s="1" t="n"/>
      <c r="V265" s="1" t="n"/>
      <c r="W265" s="1" t="n"/>
      <c r="X265" s="1" t="n"/>
      <c r="Y265" s="1" t="n"/>
      <c r="Z265" s="1" t="n"/>
    </row>
    <row r="266" ht="15" customHeight="1" s="311">
      <c r="A266" s="41">
        <f>IF($D266="","",ROW()-5)</f>
        <v/>
      </c>
      <c r="B266" s="144" t="n"/>
      <c r="C266" s="83" t="n"/>
      <c r="D266" s="146" t="n"/>
      <c r="E266" s="146" t="n"/>
      <c r="F266" s="146" t="n"/>
      <c r="G266" s="164">
        <f t="array" ref="G266">IF($F266="","",IFERROR(INDEX(Disponibilidad!$O$6:$O$18,MATCH($F266,Disponibilidad!$B$6:$B$18,0)),"Hogar"))</f>
        <v/>
      </c>
      <c r="H266" s="76" t="n"/>
      <c r="I266" s="57">
        <f>IF($D266="","",IF($C266="Cobro",N($H266),-N($H266)))</f>
        <v/>
      </c>
      <c r="J266" s="141" t="n"/>
      <c r="K266" s="64">
        <f>IF($B266="","",TEXT($B266,"YYYY-MM"))</f>
        <v/>
      </c>
      <c r="L266" s="145" t="n"/>
      <c r="M266" s="145" t="n"/>
      <c r="N266" s="145" t="n"/>
      <c r="O266" s="145" t="n"/>
      <c r="P266" s="145" t="n"/>
      <c r="Q266" s="145" t="n"/>
      <c r="R266" s="145" t="n"/>
      <c r="S266" s="145" t="n"/>
      <c r="T266" s="145" t="n"/>
      <c r="U266" s="1" t="n"/>
      <c r="V266" s="1" t="n"/>
      <c r="W266" s="1" t="n"/>
      <c r="X266" s="1" t="n"/>
      <c r="Y266" s="1" t="n"/>
      <c r="Z266" s="1" t="n"/>
    </row>
    <row r="267" ht="15" customHeight="1" s="311">
      <c r="A267" s="41">
        <f>IF($D267="","",ROW()-5)</f>
        <v/>
      </c>
      <c r="B267" s="144" t="n"/>
      <c r="C267" s="83" t="n"/>
      <c r="D267" s="146" t="n"/>
      <c r="E267" s="146" t="n"/>
      <c r="F267" s="146" t="n"/>
      <c r="G267" s="164">
        <f t="array" ref="G267">IF($F267="","",IFERROR(INDEX(Disponibilidad!$O$6:$O$18,MATCH($F267,Disponibilidad!$B$6:$B$18,0)),"Hogar"))</f>
        <v/>
      </c>
      <c r="H267" s="76" t="n"/>
      <c r="I267" s="57">
        <f>IF($D267="","",IF($C267="Cobro",N($H267),-N($H267)))</f>
        <v/>
      </c>
      <c r="J267" s="141" t="n"/>
      <c r="K267" s="64">
        <f>IF($B267="","",TEXT($B267,"YYYY-MM"))</f>
        <v/>
      </c>
      <c r="L267" s="145" t="n"/>
      <c r="M267" s="145" t="n"/>
      <c r="N267" s="145" t="n"/>
      <c r="O267" s="145" t="n"/>
      <c r="P267" s="145" t="n"/>
      <c r="Q267" s="145" t="n"/>
      <c r="R267" s="145" t="n"/>
      <c r="S267" s="145" t="n"/>
      <c r="T267" s="145" t="n"/>
      <c r="U267" s="1" t="n"/>
      <c r="V267" s="1" t="n"/>
      <c r="W267" s="1" t="n"/>
      <c r="X267" s="1" t="n"/>
      <c r="Y267" s="1" t="n"/>
      <c r="Z267" s="1" t="n"/>
    </row>
    <row r="268" ht="15" customHeight="1" s="311">
      <c r="A268" s="41">
        <f>IF($D268="","",ROW()-5)</f>
        <v/>
      </c>
      <c r="B268" s="144" t="n"/>
      <c r="C268" s="83" t="n"/>
      <c r="D268" s="146" t="n"/>
      <c r="E268" s="146" t="n"/>
      <c r="F268" s="146" t="n"/>
      <c r="G268" s="164">
        <f t="array" ref="G268">IF($F268="","",IFERROR(INDEX(Disponibilidad!$O$6:$O$18,MATCH($F268,Disponibilidad!$B$6:$B$18,0)),"Hogar"))</f>
        <v/>
      </c>
      <c r="H268" s="76" t="n"/>
      <c r="I268" s="57">
        <f>IF($D268="","",IF($C268="Cobro",N($H268),-N($H268)))</f>
        <v/>
      </c>
      <c r="J268" s="141" t="n"/>
      <c r="K268" s="64">
        <f>IF($B268="","",TEXT($B268,"YYYY-MM"))</f>
        <v/>
      </c>
      <c r="L268" s="145" t="n"/>
      <c r="M268" s="145" t="n"/>
      <c r="N268" s="145" t="n"/>
      <c r="O268" s="145" t="n"/>
      <c r="P268" s="145" t="n"/>
      <c r="Q268" s="145" t="n"/>
      <c r="R268" s="145" t="n"/>
      <c r="S268" s="145" t="n"/>
      <c r="T268" s="145" t="n"/>
      <c r="U268" s="1" t="n"/>
      <c r="V268" s="1" t="n"/>
      <c r="W268" s="1" t="n"/>
      <c r="X268" s="1" t="n"/>
      <c r="Y268" s="1" t="n"/>
      <c r="Z268" s="1" t="n"/>
    </row>
    <row r="269" ht="15" customHeight="1" s="311">
      <c r="A269" s="41">
        <f>IF($D269="","",ROW()-5)</f>
        <v/>
      </c>
      <c r="B269" s="144" t="n"/>
      <c r="C269" s="83" t="n"/>
      <c r="D269" s="146" t="n"/>
      <c r="E269" s="146" t="n"/>
      <c r="F269" s="146" t="n"/>
      <c r="G269" s="164">
        <f t="array" ref="G269">IF($F269="","",IFERROR(INDEX(Disponibilidad!$O$6:$O$18,MATCH($F269,Disponibilidad!$B$6:$B$18,0)),"Hogar"))</f>
        <v/>
      </c>
      <c r="H269" s="76" t="n"/>
      <c r="I269" s="57">
        <f>IF($D269="","",IF($C269="Cobro",N($H269),-N($H269)))</f>
        <v/>
      </c>
      <c r="J269" s="141" t="n"/>
      <c r="K269" s="64">
        <f>IF($B269="","",TEXT($B269,"YYYY-MM"))</f>
        <v/>
      </c>
      <c r="L269" s="145" t="n"/>
      <c r="M269" s="145" t="n"/>
      <c r="N269" s="145" t="n"/>
      <c r="O269" s="145" t="n"/>
      <c r="P269" s="145" t="n"/>
      <c r="Q269" s="145" t="n"/>
      <c r="R269" s="145" t="n"/>
      <c r="S269" s="145" t="n"/>
      <c r="T269" s="145" t="n"/>
      <c r="U269" s="1" t="n"/>
      <c r="V269" s="1" t="n"/>
      <c r="W269" s="1" t="n"/>
      <c r="X269" s="1" t="n"/>
      <c r="Y269" s="1" t="n"/>
      <c r="Z269" s="1" t="n"/>
    </row>
    <row r="270" ht="15" customHeight="1" s="311">
      <c r="A270" s="41">
        <f>IF($D270="","",ROW()-5)</f>
        <v/>
      </c>
      <c r="B270" s="144" t="n"/>
      <c r="C270" s="83" t="n"/>
      <c r="D270" s="146" t="n"/>
      <c r="E270" s="146" t="n"/>
      <c r="F270" s="146" t="n"/>
      <c r="G270" s="164">
        <f t="array" ref="G270">IF($F270="","",IFERROR(INDEX(Disponibilidad!$O$6:$O$18,MATCH($F270,Disponibilidad!$B$6:$B$18,0)),"Hogar"))</f>
        <v/>
      </c>
      <c r="H270" s="76" t="n"/>
      <c r="I270" s="57">
        <f>IF($D270="","",IF($C270="Cobro",N($H270),-N($H270)))</f>
        <v/>
      </c>
      <c r="J270" s="141" t="n"/>
      <c r="K270" s="64">
        <f>IF($B270="","",TEXT($B270,"YYYY-MM"))</f>
        <v/>
      </c>
      <c r="L270" s="145" t="n"/>
      <c r="M270" s="145" t="n"/>
      <c r="N270" s="145" t="n"/>
      <c r="O270" s="145" t="n"/>
      <c r="P270" s="145" t="n"/>
      <c r="Q270" s="145" t="n"/>
      <c r="R270" s="145" t="n"/>
      <c r="S270" s="145" t="n"/>
      <c r="T270" s="145" t="n"/>
      <c r="U270" s="1" t="n"/>
      <c r="V270" s="1" t="n"/>
      <c r="W270" s="1" t="n"/>
      <c r="X270" s="1" t="n"/>
      <c r="Y270" s="1" t="n"/>
      <c r="Z270" s="1" t="n"/>
    </row>
    <row r="271" ht="15" customHeight="1" s="311">
      <c r="A271" s="41">
        <f>IF($D271="","",ROW()-5)</f>
        <v/>
      </c>
      <c r="B271" s="144" t="n"/>
      <c r="C271" s="83" t="n"/>
      <c r="D271" s="146" t="n"/>
      <c r="E271" s="146" t="n"/>
      <c r="F271" s="146" t="n"/>
      <c r="G271" s="164">
        <f t="array" ref="G271">IF($F271="","",IFERROR(INDEX(Disponibilidad!$O$6:$O$18,MATCH($F271,Disponibilidad!$B$6:$B$18,0)),"Hogar"))</f>
        <v/>
      </c>
      <c r="H271" s="76" t="n"/>
      <c r="I271" s="57">
        <f>IF($D271="","",IF($C271="Cobro",N($H271),-N($H271)))</f>
        <v/>
      </c>
      <c r="J271" s="141" t="n"/>
      <c r="K271" s="64">
        <f>IF($B271="","",TEXT($B271,"YYYY-MM"))</f>
        <v/>
      </c>
      <c r="L271" s="145" t="n"/>
      <c r="M271" s="145" t="n"/>
      <c r="N271" s="145" t="n"/>
      <c r="O271" s="145" t="n"/>
      <c r="P271" s="145" t="n"/>
      <c r="Q271" s="145" t="n"/>
      <c r="R271" s="145" t="n"/>
      <c r="S271" s="145" t="n"/>
      <c r="T271" s="145" t="n"/>
      <c r="U271" s="1" t="n"/>
      <c r="V271" s="1" t="n"/>
      <c r="W271" s="1" t="n"/>
      <c r="X271" s="1" t="n"/>
      <c r="Y271" s="1" t="n"/>
      <c r="Z271" s="1" t="n"/>
    </row>
    <row r="272" ht="15" customHeight="1" s="311">
      <c r="A272" s="41">
        <f>IF($D272="","",ROW()-5)</f>
        <v/>
      </c>
      <c r="B272" s="144" t="n"/>
      <c r="C272" s="83" t="n"/>
      <c r="D272" s="146" t="n"/>
      <c r="E272" s="146" t="n"/>
      <c r="F272" s="146" t="n"/>
      <c r="G272" s="164">
        <f t="array" ref="G272">IF($F272="","",IFERROR(INDEX(Disponibilidad!$O$6:$O$18,MATCH($F272,Disponibilidad!$B$6:$B$18,0)),"Hogar"))</f>
        <v/>
      </c>
      <c r="H272" s="76" t="n"/>
      <c r="I272" s="57">
        <f>IF($D272="","",IF($C272="Cobro",N($H272),-N($H272)))</f>
        <v/>
      </c>
      <c r="J272" s="141" t="n"/>
      <c r="K272" s="64">
        <f>IF($B272="","",TEXT($B272,"YYYY-MM"))</f>
        <v/>
      </c>
      <c r="L272" s="145" t="n"/>
      <c r="M272" s="145" t="n"/>
      <c r="N272" s="145" t="n"/>
      <c r="O272" s="145" t="n"/>
      <c r="P272" s="145" t="n"/>
      <c r="Q272" s="145" t="n"/>
      <c r="R272" s="145" t="n"/>
      <c r="S272" s="145" t="n"/>
      <c r="T272" s="145" t="n"/>
      <c r="U272" s="1" t="n"/>
      <c r="V272" s="1" t="n"/>
      <c r="W272" s="1" t="n"/>
      <c r="X272" s="1" t="n"/>
      <c r="Y272" s="1" t="n"/>
      <c r="Z272" s="1" t="n"/>
    </row>
    <row r="273" ht="15" customHeight="1" s="311">
      <c r="A273" s="41">
        <f>IF($D273="","",ROW()-5)</f>
        <v/>
      </c>
      <c r="B273" s="144" t="n"/>
      <c r="C273" s="83" t="n"/>
      <c r="D273" s="146" t="n"/>
      <c r="E273" s="146" t="n"/>
      <c r="F273" s="146" t="n"/>
      <c r="G273" s="164">
        <f t="array" ref="G273">IF($F273="","",IFERROR(INDEX(Disponibilidad!$O$6:$O$18,MATCH($F273,Disponibilidad!$B$6:$B$18,0)),"Hogar"))</f>
        <v/>
      </c>
      <c r="H273" s="76" t="n"/>
      <c r="I273" s="57">
        <f>IF($D273="","",IF($C273="Cobro",N($H273),-N($H273)))</f>
        <v/>
      </c>
      <c r="J273" s="141" t="n"/>
      <c r="K273" s="64">
        <f>IF($B273="","",TEXT($B273,"YYYY-MM"))</f>
        <v/>
      </c>
      <c r="L273" s="145" t="n"/>
      <c r="M273" s="145" t="n"/>
      <c r="N273" s="145" t="n"/>
      <c r="O273" s="145" t="n"/>
      <c r="P273" s="145" t="n"/>
      <c r="Q273" s="145" t="n"/>
      <c r="R273" s="145" t="n"/>
      <c r="S273" s="145" t="n"/>
      <c r="T273" s="145" t="n"/>
      <c r="U273" s="1" t="n"/>
      <c r="V273" s="1" t="n"/>
      <c r="W273" s="1" t="n"/>
      <c r="X273" s="1" t="n"/>
      <c r="Y273" s="1" t="n"/>
      <c r="Z273" s="1" t="n"/>
    </row>
    <row r="274" ht="15" customHeight="1" s="311">
      <c r="A274" s="41">
        <f>IF($D274="","",ROW()-5)</f>
        <v/>
      </c>
      <c r="B274" s="144" t="n"/>
      <c r="C274" s="83" t="n"/>
      <c r="D274" s="146" t="n"/>
      <c r="E274" s="146" t="n"/>
      <c r="F274" s="146" t="n"/>
      <c r="G274" s="164">
        <f t="array" ref="G274">IF($F274="","",IFERROR(INDEX(Disponibilidad!$O$6:$O$18,MATCH($F274,Disponibilidad!$B$6:$B$18,0)),"Hogar"))</f>
        <v/>
      </c>
      <c r="H274" s="76" t="n"/>
      <c r="I274" s="57">
        <f>IF($D274="","",IF($C274="Cobro",N($H274),-N($H274)))</f>
        <v/>
      </c>
      <c r="J274" s="141" t="n"/>
      <c r="K274" s="64">
        <f>IF($B274="","",TEXT($B274,"YYYY-MM"))</f>
        <v/>
      </c>
      <c r="L274" s="145" t="n"/>
      <c r="M274" s="145" t="n"/>
      <c r="N274" s="145" t="n"/>
      <c r="O274" s="145" t="n"/>
      <c r="P274" s="145" t="n"/>
      <c r="Q274" s="145" t="n"/>
      <c r="R274" s="145" t="n"/>
      <c r="S274" s="145" t="n"/>
      <c r="T274" s="145" t="n"/>
      <c r="U274" s="1" t="n"/>
      <c r="V274" s="1" t="n"/>
      <c r="W274" s="1" t="n"/>
      <c r="X274" s="1" t="n"/>
      <c r="Y274" s="1" t="n"/>
      <c r="Z274" s="1" t="n"/>
    </row>
    <row r="275" ht="15" customHeight="1" s="311">
      <c r="A275" s="41">
        <f>IF($D275="","",ROW()-5)</f>
        <v/>
      </c>
      <c r="B275" s="144" t="n"/>
      <c r="C275" s="83" t="n"/>
      <c r="D275" s="146" t="n"/>
      <c r="E275" s="146" t="n"/>
      <c r="F275" s="146" t="n"/>
      <c r="G275" s="164">
        <f t="array" ref="G275">IF($F275="","",IFERROR(INDEX(Disponibilidad!$O$6:$O$18,MATCH($F275,Disponibilidad!$B$6:$B$18,0)),"Hogar"))</f>
        <v/>
      </c>
      <c r="H275" s="76" t="n"/>
      <c r="I275" s="57">
        <f>IF($D275="","",IF($C275="Cobro",N($H275),-N($H275)))</f>
        <v/>
      </c>
      <c r="J275" s="141" t="n"/>
      <c r="K275" s="64">
        <f>IF($B275="","",TEXT($B275,"YYYY-MM"))</f>
        <v/>
      </c>
      <c r="L275" s="145" t="n"/>
      <c r="M275" s="145" t="n"/>
      <c r="N275" s="145" t="n"/>
      <c r="O275" s="145" t="n"/>
      <c r="P275" s="145" t="n"/>
      <c r="Q275" s="145" t="n"/>
      <c r="R275" s="145" t="n"/>
      <c r="S275" s="145" t="n"/>
      <c r="T275" s="145" t="n"/>
      <c r="U275" s="1" t="n"/>
      <c r="V275" s="1" t="n"/>
      <c r="W275" s="1" t="n"/>
      <c r="X275" s="1" t="n"/>
      <c r="Y275" s="1" t="n"/>
      <c r="Z275" s="1" t="n"/>
    </row>
    <row r="276" ht="15" customHeight="1" s="311">
      <c r="A276" s="41">
        <f>IF($D276="","",ROW()-5)</f>
        <v/>
      </c>
      <c r="B276" s="144" t="n"/>
      <c r="C276" s="83" t="n"/>
      <c r="D276" s="146" t="n"/>
      <c r="E276" s="146" t="n"/>
      <c r="F276" s="146" t="n"/>
      <c r="G276" s="164">
        <f t="array" ref="G276">IF($F276="","",IFERROR(INDEX(Disponibilidad!$O$6:$O$18,MATCH($F276,Disponibilidad!$B$6:$B$18,0)),"Hogar"))</f>
        <v/>
      </c>
      <c r="H276" s="76" t="n"/>
      <c r="I276" s="57">
        <f>IF($D276="","",IF($C276="Cobro",N($H276),-N($H276)))</f>
        <v/>
      </c>
      <c r="J276" s="141" t="n"/>
      <c r="K276" s="64">
        <f>IF($B276="","",TEXT($B276,"YYYY-MM"))</f>
        <v/>
      </c>
      <c r="L276" s="145" t="n"/>
      <c r="M276" s="145" t="n"/>
      <c r="N276" s="145" t="n"/>
      <c r="O276" s="145" t="n"/>
      <c r="P276" s="145" t="n"/>
      <c r="Q276" s="145" t="n"/>
      <c r="R276" s="145" t="n"/>
      <c r="S276" s="145" t="n"/>
      <c r="T276" s="145" t="n"/>
      <c r="U276" s="1" t="n"/>
      <c r="V276" s="1" t="n"/>
      <c r="W276" s="1" t="n"/>
      <c r="X276" s="1" t="n"/>
      <c r="Y276" s="1" t="n"/>
      <c r="Z276" s="1" t="n"/>
    </row>
    <row r="277" ht="15" customHeight="1" s="311">
      <c r="A277" s="41">
        <f>IF($D277="","",ROW()-5)</f>
        <v/>
      </c>
      <c r="B277" s="144" t="n"/>
      <c r="C277" s="83" t="n"/>
      <c r="D277" s="146" t="n"/>
      <c r="E277" s="146" t="n"/>
      <c r="F277" s="146" t="n"/>
      <c r="G277" s="164">
        <f t="array" ref="G277">IF($F277="","",IFERROR(INDEX(Disponibilidad!$O$6:$O$18,MATCH($F277,Disponibilidad!$B$6:$B$18,0)),"Hogar"))</f>
        <v/>
      </c>
      <c r="H277" s="76" t="n"/>
      <c r="I277" s="57">
        <f>IF($D277="","",IF($C277="Cobro",N($H277),-N($H277)))</f>
        <v/>
      </c>
      <c r="J277" s="141" t="n"/>
      <c r="K277" s="64">
        <f>IF($B277="","",TEXT($B277,"YYYY-MM"))</f>
        <v/>
      </c>
      <c r="L277" s="145" t="n"/>
      <c r="M277" s="145" t="n"/>
      <c r="N277" s="145" t="n"/>
      <c r="O277" s="145" t="n"/>
      <c r="P277" s="145" t="n"/>
      <c r="Q277" s="145" t="n"/>
      <c r="R277" s="145" t="n"/>
      <c r="S277" s="145" t="n"/>
      <c r="T277" s="145" t="n"/>
      <c r="U277" s="1" t="n"/>
      <c r="V277" s="1" t="n"/>
      <c r="W277" s="1" t="n"/>
      <c r="X277" s="1" t="n"/>
      <c r="Y277" s="1" t="n"/>
      <c r="Z277" s="1" t="n"/>
    </row>
    <row r="278" ht="15" customHeight="1" s="311">
      <c r="A278" s="41">
        <f>IF($D278="","",ROW()-5)</f>
        <v/>
      </c>
      <c r="B278" s="144" t="n"/>
      <c r="C278" s="83" t="n"/>
      <c r="D278" s="146" t="n"/>
      <c r="E278" s="146" t="n"/>
      <c r="F278" s="146" t="n"/>
      <c r="G278" s="164">
        <f t="array" ref="G278">IF($F278="","",IFERROR(INDEX(Disponibilidad!$O$6:$O$18,MATCH($F278,Disponibilidad!$B$6:$B$18,0)),"Hogar"))</f>
        <v/>
      </c>
      <c r="H278" s="76" t="n"/>
      <c r="I278" s="57">
        <f>IF($D278="","",IF($C278="Cobro",N($H278),-N($H278)))</f>
        <v/>
      </c>
      <c r="J278" s="141" t="n"/>
      <c r="K278" s="64">
        <f>IF($B278="","",TEXT($B278,"YYYY-MM"))</f>
        <v/>
      </c>
      <c r="L278" s="145" t="n"/>
      <c r="M278" s="145" t="n"/>
      <c r="N278" s="145" t="n"/>
      <c r="O278" s="145" t="n"/>
      <c r="P278" s="145" t="n"/>
      <c r="Q278" s="145" t="n"/>
      <c r="R278" s="145" t="n"/>
      <c r="S278" s="145" t="n"/>
      <c r="T278" s="145" t="n"/>
      <c r="U278" s="1" t="n"/>
      <c r="V278" s="1" t="n"/>
      <c r="W278" s="1" t="n"/>
      <c r="X278" s="1" t="n"/>
      <c r="Y278" s="1" t="n"/>
      <c r="Z278" s="1" t="n"/>
    </row>
    <row r="279" ht="15" customHeight="1" s="311">
      <c r="A279" s="41">
        <f>IF($D279="","",ROW()-5)</f>
        <v/>
      </c>
      <c r="B279" s="144" t="n"/>
      <c r="C279" s="83" t="n"/>
      <c r="D279" s="146" t="n"/>
      <c r="E279" s="146" t="n"/>
      <c r="F279" s="146" t="n"/>
      <c r="G279" s="164">
        <f t="array" ref="G279">IF($F279="","",IFERROR(INDEX(Disponibilidad!$O$6:$O$18,MATCH($F279,Disponibilidad!$B$6:$B$18,0)),"Hogar"))</f>
        <v/>
      </c>
      <c r="H279" s="76" t="n"/>
      <c r="I279" s="57">
        <f>IF($D279="","",IF($C279="Cobro",N($H279),-N($H279)))</f>
        <v/>
      </c>
      <c r="J279" s="141" t="n"/>
      <c r="K279" s="64">
        <f>IF($B279="","",TEXT($B279,"YYYY-MM"))</f>
        <v/>
      </c>
      <c r="L279" s="145" t="n"/>
      <c r="M279" s="145" t="n"/>
      <c r="N279" s="145" t="n"/>
      <c r="O279" s="145" t="n"/>
      <c r="P279" s="145" t="n"/>
      <c r="Q279" s="145" t="n"/>
      <c r="R279" s="145" t="n"/>
      <c r="S279" s="145" t="n"/>
      <c r="T279" s="145" t="n"/>
      <c r="U279" s="1" t="n"/>
      <c r="V279" s="1" t="n"/>
      <c r="W279" s="1" t="n"/>
      <c r="X279" s="1" t="n"/>
      <c r="Y279" s="1" t="n"/>
      <c r="Z279" s="1" t="n"/>
    </row>
    <row r="280" ht="15" customHeight="1" s="311">
      <c r="A280" s="41">
        <f>IF($D280="","",ROW()-5)</f>
        <v/>
      </c>
      <c r="B280" s="144" t="n"/>
      <c r="C280" s="83" t="n"/>
      <c r="D280" s="146" t="n"/>
      <c r="E280" s="146" t="n"/>
      <c r="F280" s="146" t="n"/>
      <c r="G280" s="164">
        <f t="array" ref="G280">IF($F280="","",IFERROR(INDEX(Disponibilidad!$O$6:$O$18,MATCH($F280,Disponibilidad!$B$6:$B$18,0)),"Hogar"))</f>
        <v/>
      </c>
      <c r="H280" s="76" t="n"/>
      <c r="I280" s="57">
        <f>IF($D280="","",IF($C280="Cobro",N($H280),-N($H280)))</f>
        <v/>
      </c>
      <c r="J280" s="141" t="n"/>
      <c r="K280" s="64">
        <f>IF($B280="","",TEXT($B280,"YYYY-MM"))</f>
        <v/>
      </c>
      <c r="L280" s="145" t="n"/>
      <c r="M280" s="145" t="n"/>
      <c r="N280" s="145" t="n"/>
      <c r="O280" s="145" t="n"/>
      <c r="P280" s="145" t="n"/>
      <c r="Q280" s="145" t="n"/>
      <c r="R280" s="145" t="n"/>
      <c r="S280" s="145" t="n"/>
      <c r="T280" s="145" t="n"/>
      <c r="U280" s="1" t="n"/>
      <c r="V280" s="1" t="n"/>
      <c r="W280" s="1" t="n"/>
      <c r="X280" s="1" t="n"/>
      <c r="Y280" s="1" t="n"/>
      <c r="Z280" s="1" t="n"/>
    </row>
    <row r="281" ht="15" customHeight="1" s="311">
      <c r="A281" s="41">
        <f>IF($D281="","",ROW()-5)</f>
        <v/>
      </c>
      <c r="B281" s="144" t="n"/>
      <c r="C281" s="83" t="n"/>
      <c r="D281" s="146" t="n"/>
      <c r="E281" s="146" t="n"/>
      <c r="F281" s="146" t="n"/>
      <c r="G281" s="164">
        <f t="array" ref="G281">IF($F281="","",IFERROR(INDEX(Disponibilidad!$O$6:$O$18,MATCH($F281,Disponibilidad!$B$6:$B$18,0)),"Hogar"))</f>
        <v/>
      </c>
      <c r="H281" s="76" t="n"/>
      <c r="I281" s="57">
        <f>IF($D281="","",IF($C281="Cobro",N($H281),-N($H281)))</f>
        <v/>
      </c>
      <c r="J281" s="141" t="n"/>
      <c r="K281" s="64">
        <f>IF($B281="","",TEXT($B281,"YYYY-MM"))</f>
        <v/>
      </c>
      <c r="L281" s="145" t="n"/>
      <c r="M281" s="145" t="n"/>
      <c r="N281" s="145" t="n"/>
      <c r="O281" s="145" t="n"/>
      <c r="P281" s="145" t="n"/>
      <c r="Q281" s="145" t="n"/>
      <c r="R281" s="145" t="n"/>
      <c r="S281" s="145" t="n"/>
      <c r="T281" s="145" t="n"/>
      <c r="U281" s="1" t="n"/>
      <c r="V281" s="1" t="n"/>
      <c r="W281" s="1" t="n"/>
      <c r="X281" s="1" t="n"/>
      <c r="Y281" s="1" t="n"/>
      <c r="Z281" s="1" t="n"/>
    </row>
    <row r="282" ht="15" customHeight="1" s="311">
      <c r="A282" s="41">
        <f>IF($D282="","",ROW()-5)</f>
        <v/>
      </c>
      <c r="B282" s="144" t="n"/>
      <c r="C282" s="83" t="n"/>
      <c r="D282" s="146" t="n"/>
      <c r="E282" s="146" t="n"/>
      <c r="F282" s="146" t="n"/>
      <c r="G282" s="164">
        <f t="array" ref="G282">IF($F282="","",IFERROR(INDEX(Disponibilidad!$O$6:$O$18,MATCH($F282,Disponibilidad!$B$6:$B$18,0)),"Hogar"))</f>
        <v/>
      </c>
      <c r="H282" s="76" t="n"/>
      <c r="I282" s="57">
        <f>IF($D282="","",IF($C282="Cobro",N($H282),-N($H282)))</f>
        <v/>
      </c>
      <c r="J282" s="141" t="n"/>
      <c r="K282" s="64">
        <f>IF($B282="","",TEXT($B282,"YYYY-MM"))</f>
        <v/>
      </c>
      <c r="L282" s="145" t="n"/>
      <c r="M282" s="145" t="n"/>
      <c r="N282" s="145" t="n"/>
      <c r="O282" s="145" t="n"/>
      <c r="P282" s="145" t="n"/>
      <c r="Q282" s="145" t="n"/>
      <c r="R282" s="145" t="n"/>
      <c r="S282" s="145" t="n"/>
      <c r="T282" s="145" t="n"/>
      <c r="U282" s="1" t="n"/>
      <c r="V282" s="1" t="n"/>
      <c r="W282" s="1" t="n"/>
      <c r="X282" s="1" t="n"/>
      <c r="Y282" s="1" t="n"/>
      <c r="Z282" s="1" t="n"/>
    </row>
    <row r="283" ht="15" customHeight="1" s="311">
      <c r="A283" s="41">
        <f>IF($D283="","",ROW()-5)</f>
        <v/>
      </c>
      <c r="B283" s="144" t="n"/>
      <c r="C283" s="83" t="n"/>
      <c r="D283" s="146" t="n"/>
      <c r="E283" s="146" t="n"/>
      <c r="F283" s="146" t="n"/>
      <c r="G283" s="164">
        <f t="array" ref="G283">IF($F283="","",IFERROR(INDEX(Disponibilidad!$O$6:$O$18,MATCH($F283,Disponibilidad!$B$6:$B$18,0)),"Hogar"))</f>
        <v/>
      </c>
      <c r="H283" s="76" t="n"/>
      <c r="I283" s="57">
        <f>IF($D283="","",IF($C283="Cobro",N($H283),-N($H283)))</f>
        <v/>
      </c>
      <c r="J283" s="141" t="n"/>
      <c r="K283" s="64">
        <f>IF($B283="","",TEXT($B283,"YYYY-MM"))</f>
        <v/>
      </c>
      <c r="L283" s="145" t="n"/>
      <c r="M283" s="145" t="n"/>
      <c r="N283" s="145" t="n"/>
      <c r="O283" s="145" t="n"/>
      <c r="P283" s="145" t="n"/>
      <c r="Q283" s="145" t="n"/>
      <c r="R283" s="145" t="n"/>
      <c r="S283" s="145" t="n"/>
      <c r="T283" s="145" t="n"/>
      <c r="U283" s="1" t="n"/>
      <c r="V283" s="1" t="n"/>
      <c r="W283" s="1" t="n"/>
      <c r="X283" s="1" t="n"/>
      <c r="Y283" s="1" t="n"/>
      <c r="Z283" s="1" t="n"/>
    </row>
    <row r="284" ht="15" customHeight="1" s="311">
      <c r="A284" s="41">
        <f>IF($D284="","",ROW()-5)</f>
        <v/>
      </c>
      <c r="B284" s="144" t="n"/>
      <c r="C284" s="83" t="n"/>
      <c r="D284" s="146" t="n"/>
      <c r="E284" s="146" t="n"/>
      <c r="F284" s="146" t="n"/>
      <c r="G284" s="164">
        <f t="array" ref="G284">IF($F284="","",IFERROR(INDEX(Disponibilidad!$O$6:$O$18,MATCH($F284,Disponibilidad!$B$6:$B$18,0)),"Hogar"))</f>
        <v/>
      </c>
      <c r="H284" s="76" t="n"/>
      <c r="I284" s="57">
        <f>IF($D284="","",IF($C284="Cobro",N($H284),-N($H284)))</f>
        <v/>
      </c>
      <c r="J284" s="141" t="n"/>
      <c r="K284" s="64">
        <f>IF($B284="","",TEXT($B284,"YYYY-MM"))</f>
        <v/>
      </c>
      <c r="L284" s="145" t="n"/>
      <c r="M284" s="145" t="n"/>
      <c r="N284" s="145" t="n"/>
      <c r="O284" s="145" t="n"/>
      <c r="P284" s="145" t="n"/>
      <c r="Q284" s="145" t="n"/>
      <c r="R284" s="145" t="n"/>
      <c r="S284" s="145" t="n"/>
      <c r="T284" s="145" t="n"/>
      <c r="U284" s="1" t="n"/>
      <c r="V284" s="1" t="n"/>
      <c r="W284" s="1" t="n"/>
      <c r="X284" s="1" t="n"/>
      <c r="Y284" s="1" t="n"/>
      <c r="Z284" s="1" t="n"/>
    </row>
    <row r="285" ht="15" customHeight="1" s="311">
      <c r="A285" s="41">
        <f>IF($D285="","",ROW()-5)</f>
        <v/>
      </c>
      <c r="B285" s="144" t="n"/>
      <c r="C285" s="83" t="n"/>
      <c r="D285" s="146" t="n"/>
      <c r="E285" s="146" t="n"/>
      <c r="F285" s="146" t="n"/>
      <c r="G285" s="164">
        <f t="array" ref="G285">IF($F285="","",IFERROR(INDEX(Disponibilidad!$O$6:$O$18,MATCH($F285,Disponibilidad!$B$6:$B$18,0)),"Hogar"))</f>
        <v/>
      </c>
      <c r="H285" s="76" t="n"/>
      <c r="I285" s="57">
        <f>IF($D285="","",IF($C285="Cobro",N($H285),-N($H285)))</f>
        <v/>
      </c>
      <c r="J285" s="141" t="n"/>
      <c r="K285" s="64">
        <f>IF($B285="","",TEXT($B285,"YYYY-MM"))</f>
        <v/>
      </c>
      <c r="L285" s="145" t="n"/>
      <c r="M285" s="145" t="n"/>
      <c r="N285" s="145" t="n"/>
      <c r="O285" s="145" t="n"/>
      <c r="P285" s="145" t="n"/>
      <c r="Q285" s="145" t="n"/>
      <c r="R285" s="145" t="n"/>
      <c r="S285" s="145" t="n"/>
      <c r="T285" s="145" t="n"/>
      <c r="U285" s="1" t="n"/>
      <c r="V285" s="1" t="n"/>
      <c r="W285" s="1" t="n"/>
      <c r="X285" s="1" t="n"/>
      <c r="Y285" s="1" t="n"/>
      <c r="Z285" s="1" t="n"/>
    </row>
    <row r="286" ht="15" customHeight="1" s="311">
      <c r="A286" s="41">
        <f>IF($D286="","",ROW()-5)</f>
        <v/>
      </c>
      <c r="B286" s="144" t="n"/>
      <c r="C286" s="83" t="n"/>
      <c r="D286" s="146" t="n"/>
      <c r="E286" s="146" t="n"/>
      <c r="F286" s="146" t="n"/>
      <c r="G286" s="164">
        <f t="array" ref="G286">IF($F286="","",IFERROR(INDEX(Disponibilidad!$O$6:$O$18,MATCH($F286,Disponibilidad!$B$6:$B$18,0)),"Hogar"))</f>
        <v/>
      </c>
      <c r="H286" s="76" t="n"/>
      <c r="I286" s="57">
        <f>IF($D286="","",IF($C286="Cobro",N($H286),-N($H286)))</f>
        <v/>
      </c>
      <c r="J286" s="141" t="n"/>
      <c r="K286" s="64">
        <f>IF($B286="","",TEXT($B286,"YYYY-MM"))</f>
        <v/>
      </c>
      <c r="L286" s="145" t="n"/>
      <c r="M286" s="145" t="n"/>
      <c r="N286" s="145" t="n"/>
      <c r="O286" s="145" t="n"/>
      <c r="P286" s="145" t="n"/>
      <c r="Q286" s="145" t="n"/>
      <c r="R286" s="145" t="n"/>
      <c r="S286" s="145" t="n"/>
      <c r="T286" s="145" t="n"/>
      <c r="U286" s="1" t="n"/>
      <c r="V286" s="1" t="n"/>
      <c r="W286" s="1" t="n"/>
      <c r="X286" s="1" t="n"/>
      <c r="Y286" s="1" t="n"/>
      <c r="Z286" s="1" t="n"/>
    </row>
    <row r="287" ht="15" customHeight="1" s="311">
      <c r="A287" s="41">
        <f>IF($D287="","",ROW()-5)</f>
        <v/>
      </c>
      <c r="B287" s="144" t="n"/>
      <c r="C287" s="83" t="n"/>
      <c r="D287" s="146" t="n"/>
      <c r="E287" s="146" t="n"/>
      <c r="F287" s="146" t="n"/>
      <c r="G287" s="164">
        <f t="array" ref="G287">IF($F287="","",IFERROR(INDEX(Disponibilidad!$O$6:$O$18,MATCH($F287,Disponibilidad!$B$6:$B$18,0)),"Hogar"))</f>
        <v/>
      </c>
      <c r="H287" s="76" t="n"/>
      <c r="I287" s="57">
        <f>IF($D287="","",IF($C287="Cobro",N($H287),-N($H287)))</f>
        <v/>
      </c>
      <c r="J287" s="141" t="n"/>
      <c r="K287" s="64">
        <f>IF($B287="","",TEXT($B287,"YYYY-MM"))</f>
        <v/>
      </c>
      <c r="L287" s="145" t="n"/>
      <c r="M287" s="145" t="n"/>
      <c r="N287" s="145" t="n"/>
      <c r="O287" s="145" t="n"/>
      <c r="P287" s="145" t="n"/>
      <c r="Q287" s="145" t="n"/>
      <c r="R287" s="145" t="n"/>
      <c r="S287" s="145" t="n"/>
      <c r="T287" s="145" t="n"/>
      <c r="U287" s="1" t="n"/>
      <c r="V287" s="1" t="n"/>
      <c r="W287" s="1" t="n"/>
      <c r="X287" s="1" t="n"/>
      <c r="Y287" s="1" t="n"/>
      <c r="Z287" s="1" t="n"/>
    </row>
    <row r="288" ht="15" customHeight="1" s="311">
      <c r="A288" s="41">
        <f>IF($D288="","",ROW()-5)</f>
        <v/>
      </c>
      <c r="B288" s="144" t="n"/>
      <c r="C288" s="83" t="n"/>
      <c r="D288" s="146" t="n"/>
      <c r="E288" s="146" t="n"/>
      <c r="F288" s="146" t="n"/>
      <c r="G288" s="164">
        <f t="array" ref="G288">IF($F288="","",IFERROR(INDEX(Disponibilidad!$O$6:$O$18,MATCH($F288,Disponibilidad!$B$6:$B$18,0)),"Hogar"))</f>
        <v/>
      </c>
      <c r="H288" s="76" t="n"/>
      <c r="I288" s="57">
        <f>IF($D288="","",IF($C288="Cobro",N($H288),-N($H288)))</f>
        <v/>
      </c>
      <c r="J288" s="141" t="n"/>
      <c r="K288" s="64">
        <f>IF($B288="","",TEXT($B288,"YYYY-MM"))</f>
        <v/>
      </c>
      <c r="L288" s="145" t="n"/>
      <c r="M288" s="145" t="n"/>
      <c r="N288" s="145" t="n"/>
      <c r="O288" s="145" t="n"/>
      <c r="P288" s="145" t="n"/>
      <c r="Q288" s="145" t="n"/>
      <c r="R288" s="145" t="n"/>
      <c r="S288" s="145" t="n"/>
      <c r="T288" s="145" t="n"/>
      <c r="U288" s="1" t="n"/>
      <c r="V288" s="1" t="n"/>
      <c r="W288" s="1" t="n"/>
      <c r="X288" s="1" t="n"/>
      <c r="Y288" s="1" t="n"/>
      <c r="Z288" s="1" t="n"/>
    </row>
    <row r="289" ht="15" customHeight="1" s="311">
      <c r="A289" s="41">
        <f>IF($D289="","",ROW()-5)</f>
        <v/>
      </c>
      <c r="B289" s="144" t="n"/>
      <c r="C289" s="83" t="n"/>
      <c r="D289" s="146" t="n"/>
      <c r="E289" s="146" t="n"/>
      <c r="F289" s="146" t="n"/>
      <c r="G289" s="164">
        <f t="array" ref="G289">IF($F289="","",IFERROR(INDEX(Disponibilidad!$O$6:$O$18,MATCH($F289,Disponibilidad!$B$6:$B$18,0)),"Hogar"))</f>
        <v/>
      </c>
      <c r="H289" s="76" t="n"/>
      <c r="I289" s="57">
        <f>IF($D289="","",IF($C289="Cobro",N($H289),-N($H289)))</f>
        <v/>
      </c>
      <c r="J289" s="141" t="n"/>
      <c r="K289" s="64">
        <f>IF($B289="","",TEXT($B289,"YYYY-MM"))</f>
        <v/>
      </c>
      <c r="L289" s="145" t="n"/>
      <c r="M289" s="145" t="n"/>
      <c r="N289" s="145" t="n"/>
      <c r="O289" s="145" t="n"/>
      <c r="P289" s="145" t="n"/>
      <c r="Q289" s="145" t="n"/>
      <c r="R289" s="145" t="n"/>
      <c r="S289" s="145" t="n"/>
      <c r="T289" s="145" t="n"/>
      <c r="U289" s="1" t="n"/>
      <c r="V289" s="1" t="n"/>
      <c r="W289" s="1" t="n"/>
      <c r="X289" s="1" t="n"/>
      <c r="Y289" s="1" t="n"/>
      <c r="Z289" s="1" t="n"/>
    </row>
    <row r="290" ht="15" customHeight="1" s="311">
      <c r="A290" s="41">
        <f>IF($D290="","",ROW()-5)</f>
        <v/>
      </c>
      <c r="B290" s="144" t="n"/>
      <c r="C290" s="83" t="n"/>
      <c r="D290" s="146" t="n"/>
      <c r="E290" s="146" t="n"/>
      <c r="F290" s="146" t="n"/>
      <c r="G290" s="164">
        <f t="array" ref="G290">IF($F290="","",IFERROR(INDEX(Disponibilidad!$O$6:$O$18,MATCH($F290,Disponibilidad!$B$6:$B$18,0)),"Hogar"))</f>
        <v/>
      </c>
      <c r="H290" s="76" t="n"/>
      <c r="I290" s="57">
        <f>IF($D290="","",IF($C290="Cobro",N($H290),-N($H290)))</f>
        <v/>
      </c>
      <c r="J290" s="141" t="n"/>
      <c r="K290" s="64">
        <f>IF($B290="","",TEXT($B290,"YYYY-MM"))</f>
        <v/>
      </c>
      <c r="L290" s="145" t="n"/>
      <c r="M290" s="145" t="n"/>
      <c r="N290" s="145" t="n"/>
      <c r="O290" s="145" t="n"/>
      <c r="P290" s="145" t="n"/>
      <c r="Q290" s="145" t="n"/>
      <c r="R290" s="145" t="n"/>
      <c r="S290" s="145" t="n"/>
      <c r="T290" s="145" t="n"/>
      <c r="U290" s="1" t="n"/>
      <c r="V290" s="1" t="n"/>
      <c r="W290" s="1" t="n"/>
      <c r="X290" s="1" t="n"/>
      <c r="Y290" s="1" t="n"/>
      <c r="Z290" s="1" t="n"/>
    </row>
    <row r="291" ht="15" customHeight="1" s="311">
      <c r="A291" s="41">
        <f>IF($D291="","",ROW()-5)</f>
        <v/>
      </c>
      <c r="B291" s="144" t="n"/>
      <c r="C291" s="83" t="n"/>
      <c r="D291" s="146" t="n"/>
      <c r="E291" s="146" t="n"/>
      <c r="F291" s="146" t="n"/>
      <c r="G291" s="164">
        <f t="array" ref="G291">IF($F291="","",IFERROR(INDEX(Disponibilidad!$O$6:$O$18,MATCH($F291,Disponibilidad!$B$6:$B$18,0)),"Hogar"))</f>
        <v/>
      </c>
      <c r="H291" s="76" t="n"/>
      <c r="I291" s="57">
        <f>IF($D291="","",IF($C291="Cobro",N($H291),-N($H291)))</f>
        <v/>
      </c>
      <c r="J291" s="141" t="n"/>
      <c r="K291" s="64">
        <f>IF($B291="","",TEXT($B291,"YYYY-MM"))</f>
        <v/>
      </c>
      <c r="L291" s="145" t="n"/>
      <c r="M291" s="145" t="n"/>
      <c r="N291" s="145" t="n"/>
      <c r="O291" s="145" t="n"/>
      <c r="P291" s="145" t="n"/>
      <c r="Q291" s="145" t="n"/>
      <c r="R291" s="145" t="n"/>
      <c r="S291" s="145" t="n"/>
      <c r="T291" s="145" t="n"/>
      <c r="U291" s="1" t="n"/>
      <c r="V291" s="1" t="n"/>
      <c r="W291" s="1" t="n"/>
      <c r="X291" s="1" t="n"/>
      <c r="Y291" s="1" t="n"/>
      <c r="Z291" s="1" t="n"/>
    </row>
    <row r="292" ht="15" customHeight="1" s="311">
      <c r="A292" s="41">
        <f>IF($D292="","",ROW()-5)</f>
        <v/>
      </c>
      <c r="B292" s="144" t="n"/>
      <c r="C292" s="83" t="n"/>
      <c r="D292" s="146" t="n"/>
      <c r="E292" s="146" t="n"/>
      <c r="F292" s="146" t="n"/>
      <c r="G292" s="164">
        <f t="array" ref="G292">IF($F292="","",IFERROR(INDEX(Disponibilidad!$O$6:$O$18,MATCH($F292,Disponibilidad!$B$6:$B$18,0)),"Hogar"))</f>
        <v/>
      </c>
      <c r="H292" s="76" t="n"/>
      <c r="I292" s="57">
        <f>IF($D292="","",IF($C292="Cobro",N($H292),-N($H292)))</f>
        <v/>
      </c>
      <c r="J292" s="141" t="n"/>
      <c r="K292" s="64">
        <f>IF($B292="","",TEXT($B292,"YYYY-MM"))</f>
        <v/>
      </c>
      <c r="L292" s="145" t="n"/>
      <c r="M292" s="145" t="n"/>
      <c r="N292" s="145" t="n"/>
      <c r="O292" s="145" t="n"/>
      <c r="P292" s="145" t="n"/>
      <c r="Q292" s="145" t="n"/>
      <c r="R292" s="145" t="n"/>
      <c r="S292" s="145" t="n"/>
      <c r="T292" s="145" t="n"/>
      <c r="U292" s="1" t="n"/>
      <c r="V292" s="1" t="n"/>
      <c r="W292" s="1" t="n"/>
      <c r="X292" s="1" t="n"/>
      <c r="Y292" s="1" t="n"/>
      <c r="Z292" s="1" t="n"/>
    </row>
    <row r="293" ht="15" customHeight="1" s="311">
      <c r="A293" s="41">
        <f>IF($D293="","",ROW()-5)</f>
        <v/>
      </c>
      <c r="B293" s="144" t="n"/>
      <c r="C293" s="83" t="n"/>
      <c r="D293" s="146" t="n"/>
      <c r="E293" s="146" t="n"/>
      <c r="F293" s="146" t="n"/>
      <c r="G293" s="164">
        <f t="array" ref="G293">IF($F293="","",IFERROR(INDEX(Disponibilidad!$O$6:$O$18,MATCH($F293,Disponibilidad!$B$6:$B$18,0)),"Hogar"))</f>
        <v/>
      </c>
      <c r="H293" s="76" t="n"/>
      <c r="I293" s="57">
        <f>IF($D293="","",IF($C293="Cobro",N($H293),-N($H293)))</f>
        <v/>
      </c>
      <c r="J293" s="141" t="n"/>
      <c r="K293" s="64">
        <f>IF($B293="","",TEXT($B293,"YYYY-MM"))</f>
        <v/>
      </c>
      <c r="L293" s="145" t="n"/>
      <c r="M293" s="145" t="n"/>
      <c r="N293" s="145" t="n"/>
      <c r="O293" s="145" t="n"/>
      <c r="P293" s="145" t="n"/>
      <c r="Q293" s="145" t="n"/>
      <c r="R293" s="145" t="n"/>
      <c r="S293" s="145" t="n"/>
      <c r="T293" s="145" t="n"/>
      <c r="U293" s="1" t="n"/>
      <c r="V293" s="1" t="n"/>
      <c r="W293" s="1" t="n"/>
      <c r="X293" s="1" t="n"/>
      <c r="Y293" s="1" t="n"/>
      <c r="Z293" s="1" t="n"/>
    </row>
    <row r="294" ht="15" customHeight="1" s="311">
      <c r="A294" s="41">
        <f>IF($D294="","",ROW()-5)</f>
        <v/>
      </c>
      <c r="B294" s="144" t="n"/>
      <c r="C294" s="83" t="n"/>
      <c r="D294" s="146" t="n"/>
      <c r="E294" s="146" t="n"/>
      <c r="F294" s="146" t="n"/>
      <c r="G294" s="164">
        <f t="array" ref="G294">IF($F294="","",IFERROR(INDEX(Disponibilidad!$O$6:$O$18,MATCH($F294,Disponibilidad!$B$6:$B$18,0)),"Hogar"))</f>
        <v/>
      </c>
      <c r="H294" s="76" t="n"/>
      <c r="I294" s="57">
        <f>IF($D294="","",IF($C294="Cobro",N($H294),-N($H294)))</f>
        <v/>
      </c>
      <c r="J294" s="141" t="n"/>
      <c r="K294" s="64">
        <f>IF($B294="","",TEXT($B294,"YYYY-MM"))</f>
        <v/>
      </c>
      <c r="L294" s="145" t="n"/>
      <c r="M294" s="145" t="n"/>
      <c r="N294" s="145" t="n"/>
      <c r="O294" s="145" t="n"/>
      <c r="P294" s="145" t="n"/>
      <c r="Q294" s="145" t="n"/>
      <c r="R294" s="145" t="n"/>
      <c r="S294" s="145" t="n"/>
      <c r="T294" s="145" t="n"/>
      <c r="U294" s="1" t="n"/>
      <c r="V294" s="1" t="n"/>
      <c r="W294" s="1" t="n"/>
      <c r="X294" s="1" t="n"/>
      <c r="Y294" s="1" t="n"/>
      <c r="Z294" s="1" t="n"/>
    </row>
    <row r="295" ht="15" customHeight="1" s="311">
      <c r="A295" s="41">
        <f>IF($D295="","",ROW()-5)</f>
        <v/>
      </c>
      <c r="B295" s="144" t="n"/>
      <c r="C295" s="83" t="n"/>
      <c r="D295" s="146" t="n"/>
      <c r="E295" s="146" t="n"/>
      <c r="F295" s="146" t="n"/>
      <c r="G295" s="164">
        <f t="array" ref="G295">IF($F295="","",IFERROR(INDEX(Disponibilidad!$O$6:$O$18,MATCH($F295,Disponibilidad!$B$6:$B$18,0)),"Hogar"))</f>
        <v/>
      </c>
      <c r="H295" s="76" t="n"/>
      <c r="I295" s="57">
        <f>IF($D295="","",IF($C295="Cobro",N($H295),-N($H295)))</f>
        <v/>
      </c>
      <c r="J295" s="141" t="n"/>
      <c r="K295" s="64">
        <f>IF($B295="","",TEXT($B295,"YYYY-MM"))</f>
        <v/>
      </c>
      <c r="L295" s="145" t="n"/>
      <c r="M295" s="145" t="n"/>
      <c r="N295" s="145" t="n"/>
      <c r="O295" s="145" t="n"/>
      <c r="P295" s="145" t="n"/>
      <c r="Q295" s="145" t="n"/>
      <c r="R295" s="145" t="n"/>
      <c r="S295" s="145" t="n"/>
      <c r="T295" s="145" t="n"/>
      <c r="U295" s="1" t="n"/>
      <c r="V295" s="1" t="n"/>
      <c r="W295" s="1" t="n"/>
      <c r="X295" s="1" t="n"/>
      <c r="Y295" s="1" t="n"/>
      <c r="Z295" s="1" t="n"/>
    </row>
    <row r="296" ht="15" customHeight="1" s="311">
      <c r="A296" s="41">
        <f>IF($D296="","",ROW()-5)</f>
        <v/>
      </c>
      <c r="B296" s="144" t="n"/>
      <c r="C296" s="83" t="n"/>
      <c r="D296" s="146" t="n"/>
      <c r="E296" s="146" t="n"/>
      <c r="F296" s="146" t="n"/>
      <c r="G296" s="164">
        <f t="array" ref="G296">IF($F296="","",IFERROR(INDEX(Disponibilidad!$O$6:$O$18,MATCH($F296,Disponibilidad!$B$6:$B$18,0)),"Hogar"))</f>
        <v/>
      </c>
      <c r="H296" s="76" t="n"/>
      <c r="I296" s="57">
        <f>IF($D296="","",IF($C296="Cobro",N($H296),-N($H296)))</f>
        <v/>
      </c>
      <c r="J296" s="141" t="n"/>
      <c r="K296" s="64">
        <f>IF($B296="","",TEXT($B296,"YYYY-MM"))</f>
        <v/>
      </c>
      <c r="L296" s="145" t="n"/>
      <c r="M296" s="145" t="n"/>
      <c r="N296" s="145" t="n"/>
      <c r="O296" s="145" t="n"/>
      <c r="P296" s="145" t="n"/>
      <c r="Q296" s="145" t="n"/>
      <c r="R296" s="145" t="n"/>
      <c r="S296" s="145" t="n"/>
      <c r="T296" s="145" t="n"/>
      <c r="U296" s="1" t="n"/>
      <c r="V296" s="1" t="n"/>
      <c r="W296" s="1" t="n"/>
      <c r="X296" s="1" t="n"/>
      <c r="Y296" s="1" t="n"/>
      <c r="Z296" s="1" t="n"/>
    </row>
    <row r="297" ht="15" customHeight="1" s="311">
      <c r="A297" s="41">
        <f>IF($D297="","",ROW()-5)</f>
        <v/>
      </c>
      <c r="B297" s="144" t="n"/>
      <c r="C297" s="83" t="n"/>
      <c r="D297" s="146" t="n"/>
      <c r="E297" s="146" t="n"/>
      <c r="F297" s="146" t="n"/>
      <c r="G297" s="164">
        <f t="array" ref="G297">IF($F297="","",IFERROR(INDEX(Disponibilidad!$O$6:$O$18,MATCH($F297,Disponibilidad!$B$6:$B$18,0)),"Hogar"))</f>
        <v/>
      </c>
      <c r="H297" s="76" t="n"/>
      <c r="I297" s="57">
        <f>IF($D297="","",IF($C297="Cobro",N($H297),-N($H297)))</f>
        <v/>
      </c>
      <c r="J297" s="141" t="n"/>
      <c r="K297" s="64">
        <f>IF($B297="","",TEXT($B297,"YYYY-MM"))</f>
        <v/>
      </c>
      <c r="L297" s="145" t="n"/>
      <c r="M297" s="145" t="n"/>
      <c r="N297" s="145" t="n"/>
      <c r="O297" s="145" t="n"/>
      <c r="P297" s="145" t="n"/>
      <c r="Q297" s="145" t="n"/>
      <c r="R297" s="145" t="n"/>
      <c r="S297" s="145" t="n"/>
      <c r="T297" s="145" t="n"/>
      <c r="U297" s="1" t="n"/>
      <c r="V297" s="1" t="n"/>
      <c r="W297" s="1" t="n"/>
      <c r="X297" s="1" t="n"/>
      <c r="Y297" s="1" t="n"/>
      <c r="Z297" s="1" t="n"/>
    </row>
    <row r="298" ht="15" customHeight="1" s="311">
      <c r="A298" s="41">
        <f>IF($D298="","",ROW()-5)</f>
        <v/>
      </c>
      <c r="B298" s="144" t="n"/>
      <c r="C298" s="83" t="n"/>
      <c r="D298" s="146" t="n"/>
      <c r="E298" s="146" t="n"/>
      <c r="F298" s="146" t="n"/>
      <c r="G298" s="164">
        <f t="array" ref="G298">IF($F298="","",IFERROR(INDEX(Disponibilidad!$O$6:$O$18,MATCH($F298,Disponibilidad!$B$6:$B$18,0)),"Hogar"))</f>
        <v/>
      </c>
      <c r="H298" s="76" t="n"/>
      <c r="I298" s="57">
        <f>IF($D298="","",IF($C298="Cobro",N($H298),-N($H298)))</f>
        <v/>
      </c>
      <c r="J298" s="141" t="n"/>
      <c r="K298" s="64">
        <f>IF($B298="","",TEXT($B298,"YYYY-MM"))</f>
        <v/>
      </c>
      <c r="L298" s="145" t="n"/>
      <c r="M298" s="145" t="n"/>
      <c r="N298" s="145" t="n"/>
      <c r="O298" s="145" t="n"/>
      <c r="P298" s="145" t="n"/>
      <c r="Q298" s="145" t="n"/>
      <c r="R298" s="145" t="n"/>
      <c r="S298" s="145" t="n"/>
      <c r="T298" s="145" t="n"/>
      <c r="U298" s="1" t="n"/>
      <c r="V298" s="1" t="n"/>
      <c r="W298" s="1" t="n"/>
      <c r="X298" s="1" t="n"/>
      <c r="Y298" s="1" t="n"/>
      <c r="Z298" s="1" t="n"/>
    </row>
    <row r="299" ht="15" customHeight="1" s="311">
      <c r="A299" s="41">
        <f>IF($D299="","",ROW()-5)</f>
        <v/>
      </c>
      <c r="B299" s="144" t="n"/>
      <c r="C299" s="83" t="n"/>
      <c r="D299" s="146" t="n"/>
      <c r="E299" s="146" t="n"/>
      <c r="F299" s="146" t="n"/>
      <c r="G299" s="164">
        <f t="array" ref="G299">IF($F299="","",IFERROR(INDEX(Disponibilidad!$O$6:$O$18,MATCH($F299,Disponibilidad!$B$6:$B$18,0)),"Hogar"))</f>
        <v/>
      </c>
      <c r="H299" s="76" t="n"/>
      <c r="I299" s="57">
        <f>IF($D299="","",IF($C299="Cobro",N($H299),-N($H299)))</f>
        <v/>
      </c>
      <c r="J299" s="141" t="n"/>
      <c r="K299" s="64">
        <f>IF($B299="","",TEXT($B299,"YYYY-MM"))</f>
        <v/>
      </c>
      <c r="L299" s="145" t="n"/>
      <c r="M299" s="145" t="n"/>
      <c r="N299" s="145" t="n"/>
      <c r="O299" s="145" t="n"/>
      <c r="P299" s="145" t="n"/>
      <c r="Q299" s="145" t="n"/>
      <c r="R299" s="145" t="n"/>
      <c r="S299" s="145" t="n"/>
      <c r="T299" s="145" t="n"/>
      <c r="U299" s="1" t="n"/>
      <c r="V299" s="1" t="n"/>
      <c r="W299" s="1" t="n"/>
      <c r="X299" s="1" t="n"/>
      <c r="Y299" s="1" t="n"/>
      <c r="Z299" s="1" t="n"/>
    </row>
    <row r="300" ht="15" customHeight="1" s="311">
      <c r="A300" s="41">
        <f>IF($D300="","",ROW()-5)</f>
        <v/>
      </c>
      <c r="B300" s="144" t="n"/>
      <c r="C300" s="83" t="n"/>
      <c r="D300" s="146" t="n"/>
      <c r="E300" s="146" t="n"/>
      <c r="F300" s="146" t="n"/>
      <c r="G300" s="164">
        <f t="array" ref="G300">IF($F300="","",IFERROR(INDEX(Disponibilidad!$O$6:$O$18,MATCH($F300,Disponibilidad!$B$6:$B$18,0)),"Hogar"))</f>
        <v/>
      </c>
      <c r="H300" s="76" t="n"/>
      <c r="I300" s="57">
        <f>IF($D300="","",IF($C300="Cobro",N($H300),-N($H300)))</f>
        <v/>
      </c>
      <c r="J300" s="141" t="n"/>
      <c r="K300" s="64">
        <f>IF($B300="","",TEXT($B300,"YYYY-MM"))</f>
        <v/>
      </c>
      <c r="L300" s="145" t="n"/>
      <c r="M300" s="145" t="n"/>
      <c r="N300" s="145" t="n"/>
      <c r="O300" s="145" t="n"/>
      <c r="P300" s="145" t="n"/>
      <c r="Q300" s="145" t="n"/>
      <c r="R300" s="145" t="n"/>
      <c r="S300" s="145" t="n"/>
      <c r="T300" s="145" t="n"/>
      <c r="U300" s="1" t="n"/>
      <c r="V300" s="1" t="n"/>
      <c r="W300" s="1" t="n"/>
      <c r="X300" s="1" t="n"/>
      <c r="Y300" s="1" t="n"/>
      <c r="Z300" s="1" t="n"/>
    </row>
    <row r="301" ht="15" customHeight="1" s="311">
      <c r="A301" s="41">
        <f>IF($D301="","",ROW()-5)</f>
        <v/>
      </c>
      <c r="B301" s="144" t="n"/>
      <c r="C301" s="83" t="n"/>
      <c r="D301" s="146" t="n"/>
      <c r="E301" s="146" t="n"/>
      <c r="F301" s="146" t="n"/>
      <c r="G301" s="164">
        <f t="array" ref="G301">IF($F301="","",IFERROR(INDEX(Disponibilidad!$O$6:$O$18,MATCH($F301,Disponibilidad!$B$6:$B$18,0)),"Hogar"))</f>
        <v/>
      </c>
      <c r="H301" s="76" t="n"/>
      <c r="I301" s="57">
        <f>IF($D301="","",IF($C301="Cobro",N($H301),-N($H301)))</f>
        <v/>
      </c>
      <c r="J301" s="141" t="n"/>
      <c r="K301" s="64">
        <f>IF($B301="","",TEXT($B301,"YYYY-MM"))</f>
        <v/>
      </c>
      <c r="L301" s="145" t="n"/>
      <c r="M301" s="145" t="n"/>
      <c r="N301" s="145" t="n"/>
      <c r="O301" s="145" t="n"/>
      <c r="P301" s="145" t="n"/>
      <c r="Q301" s="145" t="n"/>
      <c r="R301" s="145" t="n"/>
      <c r="S301" s="145" t="n"/>
      <c r="T301" s="145" t="n"/>
      <c r="U301" s="1" t="n"/>
      <c r="V301" s="1" t="n"/>
      <c r="W301" s="1" t="n"/>
      <c r="X301" s="1" t="n"/>
      <c r="Y301" s="1" t="n"/>
      <c r="Z301" s="1" t="n"/>
    </row>
    <row r="302" ht="15" customHeight="1" s="311">
      <c r="A302" s="41">
        <f>IF($D302="","",ROW()-5)</f>
        <v/>
      </c>
      <c r="B302" s="144" t="n"/>
      <c r="C302" s="83" t="n"/>
      <c r="D302" s="146" t="n"/>
      <c r="E302" s="146" t="n"/>
      <c r="F302" s="146" t="n"/>
      <c r="G302" s="164">
        <f t="array" ref="G302">IF($F302="","",IFERROR(INDEX(Disponibilidad!$O$6:$O$18,MATCH($F302,Disponibilidad!$B$6:$B$18,0)),"Hogar"))</f>
        <v/>
      </c>
      <c r="H302" s="76" t="n"/>
      <c r="I302" s="57">
        <f>IF($D302="","",IF($C302="Cobro",N($H302),-N($H302)))</f>
        <v/>
      </c>
      <c r="J302" s="141" t="n"/>
      <c r="K302" s="64">
        <f>IF($B302="","",TEXT($B302,"YYYY-MM"))</f>
        <v/>
      </c>
      <c r="L302" s="145" t="n"/>
      <c r="M302" s="145" t="n"/>
      <c r="N302" s="145" t="n"/>
      <c r="O302" s="145" t="n"/>
      <c r="P302" s="145" t="n"/>
      <c r="Q302" s="145" t="n"/>
      <c r="R302" s="145" t="n"/>
      <c r="S302" s="145" t="n"/>
      <c r="T302" s="145" t="n"/>
      <c r="U302" s="1" t="n"/>
      <c r="V302" s="1" t="n"/>
      <c r="W302" s="1" t="n"/>
      <c r="X302" s="1" t="n"/>
      <c r="Y302" s="1" t="n"/>
      <c r="Z302" s="1" t="n"/>
    </row>
    <row r="303" ht="15" customHeight="1" s="311">
      <c r="A303" s="41">
        <f>IF($D303="","",ROW()-5)</f>
        <v/>
      </c>
      <c r="B303" s="144" t="n"/>
      <c r="C303" s="83" t="n"/>
      <c r="D303" s="146" t="n"/>
      <c r="E303" s="146" t="n"/>
      <c r="F303" s="146" t="n"/>
      <c r="G303" s="164">
        <f t="array" ref="G303">IF($F303="","",IFERROR(INDEX(Disponibilidad!$O$6:$O$18,MATCH($F303,Disponibilidad!$B$6:$B$18,0)),"Hogar"))</f>
        <v/>
      </c>
      <c r="H303" s="76" t="n"/>
      <c r="I303" s="57">
        <f>IF($D303="","",IF($C303="Cobro",N($H303),-N($H303)))</f>
        <v/>
      </c>
      <c r="J303" s="141" t="n"/>
      <c r="K303" s="64">
        <f>IF($B303="","",TEXT($B303,"YYYY-MM"))</f>
        <v/>
      </c>
      <c r="L303" s="145" t="n"/>
      <c r="M303" s="145" t="n"/>
      <c r="N303" s="145" t="n"/>
      <c r="O303" s="145" t="n"/>
      <c r="P303" s="145" t="n"/>
      <c r="Q303" s="145" t="n"/>
      <c r="R303" s="145" t="n"/>
      <c r="S303" s="145" t="n"/>
      <c r="T303" s="145" t="n"/>
      <c r="U303" s="1" t="n"/>
      <c r="V303" s="1" t="n"/>
      <c r="W303" s="1" t="n"/>
      <c r="X303" s="1" t="n"/>
      <c r="Y303" s="1" t="n"/>
      <c r="Z303" s="1" t="n"/>
    </row>
    <row r="304" ht="15" customHeight="1" s="311">
      <c r="A304" s="41">
        <f>IF($D304="","",ROW()-5)</f>
        <v/>
      </c>
      <c r="B304" s="144" t="n"/>
      <c r="C304" s="83" t="n"/>
      <c r="D304" s="146" t="n"/>
      <c r="E304" s="146" t="n"/>
      <c r="F304" s="146" t="n"/>
      <c r="G304" s="164">
        <f t="array" ref="G304">IF($F304="","",IFERROR(INDEX(Disponibilidad!$O$6:$O$18,MATCH($F304,Disponibilidad!$B$6:$B$18,0)),"Hogar"))</f>
        <v/>
      </c>
      <c r="H304" s="76" t="n"/>
      <c r="I304" s="57">
        <f>IF($D304="","",IF($C304="Cobro",N($H304),-N($H304)))</f>
        <v/>
      </c>
      <c r="J304" s="141" t="n"/>
      <c r="K304" s="64">
        <f>IF($B304="","",TEXT($B304,"YYYY-MM"))</f>
        <v/>
      </c>
      <c r="L304" s="145" t="n"/>
      <c r="M304" s="145" t="n"/>
      <c r="N304" s="145" t="n"/>
      <c r="O304" s="145" t="n"/>
      <c r="P304" s="145" t="n"/>
      <c r="Q304" s="145" t="n"/>
      <c r="R304" s="145" t="n"/>
      <c r="S304" s="145" t="n"/>
      <c r="T304" s="145" t="n"/>
      <c r="U304" s="1" t="n"/>
      <c r="V304" s="1" t="n"/>
      <c r="W304" s="1" t="n"/>
      <c r="X304" s="1" t="n"/>
      <c r="Y304" s="1" t="n"/>
      <c r="Z304" s="1" t="n"/>
    </row>
    <row r="305" ht="15" customHeight="1" s="311">
      <c r="A305" s="41">
        <f>IF($D305="","",ROW()-5)</f>
        <v/>
      </c>
      <c r="B305" s="144" t="n"/>
      <c r="C305" s="83" t="n"/>
      <c r="D305" s="146" t="n"/>
      <c r="E305" s="146" t="n"/>
      <c r="F305" s="146" t="n"/>
      <c r="G305" s="164">
        <f t="array" ref="G305">IF($F305="","",IFERROR(INDEX(Disponibilidad!$O$6:$O$18,MATCH($F305,Disponibilidad!$B$6:$B$18,0)),"Hogar"))</f>
        <v/>
      </c>
      <c r="H305" s="76" t="n"/>
      <c r="I305" s="57">
        <f>IF($D305="","",IF($C305="Cobro",N($H305),-N($H305)))</f>
        <v/>
      </c>
      <c r="J305" s="141" t="n"/>
      <c r="K305" s="64">
        <f>IF($B305="","",TEXT($B305,"YYYY-MM"))</f>
        <v/>
      </c>
      <c r="L305" s="145" t="n"/>
      <c r="M305" s="145" t="n"/>
      <c r="N305" s="145" t="n"/>
      <c r="O305" s="145" t="n"/>
      <c r="P305" s="145" t="n"/>
      <c r="Q305" s="145" t="n"/>
      <c r="R305" s="145" t="n"/>
      <c r="S305" s="145" t="n"/>
      <c r="T305" s="145" t="n"/>
      <c r="U305" s="1" t="n"/>
      <c r="V305" s="1" t="n"/>
      <c r="W305" s="1" t="n"/>
      <c r="X305" s="1" t="n"/>
      <c r="Y305" s="1" t="n"/>
      <c r="Z305" s="1" t="n"/>
    </row>
    <row r="306" ht="15" customHeight="1" s="311">
      <c r="A306" s="41">
        <f>IF($D306="","",ROW()-5)</f>
        <v/>
      </c>
      <c r="B306" s="144" t="n"/>
      <c r="C306" s="83" t="n"/>
      <c r="D306" s="146" t="n"/>
      <c r="E306" s="146" t="n"/>
      <c r="F306" s="146" t="n"/>
      <c r="G306" s="164">
        <f t="array" ref="G306">IF($F306="","",IFERROR(INDEX(Disponibilidad!$O$6:$O$18,MATCH($F306,Disponibilidad!$B$6:$B$18,0)),"Hogar"))</f>
        <v/>
      </c>
      <c r="H306" s="76" t="n"/>
      <c r="I306" s="57">
        <f>IF($D306="","",IF($C306="Cobro",N($H306),-N($H306)))</f>
        <v/>
      </c>
      <c r="J306" s="141" t="n"/>
      <c r="K306" s="64">
        <f>IF($B306="","",TEXT($B306,"YYYY-MM"))</f>
        <v/>
      </c>
      <c r="L306" s="145" t="n"/>
      <c r="M306" s="145" t="n"/>
      <c r="N306" s="145" t="n"/>
      <c r="O306" s="145" t="n"/>
      <c r="P306" s="145" t="n"/>
      <c r="Q306" s="145" t="n"/>
      <c r="R306" s="145" t="n"/>
      <c r="S306" s="145" t="n"/>
      <c r="T306" s="145" t="n"/>
      <c r="U306" s="1" t="n"/>
      <c r="V306" s="1" t="n"/>
      <c r="W306" s="1" t="n"/>
      <c r="X306" s="1" t="n"/>
      <c r="Y306" s="1" t="n"/>
      <c r="Z306" s="1" t="n"/>
    </row>
    <row r="307" ht="15" customHeight="1" s="311">
      <c r="A307" s="41">
        <f>IF($D307="","",ROW()-5)</f>
        <v/>
      </c>
      <c r="B307" s="144" t="n"/>
      <c r="C307" s="83" t="n"/>
      <c r="D307" s="146" t="n"/>
      <c r="E307" s="146" t="n"/>
      <c r="F307" s="146" t="n"/>
      <c r="G307" s="164">
        <f t="array" ref="G307">IF($F307="","",IFERROR(INDEX(Disponibilidad!$O$6:$O$18,MATCH($F307,Disponibilidad!$B$6:$B$18,0)),"Hogar"))</f>
        <v/>
      </c>
      <c r="H307" s="76" t="n"/>
      <c r="I307" s="57">
        <f>IF($D307="","",IF($C307="Cobro",N($H307),-N($H307)))</f>
        <v/>
      </c>
      <c r="J307" s="141" t="n"/>
      <c r="K307" s="64">
        <f>IF($B307="","",TEXT($B307,"YYYY-MM"))</f>
        <v/>
      </c>
      <c r="L307" s="145" t="n"/>
      <c r="M307" s="145" t="n"/>
      <c r="N307" s="145" t="n"/>
      <c r="O307" s="145" t="n"/>
      <c r="P307" s="145" t="n"/>
      <c r="Q307" s="145" t="n"/>
      <c r="R307" s="145" t="n"/>
      <c r="S307" s="145" t="n"/>
      <c r="T307" s="145" t="n"/>
      <c r="U307" s="1" t="n"/>
      <c r="V307" s="1" t="n"/>
      <c r="W307" s="1" t="n"/>
      <c r="X307" s="1" t="n"/>
      <c r="Y307" s="1" t="n"/>
      <c r="Z307" s="1" t="n"/>
    </row>
    <row r="308" ht="15" customHeight="1" s="311">
      <c r="A308" s="41">
        <f>IF($D308="","",ROW()-5)</f>
        <v/>
      </c>
      <c r="B308" s="144" t="n"/>
      <c r="C308" s="83" t="n"/>
      <c r="D308" s="146" t="n"/>
      <c r="E308" s="146" t="n"/>
      <c r="F308" s="146" t="n"/>
      <c r="G308" s="164">
        <f t="array" ref="G308">IF($F308="","",IFERROR(INDEX(Disponibilidad!$O$6:$O$18,MATCH($F308,Disponibilidad!$B$6:$B$18,0)),"Hogar"))</f>
        <v/>
      </c>
      <c r="H308" s="76" t="n"/>
      <c r="I308" s="57">
        <f>IF($D308="","",IF($C308="Cobro",N($H308),-N($H308)))</f>
        <v/>
      </c>
      <c r="J308" s="141" t="n"/>
      <c r="K308" s="64">
        <f>IF($B308="","",TEXT($B308,"YYYY-MM"))</f>
        <v/>
      </c>
      <c r="L308" s="145" t="n"/>
      <c r="M308" s="145" t="n"/>
      <c r="N308" s="145" t="n"/>
      <c r="O308" s="145" t="n"/>
      <c r="P308" s="145" t="n"/>
      <c r="Q308" s="145" t="n"/>
      <c r="R308" s="145" t="n"/>
      <c r="S308" s="145" t="n"/>
      <c r="T308" s="145" t="n"/>
      <c r="U308" s="1" t="n"/>
      <c r="V308" s="1" t="n"/>
      <c r="W308" s="1" t="n"/>
      <c r="X308" s="1" t="n"/>
      <c r="Y308" s="1" t="n"/>
      <c r="Z308" s="1" t="n"/>
    </row>
    <row r="309" ht="15" customHeight="1" s="311">
      <c r="A309" s="41">
        <f>IF($D309="","",ROW()-5)</f>
        <v/>
      </c>
      <c r="B309" s="144" t="n"/>
      <c r="C309" s="83" t="n"/>
      <c r="D309" s="146" t="n"/>
      <c r="E309" s="146" t="n"/>
      <c r="F309" s="146" t="n"/>
      <c r="G309" s="164">
        <f t="array" ref="G309">IF($F309="","",IFERROR(INDEX(Disponibilidad!$O$6:$O$18,MATCH($F309,Disponibilidad!$B$6:$B$18,0)),"Hogar"))</f>
        <v/>
      </c>
      <c r="H309" s="76" t="n"/>
      <c r="I309" s="57">
        <f>IF($D309="","",IF($C309="Cobro",N($H309),-N($H309)))</f>
        <v/>
      </c>
      <c r="J309" s="141" t="n"/>
      <c r="K309" s="64">
        <f>IF($B309="","",TEXT($B309,"YYYY-MM"))</f>
        <v/>
      </c>
      <c r="L309" s="145" t="n"/>
      <c r="M309" s="145" t="n"/>
      <c r="N309" s="145" t="n"/>
      <c r="O309" s="145" t="n"/>
      <c r="P309" s="145" t="n"/>
      <c r="Q309" s="145" t="n"/>
      <c r="R309" s="145" t="n"/>
      <c r="S309" s="145" t="n"/>
      <c r="T309" s="145" t="n"/>
      <c r="U309" s="1" t="n"/>
      <c r="V309" s="1" t="n"/>
      <c r="W309" s="1" t="n"/>
      <c r="X309" s="1" t="n"/>
      <c r="Y309" s="1" t="n"/>
      <c r="Z309" s="1" t="n"/>
    </row>
    <row r="310" ht="15" customHeight="1" s="311">
      <c r="A310" s="41">
        <f>IF($D310="","",ROW()-5)</f>
        <v/>
      </c>
      <c r="B310" s="144" t="n"/>
      <c r="C310" s="83" t="n"/>
      <c r="D310" s="146" t="n"/>
      <c r="E310" s="146" t="n"/>
      <c r="F310" s="146" t="n"/>
      <c r="G310" s="164">
        <f t="array" ref="G310">IF($F310="","",IFERROR(INDEX(Disponibilidad!$O$6:$O$18,MATCH($F310,Disponibilidad!$B$6:$B$18,0)),"Hogar"))</f>
        <v/>
      </c>
      <c r="H310" s="76" t="n"/>
      <c r="I310" s="57">
        <f>IF($D310="","",IF($C310="Cobro",N($H310),-N($H310)))</f>
        <v/>
      </c>
      <c r="J310" s="141" t="n"/>
      <c r="K310" s="64">
        <f>IF($B310="","",TEXT($B310,"YYYY-MM"))</f>
        <v/>
      </c>
      <c r="L310" s="145" t="n"/>
      <c r="M310" s="145" t="n"/>
      <c r="N310" s="145" t="n"/>
      <c r="O310" s="145" t="n"/>
      <c r="P310" s="145" t="n"/>
      <c r="Q310" s="145" t="n"/>
      <c r="R310" s="145" t="n"/>
      <c r="S310" s="145" t="n"/>
      <c r="T310" s="145" t="n"/>
      <c r="U310" s="1" t="n"/>
      <c r="V310" s="1" t="n"/>
      <c r="W310" s="1" t="n"/>
      <c r="X310" s="1" t="n"/>
      <c r="Y310" s="1" t="n"/>
      <c r="Z310" s="1" t="n"/>
    </row>
    <row r="311" ht="15" customHeight="1" s="311">
      <c r="A311" s="41">
        <f>IF($D311="","",ROW()-5)</f>
        <v/>
      </c>
      <c r="B311" s="144" t="n"/>
      <c r="C311" s="83" t="n"/>
      <c r="D311" s="146" t="n"/>
      <c r="E311" s="146" t="n"/>
      <c r="F311" s="146" t="n"/>
      <c r="G311" s="164">
        <f t="array" ref="G311">IF($F311="","",IFERROR(INDEX(Disponibilidad!$O$6:$O$18,MATCH($F311,Disponibilidad!$B$6:$B$18,0)),"Hogar"))</f>
        <v/>
      </c>
      <c r="H311" s="76" t="n"/>
      <c r="I311" s="57">
        <f>IF($D311="","",IF($C311="Cobro",N($H311),-N($H311)))</f>
        <v/>
      </c>
      <c r="J311" s="141" t="n"/>
      <c r="K311" s="64">
        <f>IF($B311="","",TEXT($B311,"YYYY-MM"))</f>
        <v/>
      </c>
      <c r="L311" s="145" t="n"/>
      <c r="M311" s="145" t="n"/>
      <c r="N311" s="145" t="n"/>
      <c r="O311" s="145" t="n"/>
      <c r="P311" s="145" t="n"/>
      <c r="Q311" s="145" t="n"/>
      <c r="R311" s="145" t="n"/>
      <c r="S311" s="145" t="n"/>
      <c r="T311" s="145" t="n"/>
      <c r="U311" s="1" t="n"/>
      <c r="V311" s="1" t="n"/>
      <c r="W311" s="1" t="n"/>
      <c r="X311" s="1" t="n"/>
      <c r="Y311" s="1" t="n"/>
      <c r="Z311" s="1" t="n"/>
    </row>
    <row r="312" ht="15" customHeight="1" s="311">
      <c r="A312" s="41">
        <f>IF($D312="","",ROW()-5)</f>
        <v/>
      </c>
      <c r="B312" s="144" t="n"/>
      <c r="C312" s="83" t="n"/>
      <c r="D312" s="146" t="n"/>
      <c r="E312" s="146" t="n"/>
      <c r="F312" s="146" t="n"/>
      <c r="G312" s="164">
        <f t="array" ref="G312">IF($F312="","",IFERROR(INDEX(Disponibilidad!$O$6:$O$18,MATCH($F312,Disponibilidad!$B$6:$B$18,0)),"Hogar"))</f>
        <v/>
      </c>
      <c r="H312" s="76" t="n"/>
      <c r="I312" s="57">
        <f>IF($D312="","",IF($C312="Cobro",N($H312),-N($H312)))</f>
        <v/>
      </c>
      <c r="J312" s="141" t="n"/>
      <c r="K312" s="64">
        <f>IF($B312="","",TEXT($B312,"YYYY-MM"))</f>
        <v/>
      </c>
      <c r="L312" s="145" t="n"/>
      <c r="M312" s="145" t="n"/>
      <c r="N312" s="145" t="n"/>
      <c r="O312" s="145" t="n"/>
      <c r="P312" s="145" t="n"/>
      <c r="Q312" s="145" t="n"/>
      <c r="R312" s="145" t="n"/>
      <c r="S312" s="145" t="n"/>
      <c r="T312" s="145" t="n"/>
      <c r="U312" s="1" t="n"/>
      <c r="V312" s="1" t="n"/>
      <c r="W312" s="1" t="n"/>
      <c r="X312" s="1" t="n"/>
      <c r="Y312" s="1" t="n"/>
      <c r="Z312" s="1" t="n"/>
    </row>
    <row r="313" ht="15" customHeight="1" s="311">
      <c r="A313" s="41">
        <f>IF($D313="","",ROW()-5)</f>
        <v/>
      </c>
      <c r="B313" s="144" t="n"/>
      <c r="C313" s="83" t="n"/>
      <c r="D313" s="146" t="n"/>
      <c r="E313" s="146" t="n"/>
      <c r="F313" s="146" t="n"/>
      <c r="G313" s="164">
        <f t="array" ref="G313">IF($F313="","",IFERROR(INDEX(Disponibilidad!$O$6:$O$18,MATCH($F313,Disponibilidad!$B$6:$B$18,0)),"Hogar"))</f>
        <v/>
      </c>
      <c r="H313" s="76" t="n"/>
      <c r="I313" s="57">
        <f>IF($D313="","",IF($C313="Cobro",N($H313),-N($H313)))</f>
        <v/>
      </c>
      <c r="J313" s="141" t="n"/>
      <c r="K313" s="64">
        <f>IF($B313="","",TEXT($B313,"YYYY-MM"))</f>
        <v/>
      </c>
      <c r="L313" s="145" t="n"/>
      <c r="M313" s="145" t="n"/>
      <c r="N313" s="145" t="n"/>
      <c r="O313" s="145" t="n"/>
      <c r="P313" s="145" t="n"/>
      <c r="Q313" s="145" t="n"/>
      <c r="R313" s="145" t="n"/>
      <c r="S313" s="145" t="n"/>
      <c r="T313" s="145" t="n"/>
      <c r="U313" s="1" t="n"/>
      <c r="V313" s="1" t="n"/>
      <c r="W313" s="1" t="n"/>
      <c r="X313" s="1" t="n"/>
      <c r="Y313" s="1" t="n"/>
      <c r="Z313" s="1" t="n"/>
    </row>
    <row r="314" ht="15" customHeight="1" s="311">
      <c r="A314" s="41">
        <f>IF($D314="","",ROW()-5)</f>
        <v/>
      </c>
      <c r="B314" s="144" t="n"/>
      <c r="C314" s="83" t="n"/>
      <c r="D314" s="146" t="n"/>
      <c r="E314" s="146" t="n"/>
      <c r="F314" s="146" t="n"/>
      <c r="G314" s="164">
        <f t="array" ref="G314">IF($F314="","",IFERROR(INDEX(Disponibilidad!$O$6:$O$18,MATCH($F314,Disponibilidad!$B$6:$B$18,0)),"Hogar"))</f>
        <v/>
      </c>
      <c r="H314" s="76" t="n"/>
      <c r="I314" s="57">
        <f>IF($D314="","",IF($C314="Cobro",N($H314),-N($H314)))</f>
        <v/>
      </c>
      <c r="J314" s="141" t="n"/>
      <c r="K314" s="64">
        <f>IF($B314="","",TEXT($B314,"YYYY-MM"))</f>
        <v/>
      </c>
      <c r="L314" s="145" t="n"/>
      <c r="M314" s="145" t="n"/>
      <c r="N314" s="145" t="n"/>
      <c r="O314" s="145" t="n"/>
      <c r="P314" s="145" t="n"/>
      <c r="Q314" s="145" t="n"/>
      <c r="R314" s="145" t="n"/>
      <c r="S314" s="145" t="n"/>
      <c r="T314" s="145" t="n"/>
      <c r="U314" s="1" t="n"/>
      <c r="V314" s="1" t="n"/>
      <c r="W314" s="1" t="n"/>
      <c r="X314" s="1" t="n"/>
      <c r="Y314" s="1" t="n"/>
      <c r="Z314" s="1" t="n"/>
    </row>
    <row r="315" ht="15" customHeight="1" s="311">
      <c r="A315" s="41">
        <f>IF($D315="","",ROW()-5)</f>
        <v/>
      </c>
      <c r="B315" s="144" t="n"/>
      <c r="C315" s="83" t="n"/>
      <c r="D315" s="146" t="n"/>
      <c r="E315" s="146" t="n"/>
      <c r="F315" s="146" t="n"/>
      <c r="G315" s="164">
        <f t="array" ref="G315">IF($F315="","",IFERROR(INDEX(Disponibilidad!$O$6:$O$18,MATCH($F315,Disponibilidad!$B$6:$B$18,0)),"Hogar"))</f>
        <v/>
      </c>
      <c r="H315" s="76" t="n"/>
      <c r="I315" s="57">
        <f>IF($D315="","",IF($C315="Cobro",N($H315),-N($H315)))</f>
        <v/>
      </c>
      <c r="J315" s="141" t="n"/>
      <c r="K315" s="64">
        <f>IF($B315="","",TEXT($B315,"YYYY-MM"))</f>
        <v/>
      </c>
      <c r="L315" s="145" t="n"/>
      <c r="M315" s="145" t="n"/>
      <c r="N315" s="145" t="n"/>
      <c r="O315" s="145" t="n"/>
      <c r="P315" s="145" t="n"/>
      <c r="Q315" s="145" t="n"/>
      <c r="R315" s="145" t="n"/>
      <c r="S315" s="145" t="n"/>
      <c r="T315" s="145" t="n"/>
      <c r="U315" s="1" t="n"/>
      <c r="V315" s="1" t="n"/>
      <c r="W315" s="1" t="n"/>
      <c r="X315" s="1" t="n"/>
      <c r="Y315" s="1" t="n"/>
      <c r="Z315" s="1" t="n"/>
    </row>
    <row r="316" ht="15" customHeight="1" s="311">
      <c r="A316" s="41">
        <f>IF($D316="","",ROW()-5)</f>
        <v/>
      </c>
      <c r="B316" s="144" t="n"/>
      <c r="C316" s="83" t="n"/>
      <c r="D316" s="146" t="n"/>
      <c r="E316" s="146" t="n"/>
      <c r="F316" s="146" t="n"/>
      <c r="G316" s="164">
        <f t="array" ref="G316">IF($F316="","",IFERROR(INDEX(Disponibilidad!$O$6:$O$18,MATCH($F316,Disponibilidad!$B$6:$B$18,0)),"Hogar"))</f>
        <v/>
      </c>
      <c r="H316" s="76" t="n"/>
      <c r="I316" s="57">
        <f>IF($D316="","",IF($C316="Cobro",N($H316),-N($H316)))</f>
        <v/>
      </c>
      <c r="J316" s="141" t="n"/>
      <c r="K316" s="64">
        <f>IF($B316="","",TEXT($B316,"YYYY-MM"))</f>
        <v/>
      </c>
      <c r="L316" s="145" t="n"/>
      <c r="M316" s="145" t="n"/>
      <c r="N316" s="145" t="n"/>
      <c r="O316" s="145" t="n"/>
      <c r="P316" s="145" t="n"/>
      <c r="Q316" s="145" t="n"/>
      <c r="R316" s="145" t="n"/>
      <c r="S316" s="145" t="n"/>
      <c r="T316" s="145" t="n"/>
      <c r="U316" s="1" t="n"/>
      <c r="V316" s="1" t="n"/>
      <c r="W316" s="1" t="n"/>
      <c r="X316" s="1" t="n"/>
      <c r="Y316" s="1" t="n"/>
      <c r="Z316" s="1" t="n"/>
    </row>
    <row r="317" ht="15" customHeight="1" s="311">
      <c r="A317" s="41">
        <f>IF($D317="","",ROW()-5)</f>
        <v/>
      </c>
      <c r="B317" s="144" t="n"/>
      <c r="C317" s="83" t="n"/>
      <c r="D317" s="146" t="n"/>
      <c r="E317" s="146" t="n"/>
      <c r="F317" s="146" t="n"/>
      <c r="G317" s="164">
        <f t="array" ref="G317">IF($F317="","",IFERROR(INDEX(Disponibilidad!$O$6:$O$18,MATCH($F317,Disponibilidad!$B$6:$B$18,0)),"Hogar"))</f>
        <v/>
      </c>
      <c r="H317" s="76" t="n"/>
      <c r="I317" s="57">
        <f>IF($D317="","",IF($C317="Cobro",N($H317),-N($H317)))</f>
        <v/>
      </c>
      <c r="J317" s="141" t="n"/>
      <c r="K317" s="64">
        <f>IF($B317="","",TEXT($B317,"YYYY-MM"))</f>
        <v/>
      </c>
      <c r="L317" s="145" t="n"/>
      <c r="M317" s="145" t="n"/>
      <c r="N317" s="145" t="n"/>
      <c r="O317" s="145" t="n"/>
      <c r="P317" s="145" t="n"/>
      <c r="Q317" s="145" t="n"/>
      <c r="R317" s="145" t="n"/>
      <c r="S317" s="145" t="n"/>
      <c r="T317" s="145" t="n"/>
      <c r="U317" s="1" t="n"/>
      <c r="V317" s="1" t="n"/>
      <c r="W317" s="1" t="n"/>
      <c r="X317" s="1" t="n"/>
      <c r="Y317" s="1" t="n"/>
      <c r="Z317" s="1" t="n"/>
    </row>
    <row r="318" ht="15" customHeight="1" s="311">
      <c r="A318" s="41">
        <f>IF($D318="","",ROW()-5)</f>
        <v/>
      </c>
      <c r="B318" s="144" t="n"/>
      <c r="C318" s="83" t="n"/>
      <c r="D318" s="146" t="n"/>
      <c r="E318" s="146" t="n"/>
      <c r="F318" s="146" t="n"/>
      <c r="G318" s="164">
        <f t="array" ref="G318">IF($F318="","",IFERROR(INDEX(Disponibilidad!$O$6:$O$18,MATCH($F318,Disponibilidad!$B$6:$B$18,0)),"Hogar"))</f>
        <v/>
      </c>
      <c r="H318" s="76" t="n"/>
      <c r="I318" s="57">
        <f>IF($D318="","",IF($C318="Cobro",N($H318),-N($H318)))</f>
        <v/>
      </c>
      <c r="J318" s="141" t="n"/>
      <c r="K318" s="64">
        <f>IF($B318="","",TEXT($B318,"YYYY-MM"))</f>
        <v/>
      </c>
      <c r="L318" s="145" t="n"/>
      <c r="M318" s="145" t="n"/>
      <c r="N318" s="145" t="n"/>
      <c r="O318" s="145" t="n"/>
      <c r="P318" s="145" t="n"/>
      <c r="Q318" s="145" t="n"/>
      <c r="R318" s="145" t="n"/>
      <c r="S318" s="145" t="n"/>
      <c r="T318" s="145" t="n"/>
      <c r="U318" s="1" t="n"/>
      <c r="V318" s="1" t="n"/>
      <c r="W318" s="1" t="n"/>
      <c r="X318" s="1" t="n"/>
      <c r="Y318" s="1" t="n"/>
      <c r="Z318" s="1" t="n"/>
    </row>
    <row r="319" ht="15" customHeight="1" s="311">
      <c r="A319" s="41">
        <f>IF($D319="","",ROW()-5)</f>
        <v/>
      </c>
      <c r="B319" s="144" t="n"/>
      <c r="C319" s="83" t="n"/>
      <c r="D319" s="146" t="n"/>
      <c r="E319" s="146" t="n"/>
      <c r="F319" s="146" t="n"/>
      <c r="G319" s="164">
        <f t="array" ref="G319">IF($F319="","",IFERROR(INDEX(Disponibilidad!$O$6:$O$18,MATCH($F319,Disponibilidad!$B$6:$B$18,0)),"Hogar"))</f>
        <v/>
      </c>
      <c r="H319" s="76" t="n"/>
      <c r="I319" s="57">
        <f>IF($D319="","",IF($C319="Cobro",N($H319),-N($H319)))</f>
        <v/>
      </c>
      <c r="J319" s="141" t="n"/>
      <c r="K319" s="64">
        <f>IF($B319="","",TEXT($B319,"YYYY-MM"))</f>
        <v/>
      </c>
      <c r="L319" s="145" t="n"/>
      <c r="M319" s="145" t="n"/>
      <c r="N319" s="145" t="n"/>
      <c r="O319" s="145" t="n"/>
      <c r="P319" s="145" t="n"/>
      <c r="Q319" s="145" t="n"/>
      <c r="R319" s="145" t="n"/>
      <c r="S319" s="145" t="n"/>
      <c r="T319" s="145" t="n"/>
      <c r="U319" s="1" t="n"/>
      <c r="V319" s="1" t="n"/>
      <c r="W319" s="1" t="n"/>
      <c r="X319" s="1" t="n"/>
      <c r="Y319" s="1" t="n"/>
      <c r="Z319" s="1" t="n"/>
    </row>
    <row r="320" ht="15" customHeight="1" s="311">
      <c r="A320" s="41">
        <f>IF($D320="","",ROW()-5)</f>
        <v/>
      </c>
      <c r="B320" s="144" t="n"/>
      <c r="C320" s="83" t="n"/>
      <c r="D320" s="146" t="n"/>
      <c r="E320" s="146" t="n"/>
      <c r="F320" s="146" t="n"/>
      <c r="G320" s="164">
        <f t="array" ref="G320">IF($F320="","",IFERROR(INDEX(Disponibilidad!$O$6:$O$18,MATCH($F320,Disponibilidad!$B$6:$B$18,0)),"Hogar"))</f>
        <v/>
      </c>
      <c r="H320" s="76" t="n"/>
      <c r="I320" s="57">
        <f>IF($D320="","",IF($C320="Cobro",N($H320),-N($H320)))</f>
        <v/>
      </c>
      <c r="J320" s="141" t="n"/>
      <c r="K320" s="64">
        <f>IF($B320="","",TEXT($B320,"YYYY-MM"))</f>
        <v/>
      </c>
      <c r="L320" s="145" t="n"/>
      <c r="M320" s="145" t="n"/>
      <c r="N320" s="145" t="n"/>
      <c r="O320" s="145" t="n"/>
      <c r="P320" s="145" t="n"/>
      <c r="Q320" s="145" t="n"/>
      <c r="R320" s="145" t="n"/>
      <c r="S320" s="145" t="n"/>
      <c r="T320" s="145" t="n"/>
      <c r="U320" s="1" t="n"/>
      <c r="V320" s="1" t="n"/>
      <c r="W320" s="1" t="n"/>
      <c r="X320" s="1" t="n"/>
      <c r="Y320" s="1" t="n"/>
      <c r="Z320" s="1" t="n"/>
    </row>
    <row r="321" ht="15" customHeight="1" s="311">
      <c r="A321" s="41">
        <f>IF($D321="","",ROW()-5)</f>
        <v/>
      </c>
      <c r="B321" s="144" t="n"/>
      <c r="C321" s="83" t="n"/>
      <c r="D321" s="146" t="n"/>
      <c r="E321" s="146" t="n"/>
      <c r="F321" s="146" t="n"/>
      <c r="G321" s="164">
        <f t="array" ref="G321">IF($F321="","",IFERROR(INDEX(Disponibilidad!$O$6:$O$18,MATCH($F321,Disponibilidad!$B$6:$B$18,0)),"Hogar"))</f>
        <v/>
      </c>
      <c r="H321" s="76" t="n"/>
      <c r="I321" s="57">
        <f>IF($D321="","",IF($C321="Cobro",N($H321),-N($H321)))</f>
        <v/>
      </c>
      <c r="J321" s="141" t="n"/>
      <c r="K321" s="64">
        <f>IF($B321="","",TEXT($B321,"YYYY-MM"))</f>
        <v/>
      </c>
      <c r="L321" s="145" t="n"/>
      <c r="M321" s="145" t="n"/>
      <c r="N321" s="145" t="n"/>
      <c r="O321" s="145" t="n"/>
      <c r="P321" s="145" t="n"/>
      <c r="Q321" s="145" t="n"/>
      <c r="R321" s="145" t="n"/>
      <c r="S321" s="145" t="n"/>
      <c r="T321" s="145" t="n"/>
      <c r="U321" s="1" t="n"/>
      <c r="V321" s="1" t="n"/>
      <c r="W321" s="1" t="n"/>
      <c r="X321" s="1" t="n"/>
      <c r="Y321" s="1" t="n"/>
      <c r="Z321" s="1" t="n"/>
    </row>
    <row r="322" ht="15" customHeight="1" s="311">
      <c r="A322" s="41">
        <f>IF($D322="","",ROW()-5)</f>
        <v/>
      </c>
      <c r="B322" s="144" t="n"/>
      <c r="C322" s="83" t="n"/>
      <c r="D322" s="146" t="n"/>
      <c r="E322" s="146" t="n"/>
      <c r="F322" s="146" t="n"/>
      <c r="G322" s="164">
        <f t="array" ref="G322">IF($F322="","",IFERROR(INDEX(Disponibilidad!$O$6:$O$18,MATCH($F322,Disponibilidad!$B$6:$B$18,0)),"Hogar"))</f>
        <v/>
      </c>
      <c r="H322" s="76" t="n"/>
      <c r="I322" s="57">
        <f>IF($D322="","",IF($C322="Cobro",N($H322),-N($H322)))</f>
        <v/>
      </c>
      <c r="J322" s="141" t="n"/>
      <c r="K322" s="64">
        <f>IF($B322="","",TEXT($B322,"YYYY-MM"))</f>
        <v/>
      </c>
      <c r="L322" s="145" t="n"/>
      <c r="M322" s="145" t="n"/>
      <c r="N322" s="145" t="n"/>
      <c r="O322" s="145" t="n"/>
      <c r="P322" s="145" t="n"/>
      <c r="Q322" s="145" t="n"/>
      <c r="R322" s="145" t="n"/>
      <c r="S322" s="145" t="n"/>
      <c r="T322" s="145" t="n"/>
      <c r="U322" s="1" t="n"/>
      <c r="V322" s="1" t="n"/>
      <c r="W322" s="1" t="n"/>
      <c r="X322" s="1" t="n"/>
      <c r="Y322" s="1" t="n"/>
      <c r="Z322" s="1" t="n"/>
    </row>
    <row r="323" ht="15" customHeight="1" s="311">
      <c r="A323" s="41">
        <f>IF($D323="","",ROW()-5)</f>
        <v/>
      </c>
      <c r="B323" s="144" t="n"/>
      <c r="C323" s="83" t="n"/>
      <c r="D323" s="146" t="n"/>
      <c r="E323" s="146" t="n"/>
      <c r="F323" s="146" t="n"/>
      <c r="G323" s="164">
        <f t="array" ref="G323">IF($F323="","",IFERROR(INDEX(Disponibilidad!$O$6:$O$18,MATCH($F323,Disponibilidad!$B$6:$B$18,0)),"Hogar"))</f>
        <v/>
      </c>
      <c r="H323" s="76" t="n"/>
      <c r="I323" s="57">
        <f>IF($D323="","",IF($C323="Cobro",N($H323),-N($H323)))</f>
        <v/>
      </c>
      <c r="J323" s="141" t="n"/>
      <c r="K323" s="64">
        <f>IF($B323="","",TEXT($B323,"YYYY-MM"))</f>
        <v/>
      </c>
      <c r="L323" s="145" t="n"/>
      <c r="M323" s="145" t="n"/>
      <c r="N323" s="145" t="n"/>
      <c r="O323" s="145" t="n"/>
      <c r="P323" s="145" t="n"/>
      <c r="Q323" s="145" t="n"/>
      <c r="R323" s="145" t="n"/>
      <c r="S323" s="145" t="n"/>
      <c r="T323" s="145" t="n"/>
      <c r="U323" s="1" t="n"/>
      <c r="V323" s="1" t="n"/>
      <c r="W323" s="1" t="n"/>
      <c r="X323" s="1" t="n"/>
      <c r="Y323" s="1" t="n"/>
      <c r="Z323" s="1" t="n"/>
    </row>
    <row r="324" ht="15" customHeight="1" s="311">
      <c r="A324" s="41">
        <f>IF($D324="","",ROW()-5)</f>
        <v/>
      </c>
      <c r="B324" s="144" t="n"/>
      <c r="C324" s="83" t="n"/>
      <c r="D324" s="146" t="n"/>
      <c r="E324" s="146" t="n"/>
      <c r="F324" s="146" t="n"/>
      <c r="G324" s="164">
        <f t="array" ref="G324">IF($F324="","",IFERROR(INDEX(Disponibilidad!$O$6:$O$18,MATCH($F324,Disponibilidad!$B$6:$B$18,0)),"Hogar"))</f>
        <v/>
      </c>
      <c r="H324" s="76" t="n"/>
      <c r="I324" s="57">
        <f>IF($D324="","",IF($C324="Cobro",N($H324),-N($H324)))</f>
        <v/>
      </c>
      <c r="J324" s="141" t="n"/>
      <c r="K324" s="64">
        <f>IF($B324="","",TEXT($B324,"YYYY-MM"))</f>
        <v/>
      </c>
      <c r="L324" s="145" t="n"/>
      <c r="M324" s="145" t="n"/>
      <c r="N324" s="145" t="n"/>
      <c r="O324" s="145" t="n"/>
      <c r="P324" s="145" t="n"/>
      <c r="Q324" s="145" t="n"/>
      <c r="R324" s="145" t="n"/>
      <c r="S324" s="145" t="n"/>
      <c r="T324" s="145" t="n"/>
      <c r="U324" s="1" t="n"/>
      <c r="V324" s="1" t="n"/>
      <c r="W324" s="1" t="n"/>
      <c r="X324" s="1" t="n"/>
      <c r="Y324" s="1" t="n"/>
      <c r="Z324" s="1" t="n"/>
    </row>
    <row r="325" ht="15" customHeight="1" s="311">
      <c r="A325" s="41">
        <f>IF($D325="","",ROW()-5)</f>
        <v/>
      </c>
      <c r="B325" s="144" t="n"/>
      <c r="C325" s="83" t="n"/>
      <c r="D325" s="146" t="n"/>
      <c r="E325" s="146" t="n"/>
      <c r="F325" s="146" t="n"/>
      <c r="G325" s="164">
        <f t="array" ref="G325">IF($F325="","",IFERROR(INDEX(Disponibilidad!$O$6:$O$18,MATCH($F325,Disponibilidad!$B$6:$B$18,0)),"Hogar"))</f>
        <v/>
      </c>
      <c r="H325" s="76" t="n"/>
      <c r="I325" s="57">
        <f>IF($D325="","",IF($C325="Cobro",N($H325),-N($H325)))</f>
        <v/>
      </c>
      <c r="J325" s="141" t="n"/>
      <c r="K325" s="64">
        <f>IF($B325="","",TEXT($B325,"YYYY-MM"))</f>
        <v/>
      </c>
      <c r="L325" s="145" t="n"/>
      <c r="M325" s="145" t="n"/>
      <c r="N325" s="145" t="n"/>
      <c r="O325" s="145" t="n"/>
      <c r="P325" s="145" t="n"/>
      <c r="Q325" s="145" t="n"/>
      <c r="R325" s="145" t="n"/>
      <c r="S325" s="145" t="n"/>
      <c r="T325" s="145" t="n"/>
      <c r="U325" s="1" t="n"/>
      <c r="V325" s="1" t="n"/>
      <c r="W325" s="1" t="n"/>
      <c r="X325" s="1" t="n"/>
      <c r="Y325" s="1" t="n"/>
      <c r="Z325" s="1" t="n"/>
    </row>
    <row r="326" ht="15" customHeight="1" s="311">
      <c r="A326" s="41">
        <f>IF($D326="","",ROW()-5)</f>
        <v/>
      </c>
      <c r="B326" s="144" t="n"/>
      <c r="C326" s="83" t="n"/>
      <c r="D326" s="146" t="n"/>
      <c r="E326" s="146" t="n"/>
      <c r="F326" s="146" t="n"/>
      <c r="G326" s="164">
        <f t="array" ref="G326">IF($F326="","",IFERROR(INDEX(Disponibilidad!$O$6:$O$18,MATCH($F326,Disponibilidad!$B$6:$B$18,0)),"Hogar"))</f>
        <v/>
      </c>
      <c r="H326" s="76" t="n"/>
      <c r="I326" s="57">
        <f>IF($D326="","",IF($C326="Cobro",N($H326),-N($H326)))</f>
        <v/>
      </c>
      <c r="J326" s="141" t="n"/>
      <c r="K326" s="64">
        <f>IF($B326="","",TEXT($B326,"YYYY-MM"))</f>
        <v/>
      </c>
      <c r="L326" s="145" t="n"/>
      <c r="M326" s="145" t="n"/>
      <c r="N326" s="145" t="n"/>
      <c r="O326" s="145" t="n"/>
      <c r="P326" s="145" t="n"/>
      <c r="Q326" s="145" t="n"/>
      <c r="R326" s="145" t="n"/>
      <c r="S326" s="145" t="n"/>
      <c r="T326" s="145" t="n"/>
      <c r="U326" s="1" t="n"/>
      <c r="V326" s="1" t="n"/>
      <c r="W326" s="1" t="n"/>
      <c r="X326" s="1" t="n"/>
      <c r="Y326" s="1" t="n"/>
      <c r="Z326" s="1" t="n"/>
    </row>
    <row r="327" ht="15" customHeight="1" s="311">
      <c r="A327" s="41">
        <f>IF($D327="","",ROW()-5)</f>
        <v/>
      </c>
      <c r="B327" s="144" t="n"/>
      <c r="C327" s="83" t="n"/>
      <c r="D327" s="146" t="n"/>
      <c r="E327" s="146" t="n"/>
      <c r="F327" s="146" t="n"/>
      <c r="G327" s="164">
        <f t="array" ref="G327">IF($F327="","",IFERROR(INDEX(Disponibilidad!$O$6:$O$18,MATCH($F327,Disponibilidad!$B$6:$B$18,0)),"Hogar"))</f>
        <v/>
      </c>
      <c r="H327" s="76" t="n"/>
      <c r="I327" s="57">
        <f>IF($D327="","",IF($C327="Cobro",N($H327),-N($H327)))</f>
        <v/>
      </c>
      <c r="J327" s="141" t="n"/>
      <c r="K327" s="64">
        <f>IF($B327="","",TEXT($B327,"YYYY-MM"))</f>
        <v/>
      </c>
      <c r="L327" s="145" t="n"/>
      <c r="M327" s="145" t="n"/>
      <c r="N327" s="145" t="n"/>
      <c r="O327" s="145" t="n"/>
      <c r="P327" s="145" t="n"/>
      <c r="Q327" s="145" t="n"/>
      <c r="R327" s="145" t="n"/>
      <c r="S327" s="145" t="n"/>
      <c r="T327" s="145" t="n"/>
      <c r="U327" s="1" t="n"/>
      <c r="V327" s="1" t="n"/>
      <c r="W327" s="1" t="n"/>
      <c r="X327" s="1" t="n"/>
      <c r="Y327" s="1" t="n"/>
      <c r="Z327" s="1" t="n"/>
    </row>
    <row r="328" ht="15" customHeight="1" s="311">
      <c r="A328" s="41">
        <f>IF($D328="","",ROW()-5)</f>
        <v/>
      </c>
      <c r="B328" s="144" t="n"/>
      <c r="C328" s="83" t="n"/>
      <c r="D328" s="146" t="n"/>
      <c r="E328" s="146" t="n"/>
      <c r="F328" s="146" t="n"/>
      <c r="G328" s="164">
        <f t="array" ref="G328">IF($F328="","",IFERROR(INDEX(Disponibilidad!$O$6:$O$18,MATCH($F328,Disponibilidad!$B$6:$B$18,0)),"Hogar"))</f>
        <v/>
      </c>
      <c r="H328" s="76" t="n"/>
      <c r="I328" s="57">
        <f>IF($D328="","",IF($C328="Cobro",N($H328),-N($H328)))</f>
        <v/>
      </c>
      <c r="J328" s="141" t="n"/>
      <c r="K328" s="64">
        <f>IF($B328="","",TEXT($B328,"YYYY-MM"))</f>
        <v/>
      </c>
      <c r="L328" s="145" t="n"/>
      <c r="M328" s="145" t="n"/>
      <c r="N328" s="145" t="n"/>
      <c r="O328" s="145" t="n"/>
      <c r="P328" s="145" t="n"/>
      <c r="Q328" s="145" t="n"/>
      <c r="R328" s="145" t="n"/>
      <c r="S328" s="145" t="n"/>
      <c r="T328" s="145" t="n"/>
      <c r="U328" s="1" t="n"/>
      <c r="V328" s="1" t="n"/>
      <c r="W328" s="1" t="n"/>
      <c r="X328" s="1" t="n"/>
      <c r="Y328" s="1" t="n"/>
      <c r="Z328" s="1" t="n"/>
    </row>
    <row r="329" ht="15" customHeight="1" s="311">
      <c r="A329" s="41">
        <f>IF($D329="","",ROW()-5)</f>
        <v/>
      </c>
      <c r="B329" s="144" t="n"/>
      <c r="C329" s="83" t="n"/>
      <c r="D329" s="146" t="n"/>
      <c r="E329" s="146" t="n"/>
      <c r="F329" s="146" t="n"/>
      <c r="G329" s="164">
        <f t="array" ref="G329">IF($F329="","",IFERROR(INDEX(Disponibilidad!$O$6:$O$18,MATCH($F329,Disponibilidad!$B$6:$B$18,0)),"Hogar"))</f>
        <v/>
      </c>
      <c r="H329" s="76" t="n"/>
      <c r="I329" s="57">
        <f>IF($D329="","",IF($C329="Cobro",N($H329),-N($H329)))</f>
        <v/>
      </c>
      <c r="J329" s="141" t="n"/>
      <c r="K329" s="64">
        <f>IF($B329="","",TEXT($B329,"YYYY-MM"))</f>
        <v/>
      </c>
      <c r="L329" s="145" t="n"/>
      <c r="M329" s="145" t="n"/>
      <c r="N329" s="145" t="n"/>
      <c r="O329" s="145" t="n"/>
      <c r="P329" s="145" t="n"/>
      <c r="Q329" s="145" t="n"/>
      <c r="R329" s="145" t="n"/>
      <c r="S329" s="145" t="n"/>
      <c r="T329" s="145" t="n"/>
      <c r="U329" s="1" t="n"/>
      <c r="V329" s="1" t="n"/>
      <c r="W329" s="1" t="n"/>
      <c r="X329" s="1" t="n"/>
      <c r="Y329" s="1" t="n"/>
      <c r="Z329" s="1" t="n"/>
    </row>
    <row r="330" ht="15" customHeight="1" s="311">
      <c r="A330" s="41">
        <f>IF($D330="","",ROW()-5)</f>
        <v/>
      </c>
      <c r="B330" s="144" t="n"/>
      <c r="C330" s="83" t="n"/>
      <c r="D330" s="146" t="n"/>
      <c r="E330" s="146" t="n"/>
      <c r="F330" s="146" t="n"/>
      <c r="G330" s="164">
        <f t="array" ref="G330">IF($F330="","",IFERROR(INDEX(Disponibilidad!$O$6:$O$18,MATCH($F330,Disponibilidad!$B$6:$B$18,0)),"Hogar"))</f>
        <v/>
      </c>
      <c r="H330" s="76" t="n"/>
      <c r="I330" s="57">
        <f>IF($D330="","",IF($C330="Cobro",N($H330),-N($H330)))</f>
        <v/>
      </c>
      <c r="J330" s="141" t="n"/>
      <c r="K330" s="64">
        <f>IF($B330="","",TEXT($B330,"YYYY-MM"))</f>
        <v/>
      </c>
      <c r="L330" s="145" t="n"/>
      <c r="M330" s="145" t="n"/>
      <c r="N330" s="145" t="n"/>
      <c r="O330" s="145" t="n"/>
      <c r="P330" s="145" t="n"/>
      <c r="Q330" s="145" t="n"/>
      <c r="R330" s="145" t="n"/>
      <c r="S330" s="145" t="n"/>
      <c r="T330" s="145" t="n"/>
      <c r="U330" s="1" t="n"/>
      <c r="V330" s="1" t="n"/>
      <c r="W330" s="1" t="n"/>
      <c r="X330" s="1" t="n"/>
      <c r="Y330" s="1" t="n"/>
      <c r="Z330" s="1" t="n"/>
    </row>
    <row r="331" ht="15" customHeight="1" s="311">
      <c r="A331" s="41">
        <f>IF($D331="","",ROW()-5)</f>
        <v/>
      </c>
      <c r="B331" s="144" t="n"/>
      <c r="C331" s="83" t="n"/>
      <c r="D331" s="146" t="n"/>
      <c r="E331" s="146" t="n"/>
      <c r="F331" s="146" t="n"/>
      <c r="G331" s="164">
        <f t="array" ref="G331">IF($F331="","",IFERROR(INDEX(Disponibilidad!$O$6:$O$18,MATCH($F331,Disponibilidad!$B$6:$B$18,0)),"Hogar"))</f>
        <v/>
      </c>
      <c r="H331" s="76" t="n"/>
      <c r="I331" s="57">
        <f>IF($D331="","",IF($C331="Cobro",N($H331),-N($H331)))</f>
        <v/>
      </c>
      <c r="J331" s="141" t="n"/>
      <c r="K331" s="64">
        <f>IF($B331="","",TEXT($B331,"YYYY-MM"))</f>
        <v/>
      </c>
      <c r="L331" s="145" t="n"/>
      <c r="M331" s="145" t="n"/>
      <c r="N331" s="145" t="n"/>
      <c r="O331" s="145" t="n"/>
      <c r="P331" s="145" t="n"/>
      <c r="Q331" s="145" t="n"/>
      <c r="R331" s="145" t="n"/>
      <c r="S331" s="145" t="n"/>
      <c r="T331" s="145" t="n"/>
      <c r="U331" s="1" t="n"/>
      <c r="V331" s="1" t="n"/>
      <c r="W331" s="1" t="n"/>
      <c r="X331" s="1" t="n"/>
      <c r="Y331" s="1" t="n"/>
      <c r="Z331" s="1" t="n"/>
    </row>
    <row r="332" ht="15" customHeight="1" s="311">
      <c r="A332" s="41">
        <f>IF($D332="","",ROW()-5)</f>
        <v/>
      </c>
      <c r="B332" s="144" t="n"/>
      <c r="C332" s="83" t="n"/>
      <c r="D332" s="146" t="n"/>
      <c r="E332" s="146" t="n"/>
      <c r="F332" s="146" t="n"/>
      <c r="G332" s="164">
        <f t="array" ref="G332">IF($F332="","",IFERROR(INDEX(Disponibilidad!$O$6:$O$18,MATCH($F332,Disponibilidad!$B$6:$B$18,0)),"Hogar"))</f>
        <v/>
      </c>
      <c r="H332" s="76" t="n"/>
      <c r="I332" s="57">
        <f>IF($D332="","",IF($C332="Cobro",N($H332),-N($H332)))</f>
        <v/>
      </c>
      <c r="J332" s="141" t="n"/>
      <c r="K332" s="64">
        <f>IF($B332="","",TEXT($B332,"YYYY-MM"))</f>
        <v/>
      </c>
      <c r="L332" s="145" t="n"/>
      <c r="M332" s="145" t="n"/>
      <c r="N332" s="145" t="n"/>
      <c r="O332" s="145" t="n"/>
      <c r="P332" s="145" t="n"/>
      <c r="Q332" s="145" t="n"/>
      <c r="R332" s="145" t="n"/>
      <c r="S332" s="145" t="n"/>
      <c r="T332" s="145" t="n"/>
      <c r="U332" s="1" t="n"/>
      <c r="V332" s="1" t="n"/>
      <c r="W332" s="1" t="n"/>
      <c r="X332" s="1" t="n"/>
      <c r="Y332" s="1" t="n"/>
      <c r="Z332" s="1" t="n"/>
    </row>
    <row r="333" ht="15" customHeight="1" s="311">
      <c r="A333" s="41">
        <f>IF($D333="","",ROW()-5)</f>
        <v/>
      </c>
      <c r="B333" s="144" t="n"/>
      <c r="C333" s="83" t="n"/>
      <c r="D333" s="146" t="n"/>
      <c r="E333" s="146" t="n"/>
      <c r="F333" s="146" t="n"/>
      <c r="G333" s="164">
        <f t="array" ref="G333">IF($F333="","",IFERROR(INDEX(Disponibilidad!$O$6:$O$18,MATCH($F333,Disponibilidad!$B$6:$B$18,0)),"Hogar"))</f>
        <v/>
      </c>
      <c r="H333" s="76" t="n"/>
      <c r="I333" s="57">
        <f>IF($D333="","",IF($C333="Cobro",N($H333),-N($H333)))</f>
        <v/>
      </c>
      <c r="J333" s="141" t="n"/>
      <c r="K333" s="64">
        <f>IF($B333="","",TEXT($B333,"YYYY-MM"))</f>
        <v/>
      </c>
      <c r="L333" s="145" t="n"/>
      <c r="M333" s="145" t="n"/>
      <c r="N333" s="145" t="n"/>
      <c r="O333" s="145" t="n"/>
      <c r="P333" s="145" t="n"/>
      <c r="Q333" s="145" t="n"/>
      <c r="R333" s="145" t="n"/>
      <c r="S333" s="145" t="n"/>
      <c r="T333" s="145" t="n"/>
      <c r="U333" s="1" t="n"/>
      <c r="V333" s="1" t="n"/>
      <c r="W333" s="1" t="n"/>
      <c r="X333" s="1" t="n"/>
      <c r="Y333" s="1" t="n"/>
      <c r="Z333" s="1" t="n"/>
    </row>
    <row r="334" ht="15" customHeight="1" s="311">
      <c r="A334" s="41">
        <f>IF($D334="","",ROW()-5)</f>
        <v/>
      </c>
      <c r="B334" s="144" t="n"/>
      <c r="C334" s="83" t="n"/>
      <c r="D334" s="146" t="n"/>
      <c r="E334" s="146" t="n"/>
      <c r="F334" s="146" t="n"/>
      <c r="G334" s="164">
        <f t="array" ref="G334">IF($F334="","",IFERROR(INDEX(Disponibilidad!$O$6:$O$18,MATCH($F334,Disponibilidad!$B$6:$B$18,0)),"Hogar"))</f>
        <v/>
      </c>
      <c r="H334" s="76" t="n"/>
      <c r="I334" s="57">
        <f>IF($D334="","",IF($C334="Cobro",N($H334),-N($H334)))</f>
        <v/>
      </c>
      <c r="J334" s="141" t="n"/>
      <c r="K334" s="64">
        <f>IF($B334="","",TEXT($B334,"YYYY-MM"))</f>
        <v/>
      </c>
      <c r="L334" s="145" t="n"/>
      <c r="M334" s="145" t="n"/>
      <c r="N334" s="145" t="n"/>
      <c r="O334" s="145" t="n"/>
      <c r="P334" s="145" t="n"/>
      <c r="Q334" s="145" t="n"/>
      <c r="R334" s="145" t="n"/>
      <c r="S334" s="145" t="n"/>
      <c r="T334" s="145" t="n"/>
      <c r="U334" s="1" t="n"/>
      <c r="V334" s="1" t="n"/>
      <c r="W334" s="1" t="n"/>
      <c r="X334" s="1" t="n"/>
      <c r="Y334" s="1" t="n"/>
      <c r="Z334" s="1" t="n"/>
    </row>
    <row r="335" ht="15" customHeight="1" s="311">
      <c r="A335" s="41">
        <f>IF($D335="","",ROW()-5)</f>
        <v/>
      </c>
      <c r="B335" s="144" t="n"/>
      <c r="C335" s="83" t="n"/>
      <c r="D335" s="146" t="n"/>
      <c r="E335" s="146" t="n"/>
      <c r="F335" s="146" t="n"/>
      <c r="G335" s="164">
        <f t="array" ref="G335">IF($F335="","",IFERROR(INDEX(Disponibilidad!$O$6:$O$18,MATCH($F335,Disponibilidad!$B$6:$B$18,0)),"Hogar"))</f>
        <v/>
      </c>
      <c r="H335" s="76" t="n"/>
      <c r="I335" s="57">
        <f>IF($D335="","",IF($C335="Cobro",N($H335),-N($H335)))</f>
        <v/>
      </c>
      <c r="J335" s="141" t="n"/>
      <c r="K335" s="64">
        <f>IF($B335="","",TEXT($B335,"YYYY-MM"))</f>
        <v/>
      </c>
      <c r="L335" s="145" t="n"/>
      <c r="M335" s="145" t="n"/>
      <c r="N335" s="145" t="n"/>
      <c r="O335" s="145" t="n"/>
      <c r="P335" s="145" t="n"/>
      <c r="Q335" s="145" t="n"/>
      <c r="R335" s="145" t="n"/>
      <c r="S335" s="145" t="n"/>
      <c r="T335" s="145" t="n"/>
      <c r="U335" s="1" t="n"/>
      <c r="V335" s="1" t="n"/>
      <c r="W335" s="1" t="n"/>
      <c r="X335" s="1" t="n"/>
      <c r="Y335" s="1" t="n"/>
      <c r="Z335" s="1" t="n"/>
    </row>
    <row r="336" ht="15" customHeight="1" s="311">
      <c r="A336" s="41">
        <f>IF($D336="","",ROW()-5)</f>
        <v/>
      </c>
      <c r="B336" s="144" t="n"/>
      <c r="C336" s="83" t="n"/>
      <c r="D336" s="146" t="n"/>
      <c r="E336" s="146" t="n"/>
      <c r="F336" s="146" t="n"/>
      <c r="G336" s="164">
        <f t="array" ref="G336">IF($F336="","",IFERROR(INDEX(Disponibilidad!$O$6:$O$18,MATCH($F336,Disponibilidad!$B$6:$B$18,0)),"Hogar"))</f>
        <v/>
      </c>
      <c r="H336" s="76" t="n"/>
      <c r="I336" s="57">
        <f>IF($D336="","",IF($C336="Cobro",N($H336),-N($H336)))</f>
        <v/>
      </c>
      <c r="J336" s="141" t="n"/>
      <c r="K336" s="64">
        <f>IF($B336="","",TEXT($B336,"YYYY-MM"))</f>
        <v/>
      </c>
      <c r="L336" s="145" t="n"/>
      <c r="M336" s="145" t="n"/>
      <c r="N336" s="145" t="n"/>
      <c r="O336" s="145" t="n"/>
      <c r="P336" s="145" t="n"/>
      <c r="Q336" s="145" t="n"/>
      <c r="R336" s="145" t="n"/>
      <c r="S336" s="145" t="n"/>
      <c r="T336" s="145" t="n"/>
      <c r="U336" s="1" t="n"/>
      <c r="V336" s="1" t="n"/>
      <c r="W336" s="1" t="n"/>
      <c r="X336" s="1" t="n"/>
      <c r="Y336" s="1" t="n"/>
      <c r="Z336" s="1" t="n"/>
    </row>
    <row r="337" ht="15" customHeight="1" s="311">
      <c r="A337" s="41">
        <f>IF($D337="","",ROW()-5)</f>
        <v/>
      </c>
      <c r="B337" s="144" t="n"/>
      <c r="C337" s="83" t="n"/>
      <c r="D337" s="146" t="n"/>
      <c r="E337" s="146" t="n"/>
      <c r="F337" s="146" t="n"/>
      <c r="G337" s="164">
        <f t="array" ref="G337">IF($F337="","",IFERROR(INDEX(Disponibilidad!$O$6:$O$18,MATCH($F337,Disponibilidad!$B$6:$B$18,0)),"Hogar"))</f>
        <v/>
      </c>
      <c r="H337" s="76" t="n"/>
      <c r="I337" s="57">
        <f>IF($D337="","",IF($C337="Cobro",N($H337),-N($H337)))</f>
        <v/>
      </c>
      <c r="J337" s="141" t="n"/>
      <c r="K337" s="64">
        <f>IF($B337="","",TEXT($B337,"YYYY-MM"))</f>
        <v/>
      </c>
      <c r="L337" s="145" t="n"/>
      <c r="M337" s="145" t="n"/>
      <c r="N337" s="145" t="n"/>
      <c r="O337" s="145" t="n"/>
      <c r="P337" s="145" t="n"/>
      <c r="Q337" s="145" t="n"/>
      <c r="R337" s="145" t="n"/>
      <c r="S337" s="145" t="n"/>
      <c r="T337" s="145" t="n"/>
      <c r="U337" s="1" t="n"/>
      <c r="V337" s="1" t="n"/>
      <c r="W337" s="1" t="n"/>
      <c r="X337" s="1" t="n"/>
      <c r="Y337" s="1" t="n"/>
      <c r="Z337" s="1" t="n"/>
    </row>
    <row r="338" ht="15" customHeight="1" s="311">
      <c r="A338" s="41">
        <f>IF($D338="","",ROW()-5)</f>
        <v/>
      </c>
      <c r="B338" s="144" t="n"/>
      <c r="C338" s="83" t="n"/>
      <c r="D338" s="146" t="n"/>
      <c r="E338" s="146" t="n"/>
      <c r="F338" s="146" t="n"/>
      <c r="G338" s="164">
        <f t="array" ref="G338">IF($F338="","",IFERROR(INDEX(Disponibilidad!$O$6:$O$18,MATCH($F338,Disponibilidad!$B$6:$B$18,0)),"Hogar"))</f>
        <v/>
      </c>
      <c r="H338" s="76" t="n"/>
      <c r="I338" s="57">
        <f>IF($D338="","",IF($C338="Cobro",N($H338),-N($H338)))</f>
        <v/>
      </c>
      <c r="J338" s="141" t="n"/>
      <c r="K338" s="64">
        <f>IF($B338="","",TEXT($B338,"YYYY-MM"))</f>
        <v/>
      </c>
      <c r="L338" s="145" t="n"/>
      <c r="M338" s="145" t="n"/>
      <c r="N338" s="145" t="n"/>
      <c r="O338" s="145" t="n"/>
      <c r="P338" s="145" t="n"/>
      <c r="Q338" s="145" t="n"/>
      <c r="R338" s="145" t="n"/>
      <c r="S338" s="145" t="n"/>
      <c r="T338" s="145" t="n"/>
      <c r="U338" s="1" t="n"/>
      <c r="V338" s="1" t="n"/>
      <c r="W338" s="1" t="n"/>
      <c r="X338" s="1" t="n"/>
      <c r="Y338" s="1" t="n"/>
      <c r="Z338" s="1" t="n"/>
    </row>
    <row r="339" ht="15" customHeight="1" s="311">
      <c r="A339" s="41">
        <f>IF($D339="","",ROW()-5)</f>
        <v/>
      </c>
      <c r="B339" s="144" t="n"/>
      <c r="C339" s="83" t="n"/>
      <c r="D339" s="146" t="n"/>
      <c r="E339" s="146" t="n"/>
      <c r="F339" s="146" t="n"/>
      <c r="G339" s="164">
        <f t="array" ref="G339">IF($F339="","",IFERROR(INDEX(Disponibilidad!$O$6:$O$18,MATCH($F339,Disponibilidad!$B$6:$B$18,0)),"Hogar"))</f>
        <v/>
      </c>
      <c r="H339" s="76" t="n"/>
      <c r="I339" s="57">
        <f>IF($D339="","",IF($C339="Cobro",N($H339),-N($H339)))</f>
        <v/>
      </c>
      <c r="J339" s="141" t="n"/>
      <c r="K339" s="64">
        <f>IF($B339="","",TEXT($B339,"YYYY-MM"))</f>
        <v/>
      </c>
      <c r="L339" s="145" t="n"/>
      <c r="M339" s="145" t="n"/>
      <c r="N339" s="145" t="n"/>
      <c r="O339" s="145" t="n"/>
      <c r="P339" s="145" t="n"/>
      <c r="Q339" s="145" t="n"/>
      <c r="R339" s="145" t="n"/>
      <c r="S339" s="145" t="n"/>
      <c r="T339" s="145" t="n"/>
      <c r="U339" s="1" t="n"/>
      <c r="V339" s="1" t="n"/>
      <c r="W339" s="1" t="n"/>
      <c r="X339" s="1" t="n"/>
      <c r="Y339" s="1" t="n"/>
      <c r="Z339" s="1" t="n"/>
    </row>
    <row r="340" ht="15" customHeight="1" s="311">
      <c r="A340" s="41">
        <f>IF($D340="","",ROW()-5)</f>
        <v/>
      </c>
      <c r="B340" s="144" t="n"/>
      <c r="C340" s="83" t="n"/>
      <c r="D340" s="146" t="n"/>
      <c r="E340" s="146" t="n"/>
      <c r="F340" s="146" t="n"/>
      <c r="G340" s="164">
        <f t="array" ref="G340">IF($F340="","",IFERROR(INDEX(Disponibilidad!$O$6:$O$18,MATCH($F340,Disponibilidad!$B$6:$B$18,0)),"Hogar"))</f>
        <v/>
      </c>
      <c r="H340" s="76" t="n"/>
      <c r="I340" s="57">
        <f>IF($D340="","",IF($C340="Cobro",N($H340),-N($H340)))</f>
        <v/>
      </c>
      <c r="J340" s="141" t="n"/>
      <c r="K340" s="64">
        <f>IF($B340="","",TEXT($B340,"YYYY-MM"))</f>
        <v/>
      </c>
      <c r="L340" s="145" t="n"/>
      <c r="M340" s="145" t="n"/>
      <c r="N340" s="145" t="n"/>
      <c r="O340" s="145" t="n"/>
      <c r="P340" s="145" t="n"/>
      <c r="Q340" s="145" t="n"/>
      <c r="R340" s="145" t="n"/>
      <c r="S340" s="145" t="n"/>
      <c r="T340" s="145" t="n"/>
      <c r="U340" s="1" t="n"/>
      <c r="V340" s="1" t="n"/>
      <c r="W340" s="1" t="n"/>
      <c r="X340" s="1" t="n"/>
      <c r="Y340" s="1" t="n"/>
      <c r="Z340" s="1" t="n"/>
    </row>
    <row r="341" ht="15" customHeight="1" s="311">
      <c r="A341" s="41">
        <f>IF($D341="","",ROW()-5)</f>
        <v/>
      </c>
      <c r="B341" s="144" t="n"/>
      <c r="C341" s="83" t="n"/>
      <c r="D341" s="146" t="n"/>
      <c r="E341" s="146" t="n"/>
      <c r="F341" s="146" t="n"/>
      <c r="G341" s="164">
        <f t="array" ref="G341">IF($F341="","",IFERROR(INDEX(Disponibilidad!$O$6:$O$18,MATCH($F341,Disponibilidad!$B$6:$B$18,0)),"Hogar"))</f>
        <v/>
      </c>
      <c r="H341" s="76" t="n"/>
      <c r="I341" s="57">
        <f>IF($D341="","",IF($C341="Cobro",N($H341),-N($H341)))</f>
        <v/>
      </c>
      <c r="J341" s="141" t="n"/>
      <c r="K341" s="64">
        <f>IF($B341="","",TEXT($B341,"YYYY-MM"))</f>
        <v/>
      </c>
      <c r="L341" s="145" t="n"/>
      <c r="M341" s="145" t="n"/>
      <c r="N341" s="145" t="n"/>
      <c r="O341" s="145" t="n"/>
      <c r="P341" s="145" t="n"/>
      <c r="Q341" s="145" t="n"/>
      <c r="R341" s="145" t="n"/>
      <c r="S341" s="145" t="n"/>
      <c r="T341" s="145" t="n"/>
      <c r="U341" s="1" t="n"/>
      <c r="V341" s="1" t="n"/>
      <c r="W341" s="1" t="n"/>
      <c r="X341" s="1" t="n"/>
      <c r="Y341" s="1" t="n"/>
      <c r="Z341" s="1" t="n"/>
    </row>
    <row r="342" ht="15" customHeight="1" s="311">
      <c r="A342" s="41">
        <f>IF($D342="","",ROW()-5)</f>
        <v/>
      </c>
      <c r="B342" s="144" t="n"/>
      <c r="C342" s="83" t="n"/>
      <c r="D342" s="146" t="n"/>
      <c r="E342" s="146" t="n"/>
      <c r="F342" s="146" t="n"/>
      <c r="G342" s="164">
        <f t="array" ref="G342">IF($F342="","",IFERROR(INDEX(Disponibilidad!$O$6:$O$18,MATCH($F342,Disponibilidad!$B$6:$B$18,0)),"Hogar"))</f>
        <v/>
      </c>
      <c r="H342" s="76" t="n"/>
      <c r="I342" s="57">
        <f>IF($D342="","",IF($C342="Cobro",N($H342),-N($H342)))</f>
        <v/>
      </c>
      <c r="J342" s="141" t="n"/>
      <c r="K342" s="64">
        <f>IF($B342="","",TEXT($B342,"YYYY-MM"))</f>
        <v/>
      </c>
      <c r="L342" s="145" t="n"/>
      <c r="M342" s="145" t="n"/>
      <c r="N342" s="145" t="n"/>
      <c r="O342" s="145" t="n"/>
      <c r="P342" s="145" t="n"/>
      <c r="Q342" s="145" t="n"/>
      <c r="R342" s="145" t="n"/>
      <c r="S342" s="145" t="n"/>
      <c r="T342" s="145" t="n"/>
      <c r="U342" s="1" t="n"/>
      <c r="V342" s="1" t="n"/>
      <c r="W342" s="1" t="n"/>
      <c r="X342" s="1" t="n"/>
      <c r="Y342" s="1" t="n"/>
      <c r="Z342" s="1" t="n"/>
    </row>
    <row r="343" ht="15" customHeight="1" s="311">
      <c r="A343" s="41">
        <f>IF($D343="","",ROW()-5)</f>
        <v/>
      </c>
      <c r="B343" s="144" t="n"/>
      <c r="C343" s="83" t="n"/>
      <c r="D343" s="146" t="n"/>
      <c r="E343" s="146" t="n"/>
      <c r="F343" s="146" t="n"/>
      <c r="G343" s="164">
        <f t="array" ref="G343">IF($F343="","",IFERROR(INDEX(Disponibilidad!$O$6:$O$18,MATCH($F343,Disponibilidad!$B$6:$B$18,0)),"Hogar"))</f>
        <v/>
      </c>
      <c r="H343" s="76" t="n"/>
      <c r="I343" s="57">
        <f>IF($D343="","",IF($C343="Cobro",N($H343),-N($H343)))</f>
        <v/>
      </c>
      <c r="J343" s="141" t="n"/>
      <c r="K343" s="64">
        <f>IF($B343="","",TEXT($B343,"YYYY-MM"))</f>
        <v/>
      </c>
      <c r="L343" s="145" t="n"/>
      <c r="M343" s="145" t="n"/>
      <c r="N343" s="145" t="n"/>
      <c r="O343" s="145" t="n"/>
      <c r="P343" s="145" t="n"/>
      <c r="Q343" s="145" t="n"/>
      <c r="R343" s="145" t="n"/>
      <c r="S343" s="145" t="n"/>
      <c r="T343" s="145" t="n"/>
      <c r="U343" s="1" t="n"/>
      <c r="V343" s="1" t="n"/>
      <c r="W343" s="1" t="n"/>
      <c r="X343" s="1" t="n"/>
      <c r="Y343" s="1" t="n"/>
      <c r="Z343" s="1" t="n"/>
    </row>
    <row r="344" ht="15" customHeight="1" s="311">
      <c r="A344" s="41">
        <f>IF($D344="","",ROW()-5)</f>
        <v/>
      </c>
      <c r="B344" s="144" t="n"/>
      <c r="C344" s="83" t="n"/>
      <c r="D344" s="146" t="n"/>
      <c r="E344" s="146" t="n"/>
      <c r="F344" s="146" t="n"/>
      <c r="G344" s="164">
        <f t="array" ref="G344">IF($F344="","",IFERROR(INDEX(Disponibilidad!$O$6:$O$18,MATCH($F344,Disponibilidad!$B$6:$B$18,0)),"Hogar"))</f>
        <v/>
      </c>
      <c r="H344" s="76" t="n"/>
      <c r="I344" s="57">
        <f>IF($D344="","",IF($C344="Cobro",N($H344),-N($H344)))</f>
        <v/>
      </c>
      <c r="J344" s="141" t="n"/>
      <c r="K344" s="64">
        <f>IF($B344="","",TEXT($B344,"YYYY-MM"))</f>
        <v/>
      </c>
      <c r="L344" s="145" t="n"/>
      <c r="M344" s="145" t="n"/>
      <c r="N344" s="145" t="n"/>
      <c r="O344" s="145" t="n"/>
      <c r="P344" s="145" t="n"/>
      <c r="Q344" s="145" t="n"/>
      <c r="R344" s="145" t="n"/>
      <c r="S344" s="145" t="n"/>
      <c r="T344" s="145" t="n"/>
      <c r="U344" s="1" t="n"/>
      <c r="V344" s="1" t="n"/>
      <c r="W344" s="1" t="n"/>
      <c r="X344" s="1" t="n"/>
      <c r="Y344" s="1" t="n"/>
      <c r="Z344" s="1" t="n"/>
    </row>
    <row r="345" ht="15" customHeight="1" s="311">
      <c r="A345" s="41">
        <f>IF($D345="","",ROW()-5)</f>
        <v/>
      </c>
      <c r="B345" s="144" t="n"/>
      <c r="C345" s="83" t="n"/>
      <c r="D345" s="146" t="n"/>
      <c r="E345" s="146" t="n"/>
      <c r="F345" s="146" t="n"/>
      <c r="G345" s="164">
        <f t="array" ref="G345">IF($F345="","",IFERROR(INDEX(Disponibilidad!$O$6:$O$18,MATCH($F345,Disponibilidad!$B$6:$B$18,0)),"Hogar"))</f>
        <v/>
      </c>
      <c r="H345" s="76" t="n"/>
      <c r="I345" s="57">
        <f>IF($D345="","",IF($C345="Cobro",N($H345),-N($H345)))</f>
        <v/>
      </c>
      <c r="J345" s="141" t="n"/>
      <c r="K345" s="64">
        <f>IF($B345="","",TEXT($B345,"YYYY-MM"))</f>
        <v/>
      </c>
      <c r="L345" s="145" t="n"/>
      <c r="M345" s="145" t="n"/>
      <c r="N345" s="145" t="n"/>
      <c r="O345" s="145" t="n"/>
      <c r="P345" s="145" t="n"/>
      <c r="Q345" s="145" t="n"/>
      <c r="R345" s="145" t="n"/>
      <c r="S345" s="145" t="n"/>
      <c r="T345" s="145" t="n"/>
      <c r="U345" s="1" t="n"/>
      <c r="V345" s="1" t="n"/>
      <c r="W345" s="1" t="n"/>
      <c r="X345" s="1" t="n"/>
      <c r="Y345" s="1" t="n"/>
      <c r="Z345" s="1" t="n"/>
    </row>
    <row r="346" ht="15" customHeight="1" s="311">
      <c r="A346" s="41">
        <f>IF($D346="","",ROW()-5)</f>
        <v/>
      </c>
      <c r="B346" s="144" t="n"/>
      <c r="C346" s="83" t="n"/>
      <c r="D346" s="146" t="n"/>
      <c r="E346" s="146" t="n"/>
      <c r="F346" s="146" t="n"/>
      <c r="G346" s="164">
        <f t="array" ref="G346">IF($F346="","",IFERROR(INDEX(Disponibilidad!$O$6:$O$18,MATCH($F346,Disponibilidad!$B$6:$B$18,0)),"Hogar"))</f>
        <v/>
      </c>
      <c r="H346" s="76" t="n"/>
      <c r="I346" s="57">
        <f>IF($D346="","",IF($C346="Cobro",N($H346),-N($H346)))</f>
        <v/>
      </c>
      <c r="J346" s="141" t="n"/>
      <c r="K346" s="64">
        <f>IF($B346="","",TEXT($B346,"YYYY-MM"))</f>
        <v/>
      </c>
      <c r="L346" s="145" t="n"/>
      <c r="M346" s="145" t="n"/>
      <c r="N346" s="145" t="n"/>
      <c r="O346" s="145" t="n"/>
      <c r="P346" s="145" t="n"/>
      <c r="Q346" s="145" t="n"/>
      <c r="R346" s="145" t="n"/>
      <c r="S346" s="145" t="n"/>
      <c r="T346" s="145" t="n"/>
      <c r="U346" s="1" t="n"/>
      <c r="V346" s="1" t="n"/>
      <c r="W346" s="1" t="n"/>
      <c r="X346" s="1" t="n"/>
      <c r="Y346" s="1" t="n"/>
      <c r="Z346" s="1" t="n"/>
    </row>
    <row r="347" ht="15" customHeight="1" s="311">
      <c r="A347" s="41">
        <f>IF($D347="","",ROW()-5)</f>
        <v/>
      </c>
      <c r="B347" s="144" t="n"/>
      <c r="C347" s="83" t="n"/>
      <c r="D347" s="146" t="n"/>
      <c r="E347" s="146" t="n"/>
      <c r="F347" s="146" t="n"/>
      <c r="G347" s="164">
        <f t="array" ref="G347">IF($F347="","",IFERROR(INDEX(Disponibilidad!$O$6:$O$18,MATCH($F347,Disponibilidad!$B$6:$B$18,0)),"Hogar"))</f>
        <v/>
      </c>
      <c r="H347" s="76" t="n"/>
      <c r="I347" s="57">
        <f>IF($D347="","",IF($C347="Cobro",N($H347),-N($H347)))</f>
        <v/>
      </c>
      <c r="J347" s="141" t="n"/>
      <c r="K347" s="64">
        <f>IF($B347="","",TEXT($B347,"YYYY-MM"))</f>
        <v/>
      </c>
      <c r="L347" s="145" t="n"/>
      <c r="M347" s="145" t="n"/>
      <c r="N347" s="145" t="n"/>
      <c r="O347" s="145" t="n"/>
      <c r="P347" s="145" t="n"/>
      <c r="Q347" s="145" t="n"/>
      <c r="R347" s="145" t="n"/>
      <c r="S347" s="145" t="n"/>
      <c r="T347" s="145" t="n"/>
      <c r="U347" s="1" t="n"/>
      <c r="V347" s="1" t="n"/>
      <c r="W347" s="1" t="n"/>
      <c r="X347" s="1" t="n"/>
      <c r="Y347" s="1" t="n"/>
      <c r="Z347" s="1" t="n"/>
    </row>
    <row r="348" ht="15" customHeight="1" s="311">
      <c r="A348" s="41">
        <f>IF($D348="","",ROW()-5)</f>
        <v/>
      </c>
      <c r="B348" s="144" t="n"/>
      <c r="C348" s="83" t="n"/>
      <c r="D348" s="146" t="n"/>
      <c r="E348" s="146" t="n"/>
      <c r="F348" s="146" t="n"/>
      <c r="G348" s="164">
        <f t="array" ref="G348">IF($F348="","",IFERROR(INDEX(Disponibilidad!$O$6:$O$18,MATCH($F348,Disponibilidad!$B$6:$B$18,0)),"Hogar"))</f>
        <v/>
      </c>
      <c r="H348" s="76" t="n"/>
      <c r="I348" s="57">
        <f>IF($D348="","",IF($C348="Cobro",N($H348),-N($H348)))</f>
        <v/>
      </c>
      <c r="J348" s="141" t="n"/>
      <c r="K348" s="64">
        <f>IF($B348="","",TEXT($B348,"YYYY-MM"))</f>
        <v/>
      </c>
      <c r="L348" s="145" t="n"/>
      <c r="M348" s="145" t="n"/>
      <c r="N348" s="145" t="n"/>
      <c r="O348" s="145" t="n"/>
      <c r="P348" s="145" t="n"/>
      <c r="Q348" s="145" t="n"/>
      <c r="R348" s="145" t="n"/>
      <c r="S348" s="145" t="n"/>
      <c r="T348" s="145" t="n"/>
      <c r="U348" s="1" t="n"/>
      <c r="V348" s="1" t="n"/>
      <c r="W348" s="1" t="n"/>
      <c r="X348" s="1" t="n"/>
      <c r="Y348" s="1" t="n"/>
      <c r="Z348" s="1" t="n"/>
    </row>
    <row r="349" ht="15" customHeight="1" s="311">
      <c r="A349" s="41">
        <f>IF($D349="","",ROW()-5)</f>
        <v/>
      </c>
      <c r="B349" s="144" t="n"/>
      <c r="C349" s="83" t="n"/>
      <c r="D349" s="146" t="n"/>
      <c r="E349" s="146" t="n"/>
      <c r="F349" s="146" t="n"/>
      <c r="G349" s="164">
        <f t="array" ref="G349">IF($F349="","",IFERROR(INDEX(Disponibilidad!$O$6:$O$18,MATCH($F349,Disponibilidad!$B$6:$B$18,0)),"Hogar"))</f>
        <v/>
      </c>
      <c r="H349" s="76" t="n"/>
      <c r="I349" s="57">
        <f>IF($D349="","",IF($C349="Cobro",N($H349),-N($H349)))</f>
        <v/>
      </c>
      <c r="J349" s="141" t="n"/>
      <c r="K349" s="64">
        <f>IF($B349="","",TEXT($B349,"YYYY-MM"))</f>
        <v/>
      </c>
      <c r="L349" s="145" t="n"/>
      <c r="M349" s="145" t="n"/>
      <c r="N349" s="145" t="n"/>
      <c r="O349" s="145" t="n"/>
      <c r="P349" s="145" t="n"/>
      <c r="Q349" s="145" t="n"/>
      <c r="R349" s="145" t="n"/>
      <c r="S349" s="145" t="n"/>
      <c r="T349" s="145" t="n"/>
      <c r="U349" s="1" t="n"/>
      <c r="V349" s="1" t="n"/>
      <c r="W349" s="1" t="n"/>
      <c r="X349" s="1" t="n"/>
      <c r="Y349" s="1" t="n"/>
      <c r="Z349" s="1" t="n"/>
    </row>
    <row r="350" ht="15" customHeight="1" s="311">
      <c r="A350" s="41">
        <f>IF($D350="","",ROW()-5)</f>
        <v/>
      </c>
      <c r="B350" s="144" t="n"/>
      <c r="C350" s="83" t="n"/>
      <c r="D350" s="146" t="n"/>
      <c r="E350" s="146" t="n"/>
      <c r="F350" s="146" t="n"/>
      <c r="G350" s="164">
        <f t="array" ref="G350">IF($F350="","",IFERROR(INDEX(Disponibilidad!$O$6:$O$18,MATCH($F350,Disponibilidad!$B$6:$B$18,0)),"Hogar"))</f>
        <v/>
      </c>
      <c r="H350" s="76" t="n"/>
      <c r="I350" s="57">
        <f>IF($D350="","",IF($C350="Cobro",N($H350),-N($H350)))</f>
        <v/>
      </c>
      <c r="J350" s="141" t="n"/>
      <c r="K350" s="64">
        <f>IF($B350="","",TEXT($B350,"YYYY-MM"))</f>
        <v/>
      </c>
      <c r="L350" s="145" t="n"/>
      <c r="M350" s="145" t="n"/>
      <c r="N350" s="145" t="n"/>
      <c r="O350" s="145" t="n"/>
      <c r="P350" s="145" t="n"/>
      <c r="Q350" s="145" t="n"/>
      <c r="R350" s="145" t="n"/>
      <c r="S350" s="145" t="n"/>
      <c r="T350" s="145" t="n"/>
      <c r="U350" s="1" t="n"/>
      <c r="V350" s="1" t="n"/>
      <c r="W350" s="1" t="n"/>
      <c r="X350" s="1" t="n"/>
      <c r="Y350" s="1" t="n"/>
      <c r="Z350" s="1" t="n"/>
    </row>
    <row r="351" ht="15" customHeight="1" s="311">
      <c r="A351" s="41">
        <f>IF($D351="","",ROW()-5)</f>
        <v/>
      </c>
      <c r="B351" s="144" t="n"/>
      <c r="C351" s="83" t="n"/>
      <c r="D351" s="146" t="n"/>
      <c r="E351" s="146" t="n"/>
      <c r="F351" s="146" t="n"/>
      <c r="G351" s="164">
        <f t="array" ref="G351">IF($F351="","",IFERROR(INDEX(Disponibilidad!$O$6:$O$18,MATCH($F351,Disponibilidad!$B$6:$B$18,0)),"Hogar"))</f>
        <v/>
      </c>
      <c r="H351" s="76" t="n"/>
      <c r="I351" s="57">
        <f>IF($D351="","",IF($C351="Cobro",N($H351),-N($H351)))</f>
        <v/>
      </c>
      <c r="J351" s="141" t="n"/>
      <c r="K351" s="64">
        <f>IF($B351="","",TEXT($B351,"YYYY-MM"))</f>
        <v/>
      </c>
      <c r="L351" s="145" t="n"/>
      <c r="M351" s="145" t="n"/>
      <c r="N351" s="145" t="n"/>
      <c r="O351" s="145" t="n"/>
      <c r="P351" s="145" t="n"/>
      <c r="Q351" s="145" t="n"/>
      <c r="R351" s="145" t="n"/>
      <c r="S351" s="145" t="n"/>
      <c r="T351" s="145" t="n"/>
      <c r="U351" s="1" t="n"/>
      <c r="V351" s="1" t="n"/>
      <c r="W351" s="1" t="n"/>
      <c r="X351" s="1" t="n"/>
      <c r="Y351" s="1" t="n"/>
      <c r="Z351" s="1" t="n"/>
    </row>
    <row r="352" ht="15" customHeight="1" s="311">
      <c r="A352" s="41">
        <f>IF($D352="","",ROW()-5)</f>
        <v/>
      </c>
      <c r="B352" s="144" t="n"/>
      <c r="C352" s="83" t="n"/>
      <c r="D352" s="146" t="n"/>
      <c r="E352" s="146" t="n"/>
      <c r="F352" s="146" t="n"/>
      <c r="G352" s="164">
        <f t="array" ref="G352">IF($F352="","",IFERROR(INDEX(Disponibilidad!$O$6:$O$18,MATCH($F352,Disponibilidad!$B$6:$B$18,0)),"Hogar"))</f>
        <v/>
      </c>
      <c r="H352" s="76" t="n"/>
      <c r="I352" s="57">
        <f>IF($D352="","",IF($C352="Cobro",N($H352),-N($H352)))</f>
        <v/>
      </c>
      <c r="J352" s="141" t="n"/>
      <c r="K352" s="64">
        <f>IF($B352="","",TEXT($B352,"YYYY-MM"))</f>
        <v/>
      </c>
      <c r="L352" s="145" t="n"/>
      <c r="M352" s="145" t="n"/>
      <c r="N352" s="145" t="n"/>
      <c r="O352" s="145" t="n"/>
      <c r="P352" s="145" t="n"/>
      <c r="Q352" s="145" t="n"/>
      <c r="R352" s="145" t="n"/>
      <c r="S352" s="145" t="n"/>
      <c r="T352" s="145" t="n"/>
      <c r="U352" s="1" t="n"/>
      <c r="V352" s="1" t="n"/>
      <c r="W352" s="1" t="n"/>
      <c r="X352" s="1" t="n"/>
      <c r="Y352" s="1" t="n"/>
      <c r="Z352" s="1" t="n"/>
    </row>
    <row r="353" ht="15" customHeight="1" s="311">
      <c r="A353" s="41">
        <f>IF($D353="","",ROW()-5)</f>
        <v/>
      </c>
      <c r="B353" s="144" t="n"/>
      <c r="C353" s="83" t="n"/>
      <c r="D353" s="146" t="n"/>
      <c r="E353" s="146" t="n"/>
      <c r="F353" s="146" t="n"/>
      <c r="G353" s="164">
        <f t="array" ref="G353">IF($F353="","",IFERROR(INDEX(Disponibilidad!$O$6:$O$18,MATCH($F353,Disponibilidad!$B$6:$B$18,0)),"Hogar"))</f>
        <v/>
      </c>
      <c r="H353" s="76" t="n"/>
      <c r="I353" s="57">
        <f>IF($D353="","",IF($C353="Cobro",N($H353),-N($H353)))</f>
        <v/>
      </c>
      <c r="J353" s="141" t="n"/>
      <c r="K353" s="64">
        <f>IF($B353="","",TEXT($B353,"YYYY-MM"))</f>
        <v/>
      </c>
      <c r="L353" s="145" t="n"/>
      <c r="M353" s="145" t="n"/>
      <c r="N353" s="145" t="n"/>
      <c r="O353" s="145" t="n"/>
      <c r="P353" s="145" t="n"/>
      <c r="Q353" s="145" t="n"/>
      <c r="R353" s="145" t="n"/>
      <c r="S353" s="145" t="n"/>
      <c r="T353" s="145" t="n"/>
      <c r="U353" s="1" t="n"/>
      <c r="V353" s="1" t="n"/>
      <c r="W353" s="1" t="n"/>
      <c r="X353" s="1" t="n"/>
      <c r="Y353" s="1" t="n"/>
      <c r="Z353" s="1" t="n"/>
    </row>
    <row r="354" ht="15" customHeight="1" s="311">
      <c r="A354" s="41">
        <f>IF($D354="","",ROW()-5)</f>
        <v/>
      </c>
      <c r="B354" s="144" t="n"/>
      <c r="C354" s="83" t="n"/>
      <c r="D354" s="146" t="n"/>
      <c r="E354" s="146" t="n"/>
      <c r="F354" s="146" t="n"/>
      <c r="G354" s="164">
        <f t="array" ref="G354">IF($F354="","",IFERROR(INDEX(Disponibilidad!$O$6:$O$18,MATCH($F354,Disponibilidad!$B$6:$B$18,0)),"Hogar"))</f>
        <v/>
      </c>
      <c r="H354" s="76" t="n"/>
      <c r="I354" s="57">
        <f>IF($D354="","",IF($C354="Cobro",N($H354),-N($H354)))</f>
        <v/>
      </c>
      <c r="J354" s="141" t="n"/>
      <c r="K354" s="64">
        <f>IF($B354="","",TEXT($B354,"YYYY-MM"))</f>
        <v/>
      </c>
      <c r="L354" s="145" t="n"/>
      <c r="M354" s="145" t="n"/>
      <c r="N354" s="145" t="n"/>
      <c r="O354" s="145" t="n"/>
      <c r="P354" s="145" t="n"/>
      <c r="Q354" s="145" t="n"/>
      <c r="R354" s="145" t="n"/>
      <c r="S354" s="145" t="n"/>
      <c r="T354" s="145" t="n"/>
      <c r="U354" s="1" t="n"/>
      <c r="V354" s="1" t="n"/>
      <c r="W354" s="1" t="n"/>
      <c r="X354" s="1" t="n"/>
      <c r="Y354" s="1" t="n"/>
      <c r="Z354" s="1" t="n"/>
    </row>
    <row r="355" ht="15" customHeight="1" s="311">
      <c r="A355" s="41">
        <f>IF($D355="","",ROW()-5)</f>
        <v/>
      </c>
      <c r="B355" s="144" t="n"/>
      <c r="C355" s="83" t="n"/>
      <c r="D355" s="146" t="n"/>
      <c r="E355" s="146" t="n"/>
      <c r="F355" s="146" t="n"/>
      <c r="G355" s="164">
        <f t="array" ref="G355">IF($F355="","",IFERROR(INDEX(Disponibilidad!$O$6:$O$18,MATCH($F355,Disponibilidad!$B$6:$B$18,0)),"Hogar"))</f>
        <v/>
      </c>
      <c r="H355" s="76" t="n"/>
      <c r="I355" s="57">
        <f>IF($D355="","",IF($C355="Cobro",N($H355),-N($H355)))</f>
        <v/>
      </c>
      <c r="J355" s="141" t="n"/>
      <c r="K355" s="64">
        <f>IF($B355="","",TEXT($B355,"YYYY-MM"))</f>
        <v/>
      </c>
      <c r="L355" s="145" t="n"/>
      <c r="M355" s="145" t="n"/>
      <c r="N355" s="145" t="n"/>
      <c r="O355" s="145" t="n"/>
      <c r="P355" s="145" t="n"/>
      <c r="Q355" s="145" t="n"/>
      <c r="R355" s="145" t="n"/>
      <c r="S355" s="145" t="n"/>
      <c r="T355" s="145" t="n"/>
      <c r="U355" s="1" t="n"/>
      <c r="V355" s="1" t="n"/>
      <c r="W355" s="1" t="n"/>
      <c r="X355" s="1" t="n"/>
      <c r="Y355" s="1" t="n"/>
      <c r="Z355" s="1" t="n"/>
    </row>
    <row r="356" ht="15" customHeight="1" s="311">
      <c r="A356" s="41">
        <f>IF($D356="","",ROW()-5)</f>
        <v/>
      </c>
      <c r="B356" s="144" t="n"/>
      <c r="C356" s="83" t="n"/>
      <c r="D356" s="146" t="n"/>
      <c r="E356" s="146" t="n"/>
      <c r="F356" s="146" t="n"/>
      <c r="G356" s="164">
        <f t="array" ref="G356">IF($F356="","",IFERROR(INDEX(Disponibilidad!$O$6:$O$18,MATCH($F356,Disponibilidad!$B$6:$B$18,0)),"Hogar"))</f>
        <v/>
      </c>
      <c r="H356" s="76" t="n"/>
      <c r="I356" s="57">
        <f>IF($D356="","",IF($C356="Cobro",N($H356),-N($H356)))</f>
        <v/>
      </c>
      <c r="J356" s="141" t="n"/>
      <c r="K356" s="64">
        <f>IF($B356="","",TEXT($B356,"YYYY-MM"))</f>
        <v/>
      </c>
      <c r="L356" s="145" t="n"/>
      <c r="M356" s="145" t="n"/>
      <c r="N356" s="145" t="n"/>
      <c r="O356" s="145" t="n"/>
      <c r="P356" s="145" t="n"/>
      <c r="Q356" s="145" t="n"/>
      <c r="R356" s="145" t="n"/>
      <c r="S356" s="145" t="n"/>
      <c r="T356" s="145" t="n"/>
      <c r="U356" s="1" t="n"/>
      <c r="V356" s="1" t="n"/>
      <c r="W356" s="1" t="n"/>
      <c r="X356" s="1" t="n"/>
      <c r="Y356" s="1" t="n"/>
      <c r="Z356" s="1" t="n"/>
    </row>
    <row r="357" ht="15" customHeight="1" s="311">
      <c r="A357" s="41">
        <f>IF($D357="","",ROW()-5)</f>
        <v/>
      </c>
      <c r="B357" s="144" t="n"/>
      <c r="C357" s="83" t="n"/>
      <c r="D357" s="146" t="n"/>
      <c r="E357" s="146" t="n"/>
      <c r="F357" s="146" t="n"/>
      <c r="G357" s="164">
        <f t="array" ref="G357">IF($F357="","",IFERROR(INDEX(Disponibilidad!$O$6:$O$18,MATCH($F357,Disponibilidad!$B$6:$B$18,0)),"Hogar"))</f>
        <v/>
      </c>
      <c r="H357" s="76" t="n"/>
      <c r="I357" s="57">
        <f>IF($D357="","",IF($C357="Cobro",N($H357),-N($H357)))</f>
        <v/>
      </c>
      <c r="J357" s="141" t="n"/>
      <c r="K357" s="64">
        <f>IF($B357="","",TEXT($B357,"YYYY-MM"))</f>
        <v/>
      </c>
      <c r="L357" s="145" t="n"/>
      <c r="M357" s="145" t="n"/>
      <c r="N357" s="145" t="n"/>
      <c r="O357" s="145" t="n"/>
      <c r="P357" s="145" t="n"/>
      <c r="Q357" s="145" t="n"/>
      <c r="R357" s="145" t="n"/>
      <c r="S357" s="145" t="n"/>
      <c r="T357" s="145" t="n"/>
      <c r="U357" s="1" t="n"/>
      <c r="V357" s="1" t="n"/>
      <c r="W357" s="1" t="n"/>
      <c r="X357" s="1" t="n"/>
      <c r="Y357" s="1" t="n"/>
      <c r="Z357" s="1" t="n"/>
    </row>
    <row r="358" ht="15" customHeight="1" s="311">
      <c r="A358" s="41">
        <f>IF($D358="","",ROW()-5)</f>
        <v/>
      </c>
      <c r="B358" s="144" t="n"/>
      <c r="C358" s="83" t="n"/>
      <c r="D358" s="146" t="n"/>
      <c r="E358" s="146" t="n"/>
      <c r="F358" s="146" t="n"/>
      <c r="G358" s="164">
        <f t="array" ref="G358">IF($F358="","",IFERROR(INDEX(Disponibilidad!$O$6:$O$18,MATCH($F358,Disponibilidad!$B$6:$B$18,0)),"Hogar"))</f>
        <v/>
      </c>
      <c r="H358" s="76" t="n"/>
      <c r="I358" s="57">
        <f>IF($D358="","",IF($C358="Cobro",N($H358),-N($H358)))</f>
        <v/>
      </c>
      <c r="J358" s="141" t="n"/>
      <c r="K358" s="64">
        <f>IF($B358="","",TEXT($B358,"YYYY-MM"))</f>
        <v/>
      </c>
      <c r="L358" s="145" t="n"/>
      <c r="M358" s="145" t="n"/>
      <c r="N358" s="145" t="n"/>
      <c r="O358" s="145" t="n"/>
      <c r="P358" s="145" t="n"/>
      <c r="Q358" s="145" t="n"/>
      <c r="R358" s="145" t="n"/>
      <c r="S358" s="145" t="n"/>
      <c r="T358" s="145" t="n"/>
      <c r="U358" s="1" t="n"/>
      <c r="V358" s="1" t="n"/>
      <c r="W358" s="1" t="n"/>
      <c r="X358" s="1" t="n"/>
      <c r="Y358" s="1" t="n"/>
      <c r="Z358" s="1" t="n"/>
    </row>
    <row r="359" ht="15" customHeight="1" s="311">
      <c r="A359" s="41">
        <f>IF($D359="","",ROW()-5)</f>
        <v/>
      </c>
      <c r="B359" s="144" t="n"/>
      <c r="C359" s="83" t="n"/>
      <c r="D359" s="146" t="n"/>
      <c r="E359" s="146" t="n"/>
      <c r="F359" s="146" t="n"/>
      <c r="G359" s="164">
        <f t="array" ref="G359">IF($F359="","",IFERROR(INDEX(Disponibilidad!$O$6:$O$18,MATCH($F359,Disponibilidad!$B$6:$B$18,0)),"Hogar"))</f>
        <v/>
      </c>
      <c r="H359" s="76" t="n"/>
      <c r="I359" s="57">
        <f>IF($D359="","",IF($C359="Cobro",N($H359),-N($H359)))</f>
        <v/>
      </c>
      <c r="J359" s="141" t="n"/>
      <c r="K359" s="64">
        <f>IF($B359="","",TEXT($B359,"YYYY-MM"))</f>
        <v/>
      </c>
      <c r="L359" s="145" t="n"/>
      <c r="M359" s="145" t="n"/>
      <c r="N359" s="145" t="n"/>
      <c r="O359" s="145" t="n"/>
      <c r="P359" s="145" t="n"/>
      <c r="Q359" s="145" t="n"/>
      <c r="R359" s="145" t="n"/>
      <c r="S359" s="145" t="n"/>
      <c r="T359" s="145" t="n"/>
      <c r="U359" s="1" t="n"/>
      <c r="V359" s="1" t="n"/>
      <c r="W359" s="1" t="n"/>
      <c r="X359" s="1" t="n"/>
      <c r="Y359" s="1" t="n"/>
      <c r="Z359" s="1" t="n"/>
    </row>
    <row r="360" ht="15" customHeight="1" s="311">
      <c r="A360" s="41">
        <f>IF($D360="","",ROW()-5)</f>
        <v/>
      </c>
      <c r="B360" s="144" t="n"/>
      <c r="C360" s="83" t="n"/>
      <c r="D360" s="146" t="n"/>
      <c r="E360" s="146" t="n"/>
      <c r="F360" s="146" t="n"/>
      <c r="G360" s="164">
        <f t="array" ref="G360">IF($F360="","",IFERROR(INDEX(Disponibilidad!$O$6:$O$18,MATCH($F360,Disponibilidad!$B$6:$B$18,0)),"Hogar"))</f>
        <v/>
      </c>
      <c r="H360" s="76" t="n"/>
      <c r="I360" s="57">
        <f>IF($D360="","",IF($C360="Cobro",N($H360),-N($H360)))</f>
        <v/>
      </c>
      <c r="J360" s="141" t="n"/>
      <c r="K360" s="64">
        <f>IF($B360="","",TEXT($B360,"YYYY-MM"))</f>
        <v/>
      </c>
      <c r="L360" s="145" t="n"/>
      <c r="M360" s="145" t="n"/>
      <c r="N360" s="145" t="n"/>
      <c r="O360" s="145" t="n"/>
      <c r="P360" s="145" t="n"/>
      <c r="Q360" s="145" t="n"/>
      <c r="R360" s="145" t="n"/>
      <c r="S360" s="145" t="n"/>
      <c r="T360" s="145" t="n"/>
      <c r="U360" s="1" t="n"/>
      <c r="V360" s="1" t="n"/>
      <c r="W360" s="1" t="n"/>
      <c r="X360" s="1" t="n"/>
      <c r="Y360" s="1" t="n"/>
      <c r="Z360" s="1" t="n"/>
    </row>
    <row r="361" ht="15" customHeight="1" s="311">
      <c r="A361" s="41">
        <f>IF($D361="","",ROW()-5)</f>
        <v/>
      </c>
      <c r="B361" s="144" t="n"/>
      <c r="C361" s="83" t="n"/>
      <c r="D361" s="146" t="n"/>
      <c r="E361" s="146" t="n"/>
      <c r="F361" s="146" t="n"/>
      <c r="G361" s="164">
        <f t="array" ref="G361">IF($F361="","",IFERROR(INDEX(Disponibilidad!$O$6:$O$18,MATCH($F361,Disponibilidad!$B$6:$B$18,0)),"Hogar"))</f>
        <v/>
      </c>
      <c r="H361" s="76" t="n"/>
      <c r="I361" s="57">
        <f>IF($D361="","",IF($C361="Cobro",N($H361),-N($H361)))</f>
        <v/>
      </c>
      <c r="J361" s="141" t="n"/>
      <c r="K361" s="64">
        <f>IF($B361="","",TEXT($B361,"YYYY-MM"))</f>
        <v/>
      </c>
      <c r="L361" s="145" t="n"/>
      <c r="M361" s="145" t="n"/>
      <c r="N361" s="145" t="n"/>
      <c r="O361" s="145" t="n"/>
      <c r="P361" s="145" t="n"/>
      <c r="Q361" s="145" t="n"/>
      <c r="R361" s="145" t="n"/>
      <c r="S361" s="145" t="n"/>
      <c r="T361" s="145" t="n"/>
      <c r="U361" s="1" t="n"/>
      <c r="V361" s="1" t="n"/>
      <c r="W361" s="1" t="n"/>
      <c r="X361" s="1" t="n"/>
      <c r="Y361" s="1" t="n"/>
      <c r="Z361" s="1" t="n"/>
    </row>
    <row r="362" ht="15" customHeight="1" s="311">
      <c r="A362" s="41">
        <f>IF($D362="","",ROW()-5)</f>
        <v/>
      </c>
      <c r="B362" s="144" t="n"/>
      <c r="C362" s="83" t="n"/>
      <c r="D362" s="146" t="n"/>
      <c r="E362" s="146" t="n"/>
      <c r="F362" s="146" t="n"/>
      <c r="G362" s="164">
        <f t="array" ref="G362">IF($F362="","",IFERROR(INDEX(Disponibilidad!$O$6:$O$18,MATCH($F362,Disponibilidad!$B$6:$B$18,0)),"Hogar"))</f>
        <v/>
      </c>
      <c r="H362" s="76" t="n"/>
      <c r="I362" s="57">
        <f>IF($D362="","",IF($C362="Cobro",N($H362),-N($H362)))</f>
        <v/>
      </c>
      <c r="J362" s="141" t="n"/>
      <c r="K362" s="64">
        <f>IF($B362="","",TEXT($B362,"YYYY-MM"))</f>
        <v/>
      </c>
      <c r="L362" s="145" t="n"/>
      <c r="M362" s="145" t="n"/>
      <c r="N362" s="145" t="n"/>
      <c r="O362" s="145" t="n"/>
      <c r="P362" s="145" t="n"/>
      <c r="Q362" s="145" t="n"/>
      <c r="R362" s="145" t="n"/>
      <c r="S362" s="145" t="n"/>
      <c r="T362" s="145" t="n"/>
      <c r="U362" s="1" t="n"/>
      <c r="V362" s="1" t="n"/>
      <c r="W362" s="1" t="n"/>
      <c r="X362" s="1" t="n"/>
      <c r="Y362" s="1" t="n"/>
      <c r="Z362" s="1" t="n"/>
    </row>
    <row r="363" ht="15" customHeight="1" s="311">
      <c r="A363" s="41">
        <f>IF($D363="","",ROW()-5)</f>
        <v/>
      </c>
      <c r="B363" s="144" t="n"/>
      <c r="C363" s="83" t="n"/>
      <c r="D363" s="146" t="n"/>
      <c r="E363" s="146" t="n"/>
      <c r="F363" s="146" t="n"/>
      <c r="G363" s="164">
        <f t="array" ref="G363">IF($F363="","",IFERROR(INDEX(Disponibilidad!$O$6:$O$18,MATCH($F363,Disponibilidad!$B$6:$B$18,0)),"Hogar"))</f>
        <v/>
      </c>
      <c r="H363" s="76" t="n"/>
      <c r="I363" s="57">
        <f>IF($D363="","",IF($C363="Cobro",N($H363),-N($H363)))</f>
        <v/>
      </c>
      <c r="J363" s="141" t="n"/>
      <c r="K363" s="64">
        <f>IF($B363="","",TEXT($B363,"YYYY-MM"))</f>
        <v/>
      </c>
      <c r="L363" s="145" t="n"/>
      <c r="M363" s="145" t="n"/>
      <c r="N363" s="145" t="n"/>
      <c r="O363" s="145" t="n"/>
      <c r="P363" s="145" t="n"/>
      <c r="Q363" s="145" t="n"/>
      <c r="R363" s="145" t="n"/>
      <c r="S363" s="145" t="n"/>
      <c r="T363" s="145" t="n"/>
      <c r="U363" s="1" t="n"/>
      <c r="V363" s="1" t="n"/>
      <c r="W363" s="1" t="n"/>
      <c r="X363" s="1" t="n"/>
      <c r="Y363" s="1" t="n"/>
      <c r="Z363" s="1" t="n"/>
    </row>
    <row r="364" ht="15" customHeight="1" s="311">
      <c r="A364" s="41">
        <f>IF($D364="","",ROW()-5)</f>
        <v/>
      </c>
      <c r="B364" s="144" t="n"/>
      <c r="C364" s="83" t="n"/>
      <c r="D364" s="146" t="n"/>
      <c r="E364" s="146" t="n"/>
      <c r="F364" s="146" t="n"/>
      <c r="G364" s="164">
        <f t="array" ref="G364">IF($F364="","",IFERROR(INDEX(Disponibilidad!$O$6:$O$18,MATCH($F364,Disponibilidad!$B$6:$B$18,0)),"Hogar"))</f>
        <v/>
      </c>
      <c r="H364" s="76" t="n"/>
      <c r="I364" s="57">
        <f>IF($D364="","",IF($C364="Cobro",N($H364),-N($H364)))</f>
        <v/>
      </c>
      <c r="J364" s="141" t="n"/>
      <c r="K364" s="64">
        <f>IF($B364="","",TEXT($B364,"YYYY-MM"))</f>
        <v/>
      </c>
      <c r="L364" s="145" t="n"/>
      <c r="M364" s="145" t="n"/>
      <c r="N364" s="145" t="n"/>
      <c r="O364" s="145" t="n"/>
      <c r="P364" s="145" t="n"/>
      <c r="Q364" s="145" t="n"/>
      <c r="R364" s="145" t="n"/>
      <c r="S364" s="145" t="n"/>
      <c r="T364" s="145" t="n"/>
      <c r="U364" s="1" t="n"/>
      <c r="V364" s="1" t="n"/>
      <c r="W364" s="1" t="n"/>
      <c r="X364" s="1" t="n"/>
      <c r="Y364" s="1" t="n"/>
      <c r="Z364" s="1" t="n"/>
    </row>
    <row r="365" ht="15" customHeight="1" s="311">
      <c r="A365" s="41">
        <f>IF($D365="","",ROW()-5)</f>
        <v/>
      </c>
      <c r="B365" s="144" t="n"/>
      <c r="C365" s="83" t="n"/>
      <c r="D365" s="146" t="n"/>
      <c r="E365" s="146" t="n"/>
      <c r="F365" s="146" t="n"/>
      <c r="G365" s="164">
        <f t="array" ref="G365">IF($F365="","",IFERROR(INDEX(Disponibilidad!$O$6:$O$18,MATCH($F365,Disponibilidad!$B$6:$B$18,0)),"Hogar"))</f>
        <v/>
      </c>
      <c r="H365" s="76" t="n"/>
      <c r="I365" s="57">
        <f>IF($D365="","",IF($C365="Cobro",N($H365),-N($H365)))</f>
        <v/>
      </c>
      <c r="J365" s="141" t="n"/>
      <c r="K365" s="64">
        <f>IF($B365="","",TEXT($B365,"YYYY-MM"))</f>
        <v/>
      </c>
      <c r="L365" s="145" t="n"/>
      <c r="M365" s="145" t="n"/>
      <c r="N365" s="145" t="n"/>
      <c r="O365" s="145" t="n"/>
      <c r="P365" s="145" t="n"/>
      <c r="Q365" s="145" t="n"/>
      <c r="R365" s="145" t="n"/>
      <c r="S365" s="145" t="n"/>
      <c r="T365" s="145" t="n"/>
      <c r="U365" s="1" t="n"/>
      <c r="V365" s="1" t="n"/>
      <c r="W365" s="1" t="n"/>
      <c r="X365" s="1" t="n"/>
      <c r="Y365" s="1" t="n"/>
      <c r="Z365" s="1" t="n"/>
    </row>
    <row r="366" ht="15" customHeight="1" s="311">
      <c r="A366" s="41">
        <f>IF($D366="","",ROW()-5)</f>
        <v/>
      </c>
      <c r="B366" s="144" t="n"/>
      <c r="C366" s="83" t="n"/>
      <c r="D366" s="146" t="n"/>
      <c r="E366" s="146" t="n"/>
      <c r="F366" s="146" t="n"/>
      <c r="G366" s="164">
        <f t="array" ref="G366">IF($F366="","",IFERROR(INDEX(Disponibilidad!$O$6:$O$18,MATCH($F366,Disponibilidad!$B$6:$B$18,0)),"Hogar"))</f>
        <v/>
      </c>
      <c r="H366" s="76" t="n"/>
      <c r="I366" s="57">
        <f>IF($D366="","",IF($C366="Cobro",N($H366),-N($H366)))</f>
        <v/>
      </c>
      <c r="J366" s="141" t="n"/>
      <c r="K366" s="64">
        <f>IF($B366="","",TEXT($B366,"YYYY-MM"))</f>
        <v/>
      </c>
      <c r="L366" s="145" t="n"/>
      <c r="M366" s="145" t="n"/>
      <c r="N366" s="145" t="n"/>
      <c r="O366" s="145" t="n"/>
      <c r="P366" s="145" t="n"/>
      <c r="Q366" s="145" t="n"/>
      <c r="R366" s="145" t="n"/>
      <c r="S366" s="145" t="n"/>
      <c r="T366" s="145" t="n"/>
      <c r="U366" s="1" t="n"/>
      <c r="V366" s="1" t="n"/>
      <c r="W366" s="1" t="n"/>
      <c r="X366" s="1" t="n"/>
      <c r="Y366" s="1" t="n"/>
      <c r="Z366" s="1" t="n"/>
    </row>
    <row r="367" ht="15" customHeight="1" s="311">
      <c r="A367" s="41">
        <f>IF($D367="","",ROW()-5)</f>
        <v/>
      </c>
      <c r="B367" s="144" t="n"/>
      <c r="C367" s="83" t="n"/>
      <c r="D367" s="146" t="n"/>
      <c r="E367" s="146" t="n"/>
      <c r="F367" s="146" t="n"/>
      <c r="G367" s="164">
        <f t="array" ref="G367">IF($F367="","",IFERROR(INDEX(Disponibilidad!$O$6:$O$18,MATCH($F367,Disponibilidad!$B$6:$B$18,0)),"Hogar"))</f>
        <v/>
      </c>
      <c r="H367" s="76" t="n"/>
      <c r="I367" s="57">
        <f>IF($D367="","",IF($C367="Cobro",N($H367),-N($H367)))</f>
        <v/>
      </c>
      <c r="J367" s="141" t="n"/>
      <c r="K367" s="64">
        <f>IF($B367="","",TEXT($B367,"YYYY-MM"))</f>
        <v/>
      </c>
      <c r="L367" s="145" t="n"/>
      <c r="M367" s="145" t="n"/>
      <c r="N367" s="145" t="n"/>
      <c r="O367" s="145" t="n"/>
      <c r="P367" s="145" t="n"/>
      <c r="Q367" s="145" t="n"/>
      <c r="R367" s="145" t="n"/>
      <c r="S367" s="145" t="n"/>
      <c r="T367" s="145" t="n"/>
      <c r="U367" s="1" t="n"/>
      <c r="V367" s="1" t="n"/>
      <c r="W367" s="1" t="n"/>
      <c r="X367" s="1" t="n"/>
      <c r="Y367" s="1" t="n"/>
      <c r="Z367" s="1" t="n"/>
    </row>
    <row r="368" ht="15" customHeight="1" s="311">
      <c r="A368" s="41">
        <f>IF($D368="","",ROW()-5)</f>
        <v/>
      </c>
      <c r="B368" s="144" t="n"/>
      <c r="C368" s="83" t="n"/>
      <c r="D368" s="146" t="n"/>
      <c r="E368" s="146" t="n"/>
      <c r="F368" s="146" t="n"/>
      <c r="G368" s="164">
        <f t="array" ref="G368">IF($F368="","",IFERROR(INDEX(Disponibilidad!$O$6:$O$18,MATCH($F368,Disponibilidad!$B$6:$B$18,0)),"Hogar"))</f>
        <v/>
      </c>
      <c r="H368" s="76" t="n"/>
      <c r="I368" s="57">
        <f>IF($D368="","",IF($C368="Cobro",N($H368),-N($H368)))</f>
        <v/>
      </c>
      <c r="J368" s="141" t="n"/>
      <c r="K368" s="64">
        <f>IF($B368="","",TEXT($B368,"YYYY-MM"))</f>
        <v/>
      </c>
      <c r="L368" s="145" t="n"/>
      <c r="M368" s="145" t="n"/>
      <c r="N368" s="145" t="n"/>
      <c r="O368" s="145" t="n"/>
      <c r="P368" s="145" t="n"/>
      <c r="Q368" s="145" t="n"/>
      <c r="R368" s="145" t="n"/>
      <c r="S368" s="145" t="n"/>
      <c r="T368" s="145" t="n"/>
      <c r="U368" s="1" t="n"/>
      <c r="V368" s="1" t="n"/>
      <c r="W368" s="1" t="n"/>
      <c r="X368" s="1" t="n"/>
      <c r="Y368" s="1" t="n"/>
      <c r="Z368" s="1" t="n"/>
    </row>
    <row r="369" ht="15" customHeight="1" s="311">
      <c r="A369" s="41">
        <f>IF($D369="","",ROW()-5)</f>
        <v/>
      </c>
      <c r="B369" s="144" t="n"/>
      <c r="C369" s="83" t="n"/>
      <c r="D369" s="146" t="n"/>
      <c r="E369" s="146" t="n"/>
      <c r="F369" s="146" t="n"/>
      <c r="G369" s="164">
        <f t="array" ref="G369">IF($F369="","",IFERROR(INDEX(Disponibilidad!$O$6:$O$18,MATCH($F369,Disponibilidad!$B$6:$B$18,0)),"Hogar"))</f>
        <v/>
      </c>
      <c r="H369" s="76" t="n"/>
      <c r="I369" s="57">
        <f>IF($D369="","",IF($C369="Cobro",N($H369),-N($H369)))</f>
        <v/>
      </c>
      <c r="J369" s="141" t="n"/>
      <c r="K369" s="64">
        <f>IF($B369="","",TEXT($B369,"YYYY-MM"))</f>
        <v/>
      </c>
      <c r="L369" s="145" t="n"/>
      <c r="M369" s="145" t="n"/>
      <c r="N369" s="145" t="n"/>
      <c r="O369" s="145" t="n"/>
      <c r="P369" s="145" t="n"/>
      <c r="Q369" s="145" t="n"/>
      <c r="R369" s="145" t="n"/>
      <c r="S369" s="145" t="n"/>
      <c r="T369" s="145" t="n"/>
      <c r="U369" s="1" t="n"/>
      <c r="V369" s="1" t="n"/>
      <c r="W369" s="1" t="n"/>
      <c r="X369" s="1" t="n"/>
      <c r="Y369" s="1" t="n"/>
      <c r="Z369" s="1" t="n"/>
    </row>
    <row r="370" ht="15" customHeight="1" s="311">
      <c r="A370" s="41">
        <f>IF($D370="","",ROW()-5)</f>
        <v/>
      </c>
      <c r="B370" s="144" t="n"/>
      <c r="C370" s="83" t="n"/>
      <c r="D370" s="146" t="n"/>
      <c r="E370" s="146" t="n"/>
      <c r="F370" s="146" t="n"/>
      <c r="G370" s="164">
        <f t="array" ref="G370">IF($F370="","",IFERROR(INDEX(Disponibilidad!$O$6:$O$18,MATCH($F370,Disponibilidad!$B$6:$B$18,0)),"Hogar"))</f>
        <v/>
      </c>
      <c r="H370" s="76" t="n"/>
      <c r="I370" s="57">
        <f>IF($D370="","",IF($C370="Cobro",N($H370),-N($H370)))</f>
        <v/>
      </c>
      <c r="J370" s="141" t="n"/>
      <c r="K370" s="64">
        <f>IF($B370="","",TEXT($B370,"YYYY-MM"))</f>
        <v/>
      </c>
      <c r="L370" s="145" t="n"/>
      <c r="M370" s="145" t="n"/>
      <c r="N370" s="145" t="n"/>
      <c r="O370" s="145" t="n"/>
      <c r="P370" s="145" t="n"/>
      <c r="Q370" s="145" t="n"/>
      <c r="R370" s="145" t="n"/>
      <c r="S370" s="145" t="n"/>
      <c r="T370" s="145" t="n"/>
      <c r="U370" s="1" t="n"/>
      <c r="V370" s="1" t="n"/>
      <c r="W370" s="1" t="n"/>
      <c r="X370" s="1" t="n"/>
      <c r="Y370" s="1" t="n"/>
      <c r="Z370" s="1" t="n"/>
    </row>
    <row r="371" ht="15" customHeight="1" s="311">
      <c r="A371" s="41">
        <f>IF($D371="","",ROW()-5)</f>
        <v/>
      </c>
      <c r="B371" s="144" t="n"/>
      <c r="C371" s="83" t="n"/>
      <c r="D371" s="146" t="n"/>
      <c r="E371" s="146" t="n"/>
      <c r="F371" s="146" t="n"/>
      <c r="G371" s="164">
        <f t="array" ref="G371">IF($F371="","",IFERROR(INDEX(Disponibilidad!$O$6:$O$18,MATCH($F371,Disponibilidad!$B$6:$B$18,0)),"Hogar"))</f>
        <v/>
      </c>
      <c r="H371" s="76" t="n"/>
      <c r="I371" s="57">
        <f>IF($D371="","",IF($C371="Cobro",N($H371),-N($H371)))</f>
        <v/>
      </c>
      <c r="J371" s="141" t="n"/>
      <c r="K371" s="64">
        <f>IF($B371="","",TEXT($B371,"YYYY-MM"))</f>
        <v/>
      </c>
      <c r="L371" s="145" t="n"/>
      <c r="M371" s="145" t="n"/>
      <c r="N371" s="145" t="n"/>
      <c r="O371" s="145" t="n"/>
      <c r="P371" s="145" t="n"/>
      <c r="Q371" s="145" t="n"/>
      <c r="R371" s="145" t="n"/>
      <c r="S371" s="145" t="n"/>
      <c r="T371" s="145" t="n"/>
      <c r="U371" s="1" t="n"/>
      <c r="V371" s="1" t="n"/>
      <c r="W371" s="1" t="n"/>
      <c r="X371" s="1" t="n"/>
      <c r="Y371" s="1" t="n"/>
      <c r="Z371" s="1" t="n"/>
    </row>
    <row r="372" ht="15" customHeight="1" s="311">
      <c r="A372" s="41">
        <f>IF($D372="","",ROW()-5)</f>
        <v/>
      </c>
      <c r="B372" s="144" t="n"/>
      <c r="C372" s="83" t="n"/>
      <c r="D372" s="146" t="n"/>
      <c r="E372" s="146" t="n"/>
      <c r="F372" s="146" t="n"/>
      <c r="G372" s="164">
        <f t="array" ref="G372">IF($F372="","",IFERROR(INDEX(Disponibilidad!$O$6:$O$18,MATCH($F372,Disponibilidad!$B$6:$B$18,0)),"Hogar"))</f>
        <v/>
      </c>
      <c r="H372" s="76" t="n"/>
      <c r="I372" s="57">
        <f>IF($D372="","",IF($C372="Cobro",N($H372),-N($H372)))</f>
        <v/>
      </c>
      <c r="J372" s="141" t="n"/>
      <c r="K372" s="64">
        <f>IF($B372="","",TEXT($B372,"YYYY-MM"))</f>
        <v/>
      </c>
      <c r="L372" s="145" t="n"/>
      <c r="M372" s="145" t="n"/>
      <c r="N372" s="145" t="n"/>
      <c r="O372" s="145" t="n"/>
      <c r="P372" s="145" t="n"/>
      <c r="Q372" s="145" t="n"/>
      <c r="R372" s="145" t="n"/>
      <c r="S372" s="145" t="n"/>
      <c r="T372" s="145" t="n"/>
      <c r="U372" s="1" t="n"/>
      <c r="V372" s="1" t="n"/>
      <c r="W372" s="1" t="n"/>
      <c r="X372" s="1" t="n"/>
      <c r="Y372" s="1" t="n"/>
      <c r="Z372" s="1" t="n"/>
    </row>
    <row r="373" ht="15" customHeight="1" s="311">
      <c r="A373" s="41">
        <f>IF($D373="","",ROW()-5)</f>
        <v/>
      </c>
      <c r="B373" s="144" t="n"/>
      <c r="C373" s="83" t="n"/>
      <c r="D373" s="146" t="n"/>
      <c r="E373" s="146" t="n"/>
      <c r="F373" s="146" t="n"/>
      <c r="G373" s="164">
        <f t="array" ref="G373">IF($F373="","",IFERROR(INDEX(Disponibilidad!$O$6:$O$18,MATCH($F373,Disponibilidad!$B$6:$B$18,0)),"Hogar"))</f>
        <v/>
      </c>
      <c r="H373" s="76" t="n"/>
      <c r="I373" s="57">
        <f>IF($D373="","",IF($C373="Cobro",N($H373),-N($H373)))</f>
        <v/>
      </c>
      <c r="J373" s="141" t="n"/>
      <c r="K373" s="64">
        <f>IF($B373="","",TEXT($B373,"YYYY-MM"))</f>
        <v/>
      </c>
      <c r="L373" s="145" t="n"/>
      <c r="M373" s="145" t="n"/>
      <c r="N373" s="145" t="n"/>
      <c r="O373" s="145" t="n"/>
      <c r="P373" s="145" t="n"/>
      <c r="Q373" s="145" t="n"/>
      <c r="R373" s="145" t="n"/>
      <c r="S373" s="145" t="n"/>
      <c r="T373" s="145" t="n"/>
      <c r="U373" s="1" t="n"/>
      <c r="V373" s="1" t="n"/>
      <c r="W373" s="1" t="n"/>
      <c r="X373" s="1" t="n"/>
      <c r="Y373" s="1" t="n"/>
      <c r="Z373" s="1" t="n"/>
    </row>
    <row r="374" ht="15" customHeight="1" s="311">
      <c r="A374" s="41">
        <f>IF($D374="","",ROW()-5)</f>
        <v/>
      </c>
      <c r="B374" s="144" t="n"/>
      <c r="C374" s="83" t="n"/>
      <c r="D374" s="146" t="n"/>
      <c r="E374" s="146" t="n"/>
      <c r="F374" s="146" t="n"/>
      <c r="G374" s="164">
        <f t="array" ref="G374">IF($F374="","",IFERROR(INDEX(Disponibilidad!$O$6:$O$18,MATCH($F374,Disponibilidad!$B$6:$B$18,0)),"Hogar"))</f>
        <v/>
      </c>
      <c r="H374" s="76" t="n"/>
      <c r="I374" s="57">
        <f>IF($D374="","",IF($C374="Cobro",N($H374),-N($H374)))</f>
        <v/>
      </c>
      <c r="J374" s="141" t="n"/>
      <c r="K374" s="64">
        <f>IF($B374="","",TEXT($B374,"YYYY-MM"))</f>
        <v/>
      </c>
      <c r="L374" s="145" t="n"/>
      <c r="M374" s="145" t="n"/>
      <c r="N374" s="145" t="n"/>
      <c r="O374" s="145" t="n"/>
      <c r="P374" s="145" t="n"/>
      <c r="Q374" s="145" t="n"/>
      <c r="R374" s="145" t="n"/>
      <c r="S374" s="145" t="n"/>
      <c r="T374" s="145" t="n"/>
      <c r="U374" s="1" t="n"/>
      <c r="V374" s="1" t="n"/>
      <c r="W374" s="1" t="n"/>
      <c r="X374" s="1" t="n"/>
      <c r="Y374" s="1" t="n"/>
      <c r="Z374" s="1" t="n"/>
    </row>
    <row r="375" ht="15" customHeight="1" s="311">
      <c r="A375" s="41">
        <f>IF($D375="","",ROW()-5)</f>
        <v/>
      </c>
      <c r="B375" s="144" t="n"/>
      <c r="C375" s="83" t="n"/>
      <c r="D375" s="146" t="n"/>
      <c r="E375" s="146" t="n"/>
      <c r="F375" s="146" t="n"/>
      <c r="G375" s="164">
        <f t="array" ref="G375">IF($F375="","",IFERROR(INDEX(Disponibilidad!$O$6:$O$18,MATCH($F375,Disponibilidad!$B$6:$B$18,0)),"Hogar"))</f>
        <v/>
      </c>
      <c r="H375" s="76" t="n"/>
      <c r="I375" s="57">
        <f>IF($D375="","",IF($C375="Cobro",N($H375),-N($H375)))</f>
        <v/>
      </c>
      <c r="J375" s="141" t="n"/>
      <c r="K375" s="64">
        <f>IF($B375="","",TEXT($B375,"YYYY-MM"))</f>
        <v/>
      </c>
      <c r="L375" s="145" t="n"/>
      <c r="M375" s="145" t="n"/>
      <c r="N375" s="145" t="n"/>
      <c r="O375" s="145" t="n"/>
      <c r="P375" s="145" t="n"/>
      <c r="Q375" s="145" t="n"/>
      <c r="R375" s="145" t="n"/>
      <c r="S375" s="145" t="n"/>
      <c r="T375" s="145" t="n"/>
      <c r="U375" s="1" t="n"/>
      <c r="V375" s="1" t="n"/>
      <c r="W375" s="1" t="n"/>
      <c r="X375" s="1" t="n"/>
      <c r="Y375" s="1" t="n"/>
      <c r="Z375" s="1" t="n"/>
    </row>
    <row r="376" ht="15" customHeight="1" s="311">
      <c r="A376" s="41">
        <f>IF($D376="","",ROW()-5)</f>
        <v/>
      </c>
      <c r="B376" s="144" t="n"/>
      <c r="C376" s="83" t="n"/>
      <c r="D376" s="146" t="n"/>
      <c r="E376" s="146" t="n"/>
      <c r="F376" s="146" t="n"/>
      <c r="G376" s="164">
        <f t="array" ref="G376">IF($F376="","",IFERROR(INDEX(Disponibilidad!$O$6:$O$18,MATCH($F376,Disponibilidad!$B$6:$B$18,0)),"Hogar"))</f>
        <v/>
      </c>
      <c r="H376" s="76" t="n"/>
      <c r="I376" s="57">
        <f>IF($D376="","",IF($C376="Cobro",N($H376),-N($H376)))</f>
        <v/>
      </c>
      <c r="J376" s="141" t="n"/>
      <c r="K376" s="64">
        <f>IF($B376="","",TEXT($B376,"YYYY-MM"))</f>
        <v/>
      </c>
      <c r="L376" s="145" t="n"/>
      <c r="M376" s="145" t="n"/>
      <c r="N376" s="145" t="n"/>
      <c r="O376" s="145" t="n"/>
      <c r="P376" s="145" t="n"/>
      <c r="Q376" s="145" t="n"/>
      <c r="R376" s="145" t="n"/>
      <c r="S376" s="145" t="n"/>
      <c r="T376" s="145" t="n"/>
      <c r="U376" s="1" t="n"/>
      <c r="V376" s="1" t="n"/>
      <c r="W376" s="1" t="n"/>
      <c r="X376" s="1" t="n"/>
      <c r="Y376" s="1" t="n"/>
      <c r="Z376" s="1" t="n"/>
    </row>
    <row r="377" ht="15" customHeight="1" s="311">
      <c r="A377" s="41">
        <f>IF($D377="","",ROW()-5)</f>
        <v/>
      </c>
      <c r="B377" s="144" t="n"/>
      <c r="C377" s="83" t="n"/>
      <c r="D377" s="146" t="n"/>
      <c r="E377" s="146" t="n"/>
      <c r="F377" s="146" t="n"/>
      <c r="G377" s="164">
        <f t="array" ref="G377">IF($F377="","",IFERROR(INDEX(Disponibilidad!$O$6:$O$18,MATCH($F377,Disponibilidad!$B$6:$B$18,0)),"Hogar"))</f>
        <v/>
      </c>
      <c r="H377" s="76" t="n"/>
      <c r="I377" s="57">
        <f>IF($D377="","",IF($C377="Cobro",N($H377),-N($H377)))</f>
        <v/>
      </c>
      <c r="J377" s="141" t="n"/>
      <c r="K377" s="64">
        <f>IF($B377="","",TEXT($B377,"YYYY-MM"))</f>
        <v/>
      </c>
      <c r="L377" s="145" t="n"/>
      <c r="M377" s="145" t="n"/>
      <c r="N377" s="145" t="n"/>
      <c r="O377" s="145" t="n"/>
      <c r="P377" s="145" t="n"/>
      <c r="Q377" s="145" t="n"/>
      <c r="R377" s="145" t="n"/>
      <c r="S377" s="145" t="n"/>
      <c r="T377" s="145" t="n"/>
      <c r="U377" s="1" t="n"/>
      <c r="V377" s="1" t="n"/>
      <c r="W377" s="1" t="n"/>
      <c r="X377" s="1" t="n"/>
      <c r="Y377" s="1" t="n"/>
      <c r="Z377" s="1" t="n"/>
    </row>
    <row r="378" ht="15" customHeight="1" s="311">
      <c r="A378" s="41">
        <f>IF($D378="","",ROW()-5)</f>
        <v/>
      </c>
      <c r="B378" s="144" t="n"/>
      <c r="C378" s="83" t="n"/>
      <c r="D378" s="146" t="n"/>
      <c r="E378" s="146" t="n"/>
      <c r="F378" s="146" t="n"/>
      <c r="G378" s="164">
        <f t="array" ref="G378">IF($F378="","",IFERROR(INDEX(Disponibilidad!$O$6:$O$18,MATCH($F378,Disponibilidad!$B$6:$B$18,0)),"Hogar"))</f>
        <v/>
      </c>
      <c r="H378" s="76" t="n"/>
      <c r="I378" s="57">
        <f>IF($D378="","",IF($C378="Cobro",N($H378),-N($H378)))</f>
        <v/>
      </c>
      <c r="J378" s="141" t="n"/>
      <c r="K378" s="64">
        <f>IF($B378="","",TEXT($B378,"YYYY-MM"))</f>
        <v/>
      </c>
      <c r="L378" s="145" t="n"/>
      <c r="M378" s="145" t="n"/>
      <c r="N378" s="145" t="n"/>
      <c r="O378" s="145" t="n"/>
      <c r="P378" s="145" t="n"/>
      <c r="Q378" s="145" t="n"/>
      <c r="R378" s="145" t="n"/>
      <c r="S378" s="145" t="n"/>
      <c r="T378" s="145" t="n"/>
      <c r="U378" s="1" t="n"/>
      <c r="V378" s="1" t="n"/>
      <c r="W378" s="1" t="n"/>
      <c r="X378" s="1" t="n"/>
      <c r="Y378" s="1" t="n"/>
      <c r="Z378" s="1" t="n"/>
    </row>
    <row r="379" ht="15" customHeight="1" s="311">
      <c r="A379" s="41">
        <f>IF($D379="","",ROW()-5)</f>
        <v/>
      </c>
      <c r="B379" s="144" t="n"/>
      <c r="C379" s="83" t="n"/>
      <c r="D379" s="146" t="n"/>
      <c r="E379" s="146" t="n"/>
      <c r="F379" s="146" t="n"/>
      <c r="G379" s="164">
        <f t="array" ref="G379">IF($F379="","",IFERROR(INDEX(Disponibilidad!$O$6:$O$18,MATCH($F379,Disponibilidad!$B$6:$B$18,0)),"Hogar"))</f>
        <v/>
      </c>
      <c r="H379" s="76" t="n"/>
      <c r="I379" s="57">
        <f>IF($D379="","",IF($C379="Cobro",N($H379),-N($H379)))</f>
        <v/>
      </c>
      <c r="J379" s="141" t="n"/>
      <c r="K379" s="64">
        <f>IF($B379="","",TEXT($B379,"YYYY-MM"))</f>
        <v/>
      </c>
      <c r="L379" s="145" t="n"/>
      <c r="M379" s="145" t="n"/>
      <c r="N379" s="145" t="n"/>
      <c r="O379" s="145" t="n"/>
      <c r="P379" s="145" t="n"/>
      <c r="Q379" s="145" t="n"/>
      <c r="R379" s="145" t="n"/>
      <c r="S379" s="145" t="n"/>
      <c r="T379" s="145" t="n"/>
      <c r="U379" s="1" t="n"/>
      <c r="V379" s="1" t="n"/>
      <c r="W379" s="1" t="n"/>
      <c r="X379" s="1" t="n"/>
      <c r="Y379" s="1" t="n"/>
      <c r="Z379" s="1" t="n"/>
    </row>
    <row r="380" ht="15" customHeight="1" s="311">
      <c r="A380" s="41">
        <f>IF($D380="","",ROW()-5)</f>
        <v/>
      </c>
      <c r="B380" s="144" t="n"/>
      <c r="C380" s="83" t="n"/>
      <c r="D380" s="146" t="n"/>
      <c r="E380" s="146" t="n"/>
      <c r="F380" s="146" t="n"/>
      <c r="G380" s="164">
        <f t="array" ref="G380">IF($F380="","",IFERROR(INDEX(Disponibilidad!$O$6:$O$18,MATCH($F380,Disponibilidad!$B$6:$B$18,0)),"Hogar"))</f>
        <v/>
      </c>
      <c r="H380" s="76" t="n"/>
      <c r="I380" s="57">
        <f>IF($D380="","",IF($C380="Cobro",N($H380),-N($H380)))</f>
        <v/>
      </c>
      <c r="J380" s="141" t="n"/>
      <c r="K380" s="64">
        <f>IF($B380="","",TEXT($B380,"YYYY-MM"))</f>
        <v/>
      </c>
      <c r="L380" s="145" t="n"/>
      <c r="M380" s="145" t="n"/>
      <c r="N380" s="145" t="n"/>
      <c r="O380" s="145" t="n"/>
      <c r="P380" s="145" t="n"/>
      <c r="Q380" s="145" t="n"/>
      <c r="R380" s="145" t="n"/>
      <c r="S380" s="145" t="n"/>
      <c r="T380" s="145" t="n"/>
      <c r="U380" s="1" t="n"/>
      <c r="V380" s="1" t="n"/>
      <c r="W380" s="1" t="n"/>
      <c r="X380" s="1" t="n"/>
      <c r="Y380" s="1" t="n"/>
      <c r="Z380" s="1" t="n"/>
    </row>
    <row r="381" ht="15" customHeight="1" s="311">
      <c r="A381" s="41">
        <f>IF($D381="","",ROW()-5)</f>
        <v/>
      </c>
      <c r="B381" s="144" t="n"/>
      <c r="C381" s="83" t="n"/>
      <c r="D381" s="146" t="n"/>
      <c r="E381" s="146" t="n"/>
      <c r="F381" s="146" t="n"/>
      <c r="G381" s="164">
        <f t="array" ref="G381">IF($F381="","",IFERROR(INDEX(Disponibilidad!$O$6:$O$18,MATCH($F381,Disponibilidad!$B$6:$B$18,0)),"Hogar"))</f>
        <v/>
      </c>
      <c r="H381" s="76" t="n"/>
      <c r="I381" s="57">
        <f>IF($D381="","",IF($C381="Cobro",N($H381),-N($H381)))</f>
        <v/>
      </c>
      <c r="J381" s="141" t="n"/>
      <c r="K381" s="64">
        <f>IF($B381="","",TEXT($B381,"YYYY-MM"))</f>
        <v/>
      </c>
      <c r="L381" s="145" t="n"/>
      <c r="M381" s="145" t="n"/>
      <c r="N381" s="145" t="n"/>
      <c r="O381" s="145" t="n"/>
      <c r="P381" s="145" t="n"/>
      <c r="Q381" s="145" t="n"/>
      <c r="R381" s="145" t="n"/>
      <c r="S381" s="145" t="n"/>
      <c r="T381" s="145" t="n"/>
      <c r="U381" s="1" t="n"/>
      <c r="V381" s="1" t="n"/>
      <c r="W381" s="1" t="n"/>
      <c r="X381" s="1" t="n"/>
      <c r="Y381" s="1" t="n"/>
      <c r="Z381" s="1" t="n"/>
    </row>
    <row r="382" ht="15" customHeight="1" s="311">
      <c r="A382" s="41">
        <f>IF($D382="","",ROW()-5)</f>
        <v/>
      </c>
      <c r="B382" s="144" t="n"/>
      <c r="C382" s="83" t="n"/>
      <c r="D382" s="146" t="n"/>
      <c r="E382" s="146" t="n"/>
      <c r="F382" s="146" t="n"/>
      <c r="G382" s="164">
        <f t="array" ref="G382">IF($F382="","",IFERROR(INDEX(Disponibilidad!$O$6:$O$18,MATCH($F382,Disponibilidad!$B$6:$B$18,0)),"Hogar"))</f>
        <v/>
      </c>
      <c r="H382" s="76" t="n"/>
      <c r="I382" s="57">
        <f>IF($D382="","",IF($C382="Cobro",N($H382),-N($H382)))</f>
        <v/>
      </c>
      <c r="J382" s="141" t="n"/>
      <c r="K382" s="64">
        <f>IF($B382="","",TEXT($B382,"YYYY-MM"))</f>
        <v/>
      </c>
      <c r="L382" s="145" t="n"/>
      <c r="M382" s="145" t="n"/>
      <c r="N382" s="145" t="n"/>
      <c r="O382" s="145" t="n"/>
      <c r="P382" s="145" t="n"/>
      <c r="Q382" s="145" t="n"/>
      <c r="R382" s="145" t="n"/>
      <c r="S382" s="145" t="n"/>
      <c r="T382" s="145" t="n"/>
      <c r="U382" s="1" t="n"/>
      <c r="V382" s="1" t="n"/>
      <c r="W382" s="1" t="n"/>
      <c r="X382" s="1" t="n"/>
      <c r="Y382" s="1" t="n"/>
      <c r="Z382" s="1" t="n"/>
    </row>
    <row r="383" ht="15" customHeight="1" s="311">
      <c r="A383" s="41">
        <f>IF($D383="","",ROW()-5)</f>
        <v/>
      </c>
      <c r="B383" s="144" t="n"/>
      <c r="C383" s="83" t="n"/>
      <c r="D383" s="146" t="n"/>
      <c r="E383" s="146" t="n"/>
      <c r="F383" s="146" t="n"/>
      <c r="G383" s="164">
        <f t="array" ref="G383">IF($F383="","",IFERROR(INDEX(Disponibilidad!$O$6:$O$18,MATCH($F383,Disponibilidad!$B$6:$B$18,0)),"Hogar"))</f>
        <v/>
      </c>
      <c r="H383" s="76" t="n"/>
      <c r="I383" s="57">
        <f>IF($D383="","",IF($C383="Cobro",N($H383),-N($H383)))</f>
        <v/>
      </c>
      <c r="J383" s="141" t="n"/>
      <c r="K383" s="64">
        <f>IF($B383="","",TEXT($B383,"YYYY-MM"))</f>
        <v/>
      </c>
      <c r="L383" s="145" t="n"/>
      <c r="M383" s="145" t="n"/>
      <c r="N383" s="145" t="n"/>
      <c r="O383" s="145" t="n"/>
      <c r="P383" s="145" t="n"/>
      <c r="Q383" s="145" t="n"/>
      <c r="R383" s="145" t="n"/>
      <c r="S383" s="145" t="n"/>
      <c r="T383" s="145" t="n"/>
      <c r="U383" s="1" t="n"/>
      <c r="V383" s="1" t="n"/>
      <c r="W383" s="1" t="n"/>
      <c r="X383" s="1" t="n"/>
      <c r="Y383" s="1" t="n"/>
      <c r="Z383" s="1" t="n"/>
    </row>
    <row r="384" ht="15" customHeight="1" s="311">
      <c r="A384" s="41">
        <f>IF($D384="","",ROW()-5)</f>
        <v/>
      </c>
      <c r="B384" s="144" t="n"/>
      <c r="C384" s="83" t="n"/>
      <c r="D384" s="146" t="n"/>
      <c r="E384" s="146" t="n"/>
      <c r="F384" s="146" t="n"/>
      <c r="G384" s="164">
        <f t="array" ref="G384">IF($F384="","",IFERROR(INDEX(Disponibilidad!$O$6:$O$18,MATCH($F384,Disponibilidad!$B$6:$B$18,0)),"Hogar"))</f>
        <v/>
      </c>
      <c r="H384" s="76" t="n"/>
      <c r="I384" s="57">
        <f>IF($D384="","",IF($C384="Cobro",N($H384),-N($H384)))</f>
        <v/>
      </c>
      <c r="J384" s="141" t="n"/>
      <c r="K384" s="64">
        <f>IF($B384="","",TEXT($B384,"YYYY-MM"))</f>
        <v/>
      </c>
      <c r="L384" s="145" t="n"/>
      <c r="M384" s="145" t="n"/>
      <c r="N384" s="145" t="n"/>
      <c r="O384" s="145" t="n"/>
      <c r="P384" s="145" t="n"/>
      <c r="Q384" s="145" t="n"/>
      <c r="R384" s="145" t="n"/>
      <c r="S384" s="145" t="n"/>
      <c r="T384" s="145" t="n"/>
      <c r="U384" s="1" t="n"/>
      <c r="V384" s="1" t="n"/>
      <c r="W384" s="1" t="n"/>
      <c r="X384" s="1" t="n"/>
      <c r="Y384" s="1" t="n"/>
      <c r="Z384" s="1" t="n"/>
    </row>
    <row r="385" ht="15" customHeight="1" s="311">
      <c r="A385" s="41">
        <f>IF($D385="","",ROW()-5)</f>
        <v/>
      </c>
      <c r="B385" s="144" t="n"/>
      <c r="C385" s="83" t="n"/>
      <c r="D385" s="146" t="n"/>
      <c r="E385" s="146" t="n"/>
      <c r="F385" s="146" t="n"/>
      <c r="G385" s="164">
        <f t="array" ref="G385">IF($F385="","",IFERROR(INDEX(Disponibilidad!$O$6:$O$18,MATCH($F385,Disponibilidad!$B$6:$B$18,0)),"Hogar"))</f>
        <v/>
      </c>
      <c r="H385" s="76" t="n"/>
      <c r="I385" s="57">
        <f>IF($D385="","",IF($C385="Cobro",N($H385),-N($H385)))</f>
        <v/>
      </c>
      <c r="J385" s="141" t="n"/>
      <c r="K385" s="64">
        <f>IF($B385="","",TEXT($B385,"YYYY-MM"))</f>
        <v/>
      </c>
      <c r="L385" s="145" t="n"/>
      <c r="M385" s="145" t="n"/>
      <c r="N385" s="145" t="n"/>
      <c r="O385" s="145" t="n"/>
      <c r="P385" s="145" t="n"/>
      <c r="Q385" s="145" t="n"/>
      <c r="R385" s="145" t="n"/>
      <c r="S385" s="145" t="n"/>
      <c r="T385" s="145" t="n"/>
      <c r="U385" s="1" t="n"/>
      <c r="V385" s="1" t="n"/>
      <c r="W385" s="1" t="n"/>
      <c r="X385" s="1" t="n"/>
      <c r="Y385" s="1" t="n"/>
      <c r="Z385" s="1" t="n"/>
    </row>
    <row r="386" ht="15" customHeight="1" s="311">
      <c r="A386" s="41">
        <f>IF($D386="","",ROW()-5)</f>
        <v/>
      </c>
      <c r="B386" s="144" t="n"/>
      <c r="C386" s="83" t="n"/>
      <c r="D386" s="146" t="n"/>
      <c r="E386" s="146" t="n"/>
      <c r="F386" s="146" t="n"/>
      <c r="G386" s="164">
        <f t="array" ref="G386">IF($F386="","",IFERROR(INDEX(Disponibilidad!$O$6:$O$18,MATCH($F386,Disponibilidad!$B$6:$B$18,0)),"Hogar"))</f>
        <v/>
      </c>
      <c r="H386" s="76" t="n"/>
      <c r="I386" s="57">
        <f>IF($D386="","",IF($C386="Cobro",N($H386),-N($H386)))</f>
        <v/>
      </c>
      <c r="J386" s="141" t="n"/>
      <c r="K386" s="64">
        <f>IF($B386="","",TEXT($B386,"YYYY-MM"))</f>
        <v/>
      </c>
      <c r="L386" s="145" t="n"/>
      <c r="M386" s="145" t="n"/>
      <c r="N386" s="145" t="n"/>
      <c r="O386" s="145" t="n"/>
      <c r="P386" s="145" t="n"/>
      <c r="Q386" s="145" t="n"/>
      <c r="R386" s="145" t="n"/>
      <c r="S386" s="145" t="n"/>
      <c r="T386" s="145" t="n"/>
      <c r="U386" s="1" t="n"/>
      <c r="V386" s="1" t="n"/>
      <c r="W386" s="1" t="n"/>
      <c r="X386" s="1" t="n"/>
      <c r="Y386" s="1" t="n"/>
      <c r="Z386" s="1" t="n"/>
    </row>
    <row r="387" ht="15" customHeight="1" s="311">
      <c r="A387" s="41">
        <f>IF($D387="","",ROW()-5)</f>
        <v/>
      </c>
      <c r="B387" s="144" t="n"/>
      <c r="C387" s="83" t="n"/>
      <c r="D387" s="146" t="n"/>
      <c r="E387" s="146" t="n"/>
      <c r="F387" s="146" t="n"/>
      <c r="G387" s="164">
        <f t="array" ref="G387">IF($F387="","",IFERROR(INDEX(Disponibilidad!$O$6:$O$18,MATCH($F387,Disponibilidad!$B$6:$B$18,0)),"Hogar"))</f>
        <v/>
      </c>
      <c r="H387" s="76" t="n"/>
      <c r="I387" s="57">
        <f>IF($D387="","",IF($C387="Cobro",N($H387),-N($H387)))</f>
        <v/>
      </c>
      <c r="J387" s="141" t="n"/>
      <c r="K387" s="64">
        <f>IF($B387="","",TEXT($B387,"YYYY-MM"))</f>
        <v/>
      </c>
      <c r="L387" s="145" t="n"/>
      <c r="M387" s="145" t="n"/>
      <c r="N387" s="145" t="n"/>
      <c r="O387" s="145" t="n"/>
      <c r="P387" s="145" t="n"/>
      <c r="Q387" s="145" t="n"/>
      <c r="R387" s="145" t="n"/>
      <c r="S387" s="145" t="n"/>
      <c r="T387" s="145" t="n"/>
      <c r="U387" s="1" t="n"/>
      <c r="V387" s="1" t="n"/>
      <c r="W387" s="1" t="n"/>
      <c r="X387" s="1" t="n"/>
      <c r="Y387" s="1" t="n"/>
      <c r="Z387" s="1" t="n"/>
    </row>
    <row r="388" ht="15" customHeight="1" s="311">
      <c r="A388" s="41">
        <f>IF($D388="","",ROW()-5)</f>
        <v/>
      </c>
      <c r="B388" s="144" t="n"/>
      <c r="C388" s="83" t="n"/>
      <c r="D388" s="146" t="n"/>
      <c r="E388" s="146" t="n"/>
      <c r="F388" s="146" t="n"/>
      <c r="G388" s="164">
        <f t="array" ref="G388">IF($F388="","",IFERROR(INDEX(Disponibilidad!$O$6:$O$18,MATCH($F388,Disponibilidad!$B$6:$B$18,0)),"Hogar"))</f>
        <v/>
      </c>
      <c r="H388" s="76" t="n"/>
      <c r="I388" s="57">
        <f>IF($D388="","",IF($C388="Cobro",N($H388),-N($H388)))</f>
        <v/>
      </c>
      <c r="J388" s="141" t="n"/>
      <c r="K388" s="64">
        <f>IF($B388="","",TEXT($B388,"YYYY-MM"))</f>
        <v/>
      </c>
      <c r="L388" s="145" t="n"/>
      <c r="M388" s="145" t="n"/>
      <c r="N388" s="145" t="n"/>
      <c r="O388" s="145" t="n"/>
      <c r="P388" s="145" t="n"/>
      <c r="Q388" s="145" t="n"/>
      <c r="R388" s="145" t="n"/>
      <c r="S388" s="145" t="n"/>
      <c r="T388" s="145" t="n"/>
      <c r="U388" s="1" t="n"/>
      <c r="V388" s="1" t="n"/>
      <c r="W388" s="1" t="n"/>
      <c r="X388" s="1" t="n"/>
      <c r="Y388" s="1" t="n"/>
      <c r="Z388" s="1" t="n"/>
    </row>
    <row r="389" ht="15" customHeight="1" s="311">
      <c r="A389" s="41">
        <f>IF($D389="","",ROW()-5)</f>
        <v/>
      </c>
      <c r="B389" s="144" t="n"/>
      <c r="C389" s="83" t="n"/>
      <c r="D389" s="146" t="n"/>
      <c r="E389" s="146" t="n"/>
      <c r="F389" s="146" t="n"/>
      <c r="G389" s="164">
        <f t="array" ref="G389">IF($F389="","",IFERROR(INDEX(Disponibilidad!$O$6:$O$18,MATCH($F389,Disponibilidad!$B$6:$B$18,0)),"Hogar"))</f>
        <v/>
      </c>
      <c r="H389" s="76" t="n"/>
      <c r="I389" s="57">
        <f>IF($D389="","",IF($C389="Cobro",N($H389),-N($H389)))</f>
        <v/>
      </c>
      <c r="J389" s="141" t="n"/>
      <c r="K389" s="64">
        <f>IF($B389="","",TEXT($B389,"YYYY-MM"))</f>
        <v/>
      </c>
      <c r="L389" s="145" t="n"/>
      <c r="M389" s="145" t="n"/>
      <c r="N389" s="145" t="n"/>
      <c r="O389" s="145" t="n"/>
      <c r="P389" s="145" t="n"/>
      <c r="Q389" s="145" t="n"/>
      <c r="R389" s="145" t="n"/>
      <c r="S389" s="145" t="n"/>
      <c r="T389" s="145" t="n"/>
      <c r="U389" s="1" t="n"/>
      <c r="V389" s="1" t="n"/>
      <c r="W389" s="1" t="n"/>
      <c r="X389" s="1" t="n"/>
      <c r="Y389" s="1" t="n"/>
      <c r="Z389" s="1" t="n"/>
    </row>
    <row r="390" ht="15" customHeight="1" s="311">
      <c r="A390" s="41">
        <f>IF($D390="","",ROW()-5)</f>
        <v/>
      </c>
      <c r="B390" s="144" t="n"/>
      <c r="C390" s="83" t="n"/>
      <c r="D390" s="146" t="n"/>
      <c r="E390" s="146" t="n"/>
      <c r="F390" s="146" t="n"/>
      <c r="G390" s="164">
        <f t="array" ref="G390">IF($F390="","",IFERROR(INDEX(Disponibilidad!$O$6:$O$18,MATCH($F390,Disponibilidad!$B$6:$B$18,0)),"Hogar"))</f>
        <v/>
      </c>
      <c r="H390" s="76" t="n"/>
      <c r="I390" s="57">
        <f>IF($D390="","",IF($C390="Cobro",N($H390),-N($H390)))</f>
        <v/>
      </c>
      <c r="J390" s="141" t="n"/>
      <c r="K390" s="64">
        <f>IF($B390="","",TEXT($B390,"YYYY-MM"))</f>
        <v/>
      </c>
      <c r="L390" s="145" t="n"/>
      <c r="M390" s="145" t="n"/>
      <c r="N390" s="145" t="n"/>
      <c r="O390" s="145" t="n"/>
      <c r="P390" s="145" t="n"/>
      <c r="Q390" s="145" t="n"/>
      <c r="R390" s="145" t="n"/>
      <c r="S390" s="145" t="n"/>
      <c r="T390" s="145" t="n"/>
      <c r="U390" s="1" t="n"/>
      <c r="V390" s="1" t="n"/>
      <c r="W390" s="1" t="n"/>
      <c r="X390" s="1" t="n"/>
      <c r="Y390" s="1" t="n"/>
      <c r="Z390" s="1" t="n"/>
    </row>
    <row r="391" ht="15" customHeight="1" s="311">
      <c r="A391" s="41">
        <f>IF($D391="","",ROW()-5)</f>
        <v/>
      </c>
      <c r="B391" s="144" t="n"/>
      <c r="C391" s="83" t="n"/>
      <c r="D391" s="146" t="n"/>
      <c r="E391" s="146" t="n"/>
      <c r="F391" s="146" t="n"/>
      <c r="G391" s="164">
        <f t="array" ref="G391">IF($F391="","",IFERROR(INDEX(Disponibilidad!$O$6:$O$18,MATCH($F391,Disponibilidad!$B$6:$B$18,0)),"Hogar"))</f>
        <v/>
      </c>
      <c r="H391" s="76" t="n"/>
      <c r="I391" s="57">
        <f>IF($D391="","",IF($C391="Cobro",N($H391),-N($H391)))</f>
        <v/>
      </c>
      <c r="J391" s="141" t="n"/>
      <c r="K391" s="64">
        <f>IF($B391="","",TEXT($B391,"YYYY-MM"))</f>
        <v/>
      </c>
      <c r="L391" s="145" t="n"/>
      <c r="M391" s="145" t="n"/>
      <c r="N391" s="145" t="n"/>
      <c r="O391" s="145" t="n"/>
      <c r="P391" s="145" t="n"/>
      <c r="Q391" s="145" t="n"/>
      <c r="R391" s="145" t="n"/>
      <c r="S391" s="145" t="n"/>
      <c r="T391" s="145" t="n"/>
      <c r="U391" s="1" t="n"/>
      <c r="V391" s="1" t="n"/>
      <c r="W391" s="1" t="n"/>
      <c r="X391" s="1" t="n"/>
      <c r="Y391" s="1" t="n"/>
      <c r="Z391" s="1" t="n"/>
    </row>
    <row r="392" ht="15" customHeight="1" s="311">
      <c r="A392" s="41">
        <f>IF($D392="","",ROW()-5)</f>
        <v/>
      </c>
      <c r="B392" s="144" t="n"/>
      <c r="C392" s="83" t="n"/>
      <c r="D392" s="146" t="n"/>
      <c r="E392" s="146" t="n"/>
      <c r="F392" s="146" t="n"/>
      <c r="G392" s="164">
        <f t="array" ref="G392">IF($F392="","",IFERROR(INDEX(Disponibilidad!$O$6:$O$18,MATCH($F392,Disponibilidad!$B$6:$B$18,0)),"Hogar"))</f>
        <v/>
      </c>
      <c r="H392" s="76" t="n"/>
      <c r="I392" s="57">
        <f>IF($D392="","",IF($C392="Cobro",N($H392),-N($H392)))</f>
        <v/>
      </c>
      <c r="J392" s="141" t="n"/>
      <c r="K392" s="64">
        <f>IF($B392="","",TEXT($B392,"YYYY-MM"))</f>
        <v/>
      </c>
      <c r="L392" s="145" t="n"/>
      <c r="M392" s="145" t="n"/>
      <c r="N392" s="145" t="n"/>
      <c r="O392" s="145" t="n"/>
      <c r="P392" s="145" t="n"/>
      <c r="Q392" s="145" t="n"/>
      <c r="R392" s="145" t="n"/>
      <c r="S392" s="145" t="n"/>
      <c r="T392" s="145" t="n"/>
      <c r="U392" s="1" t="n"/>
      <c r="V392" s="1" t="n"/>
      <c r="W392" s="1" t="n"/>
      <c r="X392" s="1" t="n"/>
      <c r="Y392" s="1" t="n"/>
      <c r="Z392" s="1" t="n"/>
    </row>
    <row r="393" ht="15" customHeight="1" s="311">
      <c r="A393" s="41">
        <f>IF($D393="","",ROW()-5)</f>
        <v/>
      </c>
      <c r="B393" s="144" t="n"/>
      <c r="C393" s="83" t="n"/>
      <c r="D393" s="146" t="n"/>
      <c r="E393" s="146" t="n"/>
      <c r="F393" s="146" t="n"/>
      <c r="G393" s="164">
        <f t="array" ref="G393">IF($F393="","",IFERROR(INDEX(Disponibilidad!$O$6:$O$18,MATCH($F393,Disponibilidad!$B$6:$B$18,0)),"Hogar"))</f>
        <v/>
      </c>
      <c r="H393" s="76" t="n"/>
      <c r="I393" s="57">
        <f>IF($D393="","",IF($C393="Cobro",N($H393),-N($H393)))</f>
        <v/>
      </c>
      <c r="J393" s="141" t="n"/>
      <c r="K393" s="64">
        <f>IF($B393="","",TEXT($B393,"YYYY-MM"))</f>
        <v/>
      </c>
      <c r="L393" s="145" t="n"/>
      <c r="M393" s="145" t="n"/>
      <c r="N393" s="145" t="n"/>
      <c r="O393" s="145" t="n"/>
      <c r="P393" s="145" t="n"/>
      <c r="Q393" s="145" t="n"/>
      <c r="R393" s="145" t="n"/>
      <c r="S393" s="145" t="n"/>
      <c r="T393" s="145" t="n"/>
      <c r="U393" s="1" t="n"/>
      <c r="V393" s="1" t="n"/>
      <c r="W393" s="1" t="n"/>
      <c r="X393" s="1" t="n"/>
      <c r="Y393" s="1" t="n"/>
      <c r="Z393" s="1" t="n"/>
    </row>
    <row r="394" ht="15" customHeight="1" s="311">
      <c r="A394" s="41">
        <f>IF($D394="","",ROW()-5)</f>
        <v/>
      </c>
      <c r="B394" s="144" t="n"/>
      <c r="C394" s="83" t="n"/>
      <c r="D394" s="146" t="n"/>
      <c r="E394" s="146" t="n"/>
      <c r="F394" s="146" t="n"/>
      <c r="G394" s="164">
        <f t="array" ref="G394">IF($F394="","",IFERROR(INDEX(Disponibilidad!$O$6:$O$18,MATCH($F394,Disponibilidad!$B$6:$B$18,0)),"Hogar"))</f>
        <v/>
      </c>
      <c r="H394" s="76" t="n"/>
      <c r="I394" s="57">
        <f>IF($D394="","",IF($C394="Cobro",N($H394),-N($H394)))</f>
        <v/>
      </c>
      <c r="J394" s="141" t="n"/>
      <c r="K394" s="64">
        <f>IF($B394="","",TEXT($B394,"YYYY-MM"))</f>
        <v/>
      </c>
      <c r="L394" s="145" t="n"/>
      <c r="M394" s="145" t="n"/>
      <c r="N394" s="145" t="n"/>
      <c r="O394" s="145" t="n"/>
      <c r="P394" s="145" t="n"/>
      <c r="Q394" s="145" t="n"/>
      <c r="R394" s="145" t="n"/>
      <c r="S394" s="145" t="n"/>
      <c r="T394" s="145" t="n"/>
      <c r="U394" s="1" t="n"/>
      <c r="V394" s="1" t="n"/>
      <c r="W394" s="1" t="n"/>
      <c r="X394" s="1" t="n"/>
      <c r="Y394" s="1" t="n"/>
      <c r="Z394" s="1" t="n"/>
    </row>
    <row r="395" ht="15" customHeight="1" s="311">
      <c r="A395" s="41">
        <f>IF($D395="","",ROW()-5)</f>
        <v/>
      </c>
      <c r="B395" s="144" t="n"/>
      <c r="C395" s="83" t="n"/>
      <c r="D395" s="146" t="n"/>
      <c r="E395" s="146" t="n"/>
      <c r="F395" s="146" t="n"/>
      <c r="G395" s="164">
        <f t="array" ref="G395">IF($F395="","",IFERROR(INDEX(Disponibilidad!$O$6:$O$18,MATCH($F395,Disponibilidad!$B$6:$B$18,0)),"Hogar"))</f>
        <v/>
      </c>
      <c r="H395" s="76" t="n"/>
      <c r="I395" s="57">
        <f>IF($D395="","",IF($C395="Cobro",N($H395),-N($H395)))</f>
        <v/>
      </c>
      <c r="J395" s="141" t="n"/>
      <c r="K395" s="64">
        <f>IF($B395="","",TEXT($B395,"YYYY-MM"))</f>
        <v/>
      </c>
      <c r="L395" s="145" t="n"/>
      <c r="M395" s="145" t="n"/>
      <c r="N395" s="145" t="n"/>
      <c r="O395" s="145" t="n"/>
      <c r="P395" s="145" t="n"/>
      <c r="Q395" s="145" t="n"/>
      <c r="R395" s="145" t="n"/>
      <c r="S395" s="145" t="n"/>
      <c r="T395" s="145" t="n"/>
      <c r="U395" s="1" t="n"/>
      <c r="V395" s="1" t="n"/>
      <c r="W395" s="1" t="n"/>
      <c r="X395" s="1" t="n"/>
      <c r="Y395" s="1" t="n"/>
      <c r="Z395" s="1" t="n"/>
    </row>
    <row r="396" ht="15" customHeight="1" s="311">
      <c r="A396" s="41">
        <f>IF($D396="","",ROW()-5)</f>
        <v/>
      </c>
      <c r="B396" s="144" t="n"/>
      <c r="C396" s="83" t="n"/>
      <c r="D396" s="146" t="n"/>
      <c r="E396" s="146" t="n"/>
      <c r="F396" s="146" t="n"/>
      <c r="G396" s="164">
        <f t="array" ref="G396">IF($F396="","",IFERROR(INDEX(Disponibilidad!$O$6:$O$18,MATCH($F396,Disponibilidad!$B$6:$B$18,0)),"Hogar"))</f>
        <v/>
      </c>
      <c r="H396" s="76" t="n"/>
      <c r="I396" s="57">
        <f>IF($D396="","",IF($C396="Cobro",N($H396),-N($H396)))</f>
        <v/>
      </c>
      <c r="J396" s="141" t="n"/>
      <c r="K396" s="64">
        <f>IF($B396="","",TEXT($B396,"YYYY-MM"))</f>
        <v/>
      </c>
      <c r="L396" s="145" t="n"/>
      <c r="M396" s="145" t="n"/>
      <c r="N396" s="145" t="n"/>
      <c r="O396" s="145" t="n"/>
      <c r="P396" s="145" t="n"/>
      <c r="Q396" s="145" t="n"/>
      <c r="R396" s="145" t="n"/>
      <c r="S396" s="145" t="n"/>
      <c r="T396" s="145" t="n"/>
      <c r="U396" s="1" t="n"/>
      <c r="V396" s="1" t="n"/>
      <c r="W396" s="1" t="n"/>
      <c r="X396" s="1" t="n"/>
      <c r="Y396" s="1" t="n"/>
      <c r="Z396" s="1" t="n"/>
    </row>
    <row r="397" ht="15" customHeight="1" s="311">
      <c r="A397" s="41">
        <f>IF($D397="","",ROW()-5)</f>
        <v/>
      </c>
      <c r="B397" s="144" t="n"/>
      <c r="C397" s="83" t="n"/>
      <c r="D397" s="146" t="n"/>
      <c r="E397" s="146" t="n"/>
      <c r="F397" s="146" t="n"/>
      <c r="G397" s="164">
        <f t="array" ref="G397">IF($F397="","",IFERROR(INDEX(Disponibilidad!$O$6:$O$18,MATCH($F397,Disponibilidad!$B$6:$B$18,0)),"Hogar"))</f>
        <v/>
      </c>
      <c r="H397" s="76" t="n"/>
      <c r="I397" s="57">
        <f>IF($D397="","",IF($C397="Cobro",N($H397),-N($H397)))</f>
        <v/>
      </c>
      <c r="J397" s="141" t="n"/>
      <c r="K397" s="64">
        <f>IF($B397="","",TEXT($B397,"YYYY-MM"))</f>
        <v/>
      </c>
      <c r="L397" s="145" t="n"/>
      <c r="M397" s="145" t="n"/>
      <c r="N397" s="145" t="n"/>
      <c r="O397" s="145" t="n"/>
      <c r="P397" s="145" t="n"/>
      <c r="Q397" s="145" t="n"/>
      <c r="R397" s="145" t="n"/>
      <c r="S397" s="145" t="n"/>
      <c r="T397" s="145" t="n"/>
      <c r="U397" s="1" t="n"/>
      <c r="V397" s="1" t="n"/>
      <c r="W397" s="1" t="n"/>
      <c r="X397" s="1" t="n"/>
      <c r="Y397" s="1" t="n"/>
      <c r="Z397" s="1" t="n"/>
    </row>
    <row r="398" ht="15" customHeight="1" s="311">
      <c r="A398" s="41">
        <f>IF($D398="","",ROW()-5)</f>
        <v/>
      </c>
      <c r="B398" s="144" t="n"/>
      <c r="C398" s="83" t="n"/>
      <c r="D398" s="146" t="n"/>
      <c r="E398" s="146" t="n"/>
      <c r="F398" s="146" t="n"/>
      <c r="G398" s="164">
        <f t="array" ref="G398">IF($F398="","",IFERROR(INDEX(Disponibilidad!$O$6:$O$18,MATCH($F398,Disponibilidad!$B$6:$B$18,0)),"Hogar"))</f>
        <v/>
      </c>
      <c r="H398" s="76" t="n"/>
      <c r="I398" s="57">
        <f>IF($D398="","",IF($C398="Cobro",N($H398),-N($H398)))</f>
        <v/>
      </c>
      <c r="J398" s="141" t="n"/>
      <c r="K398" s="64">
        <f>IF($B398="","",TEXT($B398,"YYYY-MM"))</f>
        <v/>
      </c>
      <c r="L398" s="145" t="n"/>
      <c r="M398" s="145" t="n"/>
      <c r="N398" s="145" t="n"/>
      <c r="O398" s="145" t="n"/>
      <c r="P398" s="145" t="n"/>
      <c r="Q398" s="145" t="n"/>
      <c r="R398" s="145" t="n"/>
      <c r="S398" s="145" t="n"/>
      <c r="T398" s="145" t="n"/>
      <c r="U398" s="1" t="n"/>
      <c r="V398" s="1" t="n"/>
      <c r="W398" s="1" t="n"/>
      <c r="X398" s="1" t="n"/>
      <c r="Y398" s="1" t="n"/>
      <c r="Z398" s="1" t="n"/>
    </row>
    <row r="399" ht="15" customHeight="1" s="311">
      <c r="A399" s="41">
        <f>IF($D399="","",ROW()-5)</f>
        <v/>
      </c>
      <c r="B399" s="144" t="n"/>
      <c r="C399" s="83" t="n"/>
      <c r="D399" s="146" t="n"/>
      <c r="E399" s="146" t="n"/>
      <c r="F399" s="146" t="n"/>
      <c r="G399" s="164">
        <f t="array" ref="G399">IF($F399="","",IFERROR(INDEX(Disponibilidad!$O$6:$O$18,MATCH($F399,Disponibilidad!$B$6:$B$18,0)),"Hogar"))</f>
        <v/>
      </c>
      <c r="H399" s="76" t="n"/>
      <c r="I399" s="57">
        <f>IF($D399="","",IF($C399="Cobro",N($H399),-N($H399)))</f>
        <v/>
      </c>
      <c r="J399" s="141" t="n"/>
      <c r="K399" s="64">
        <f>IF($B399="","",TEXT($B399,"YYYY-MM"))</f>
        <v/>
      </c>
      <c r="L399" s="145" t="n"/>
      <c r="M399" s="145" t="n"/>
      <c r="N399" s="145" t="n"/>
      <c r="O399" s="145" t="n"/>
      <c r="P399" s="145" t="n"/>
      <c r="Q399" s="145" t="n"/>
      <c r="R399" s="145" t="n"/>
      <c r="S399" s="145" t="n"/>
      <c r="T399" s="145" t="n"/>
      <c r="U399" s="1" t="n"/>
      <c r="V399" s="1" t="n"/>
      <c r="W399" s="1" t="n"/>
      <c r="X399" s="1" t="n"/>
      <c r="Y399" s="1" t="n"/>
      <c r="Z399" s="1" t="n"/>
    </row>
    <row r="400" ht="15" customHeight="1" s="311">
      <c r="A400" s="41">
        <f>IF($D400="","",ROW()-5)</f>
        <v/>
      </c>
      <c r="B400" s="144" t="n"/>
      <c r="C400" s="83" t="n"/>
      <c r="D400" s="146" t="n"/>
      <c r="E400" s="146" t="n"/>
      <c r="F400" s="146" t="n"/>
      <c r="G400" s="164">
        <f t="array" ref="G400">IF($F400="","",IFERROR(INDEX(Disponibilidad!$O$6:$O$18,MATCH($F400,Disponibilidad!$B$6:$B$18,0)),"Hogar"))</f>
        <v/>
      </c>
      <c r="H400" s="76" t="n"/>
      <c r="I400" s="57">
        <f>IF($D400="","",IF($C400="Cobro",N($H400),-N($H400)))</f>
        <v/>
      </c>
      <c r="J400" s="141" t="n"/>
      <c r="K400" s="64">
        <f>IF($B400="","",TEXT($B400,"YYYY-MM"))</f>
        <v/>
      </c>
      <c r="L400" s="145" t="n"/>
      <c r="M400" s="145" t="n"/>
      <c r="N400" s="145" t="n"/>
      <c r="O400" s="145" t="n"/>
      <c r="P400" s="145" t="n"/>
      <c r="Q400" s="145" t="n"/>
      <c r="R400" s="145" t="n"/>
      <c r="S400" s="145" t="n"/>
      <c r="T400" s="145" t="n"/>
      <c r="U400" s="1" t="n"/>
      <c r="V400" s="1" t="n"/>
      <c r="W400" s="1" t="n"/>
      <c r="X400" s="1" t="n"/>
      <c r="Y400" s="1" t="n"/>
      <c r="Z400" s="1" t="n"/>
    </row>
    <row r="401" ht="15" customHeight="1" s="311">
      <c r="A401" s="41">
        <f>IF($D401="","",ROW()-5)</f>
        <v/>
      </c>
      <c r="B401" s="144" t="n"/>
      <c r="C401" s="83" t="n"/>
      <c r="D401" s="146" t="n"/>
      <c r="E401" s="146" t="n"/>
      <c r="F401" s="146" t="n"/>
      <c r="G401" s="164">
        <f t="array" ref="G401">IF($F401="","",IFERROR(INDEX(Disponibilidad!$O$6:$O$18,MATCH($F401,Disponibilidad!$B$6:$B$18,0)),"Hogar"))</f>
        <v/>
      </c>
      <c r="H401" s="76" t="n"/>
      <c r="I401" s="57">
        <f>IF($D401="","",IF($C401="Cobro",N($H401),-N($H401)))</f>
        <v/>
      </c>
      <c r="J401" s="141" t="n"/>
      <c r="K401" s="64">
        <f>IF($B401="","",TEXT($B401,"YYYY-MM"))</f>
        <v/>
      </c>
      <c r="L401" s="145" t="n"/>
      <c r="M401" s="145" t="n"/>
      <c r="N401" s="145" t="n"/>
      <c r="O401" s="145" t="n"/>
      <c r="P401" s="145" t="n"/>
      <c r="Q401" s="145" t="n"/>
      <c r="R401" s="145" t="n"/>
      <c r="S401" s="145" t="n"/>
      <c r="T401" s="145" t="n"/>
      <c r="U401" s="1" t="n"/>
      <c r="V401" s="1" t="n"/>
      <c r="W401" s="1" t="n"/>
      <c r="X401" s="1" t="n"/>
      <c r="Y401" s="1" t="n"/>
      <c r="Z401" s="1" t="n"/>
    </row>
    <row r="402" ht="15" customHeight="1" s="311">
      <c r="A402" s="41">
        <f>IF($D402="","",ROW()-5)</f>
        <v/>
      </c>
      <c r="B402" s="144" t="n"/>
      <c r="C402" s="83" t="n"/>
      <c r="D402" s="146" t="n"/>
      <c r="E402" s="146" t="n"/>
      <c r="F402" s="146" t="n"/>
      <c r="G402" s="164">
        <f t="array" ref="G402">IF($F402="","",IFERROR(INDEX(Disponibilidad!$O$6:$O$18,MATCH($F402,Disponibilidad!$B$6:$B$18,0)),"Hogar"))</f>
        <v/>
      </c>
      <c r="H402" s="76" t="n"/>
      <c r="I402" s="57">
        <f>IF($D402="","",IF($C402="Cobro",N($H402),-N($H402)))</f>
        <v/>
      </c>
      <c r="J402" s="141" t="n"/>
      <c r="K402" s="64">
        <f>IF($B402="","",TEXT($B402,"YYYY-MM"))</f>
        <v/>
      </c>
      <c r="L402" s="145" t="n"/>
      <c r="M402" s="145" t="n"/>
      <c r="N402" s="145" t="n"/>
      <c r="O402" s="145" t="n"/>
      <c r="P402" s="145" t="n"/>
      <c r="Q402" s="145" t="n"/>
      <c r="R402" s="145" t="n"/>
      <c r="S402" s="145" t="n"/>
      <c r="T402" s="145" t="n"/>
      <c r="U402" s="1" t="n"/>
      <c r="V402" s="1" t="n"/>
      <c r="W402" s="1" t="n"/>
      <c r="X402" s="1" t="n"/>
      <c r="Y402" s="1" t="n"/>
      <c r="Z402" s="1" t="n"/>
    </row>
    <row r="403" ht="15" customHeight="1" s="311">
      <c r="A403" s="41">
        <f>IF($D403="","",ROW()-5)</f>
        <v/>
      </c>
      <c r="B403" s="144" t="n"/>
      <c r="C403" s="83" t="n"/>
      <c r="D403" s="146" t="n"/>
      <c r="E403" s="146" t="n"/>
      <c r="F403" s="146" t="n"/>
      <c r="G403" s="164">
        <f t="array" ref="G403">IF($F403="","",IFERROR(INDEX(Disponibilidad!$O$6:$O$18,MATCH($F403,Disponibilidad!$B$6:$B$18,0)),"Hogar"))</f>
        <v/>
      </c>
      <c r="H403" s="76" t="n"/>
      <c r="I403" s="57">
        <f>IF($D403="","",IF($C403="Cobro",N($H403),-N($H403)))</f>
        <v/>
      </c>
      <c r="J403" s="141" t="n"/>
      <c r="K403" s="64">
        <f>IF($B403="","",TEXT($B403,"YYYY-MM"))</f>
        <v/>
      </c>
      <c r="L403" s="145" t="n"/>
      <c r="M403" s="145" t="n"/>
      <c r="N403" s="145" t="n"/>
      <c r="O403" s="145" t="n"/>
      <c r="P403" s="145" t="n"/>
      <c r="Q403" s="145" t="n"/>
      <c r="R403" s="145" t="n"/>
      <c r="S403" s="145" t="n"/>
      <c r="T403" s="145" t="n"/>
      <c r="U403" s="1" t="n"/>
      <c r="V403" s="1" t="n"/>
      <c r="W403" s="1" t="n"/>
      <c r="X403" s="1" t="n"/>
      <c r="Y403" s="1" t="n"/>
      <c r="Z403" s="1" t="n"/>
    </row>
    <row r="404" ht="15" customHeight="1" s="311">
      <c r="A404" s="41">
        <f>IF($D404="","",ROW()-5)</f>
        <v/>
      </c>
      <c r="B404" s="144" t="n"/>
      <c r="C404" s="83" t="n"/>
      <c r="D404" s="146" t="n"/>
      <c r="E404" s="146" t="n"/>
      <c r="F404" s="146" t="n"/>
      <c r="G404" s="164">
        <f t="array" ref="G404">IF($F404="","",IFERROR(INDEX(Disponibilidad!$O$6:$O$18,MATCH($F404,Disponibilidad!$B$6:$B$18,0)),"Hogar"))</f>
        <v/>
      </c>
      <c r="H404" s="76" t="n"/>
      <c r="I404" s="57">
        <f>IF($D404="","",IF($C404="Cobro",N($H404),-N($H404)))</f>
        <v/>
      </c>
      <c r="J404" s="141" t="n"/>
      <c r="K404" s="64">
        <f>IF($B404="","",TEXT($B404,"YYYY-MM"))</f>
        <v/>
      </c>
      <c r="L404" s="145" t="n"/>
      <c r="M404" s="145" t="n"/>
      <c r="N404" s="145" t="n"/>
      <c r="O404" s="145" t="n"/>
      <c r="P404" s="145" t="n"/>
      <c r="Q404" s="145" t="n"/>
      <c r="R404" s="145" t="n"/>
      <c r="S404" s="145" t="n"/>
      <c r="T404" s="145" t="n"/>
      <c r="U404" s="1" t="n"/>
      <c r="V404" s="1" t="n"/>
      <c r="W404" s="1" t="n"/>
      <c r="X404" s="1" t="n"/>
      <c r="Y404" s="1" t="n"/>
      <c r="Z404" s="1" t="n"/>
    </row>
    <row r="405" ht="15" customHeight="1" s="311">
      <c r="A405" s="41">
        <f>IF($D405="","",ROW()-5)</f>
        <v/>
      </c>
      <c r="B405" s="144" t="n"/>
      <c r="C405" s="83" t="n"/>
      <c r="D405" s="146" t="n"/>
      <c r="E405" s="146" t="n"/>
      <c r="F405" s="146" t="n"/>
      <c r="G405" s="164">
        <f t="array" ref="G405">IF($F405="","",IFERROR(INDEX(Disponibilidad!$O$6:$O$18,MATCH($F405,Disponibilidad!$B$6:$B$18,0)),"Hogar"))</f>
        <v/>
      </c>
      <c r="H405" s="76" t="n"/>
      <c r="I405" s="57">
        <f>IF($D405="","",IF($C405="Cobro",N($H405),-N($H405)))</f>
        <v/>
      </c>
      <c r="J405" s="141" t="n"/>
      <c r="K405" s="64">
        <f>IF($B405="","",TEXT($B405,"YYYY-MM"))</f>
        <v/>
      </c>
      <c r="L405" s="145" t="n"/>
      <c r="M405" s="145" t="n"/>
      <c r="N405" s="145" t="n"/>
      <c r="O405" s="145" t="n"/>
      <c r="P405" s="145" t="n"/>
      <c r="Q405" s="145" t="n"/>
      <c r="R405" s="145" t="n"/>
      <c r="S405" s="145" t="n"/>
      <c r="T405" s="145" t="n"/>
      <c r="U405" s="1" t="n"/>
      <c r="V405" s="1" t="n"/>
      <c r="W405" s="1" t="n"/>
      <c r="X405" s="1" t="n"/>
      <c r="Y405" s="1" t="n"/>
      <c r="Z405" s="1" t="n"/>
    </row>
    <row r="406" ht="15" customHeight="1" s="311">
      <c r="A406" s="41">
        <f>IF($D406="","",ROW()-5)</f>
        <v/>
      </c>
      <c r="B406" s="144" t="n"/>
      <c r="C406" s="83" t="n"/>
      <c r="D406" s="146" t="n"/>
      <c r="E406" s="146" t="n"/>
      <c r="F406" s="146" t="n"/>
      <c r="G406" s="164">
        <f t="array" ref="G406">IF($F406="","",IFERROR(INDEX(Disponibilidad!$O$6:$O$18,MATCH($F406,Disponibilidad!$B$6:$B$18,0)),"Hogar"))</f>
        <v/>
      </c>
      <c r="H406" s="76" t="n"/>
      <c r="I406" s="57">
        <f>IF($D406="","",IF($C406="Cobro",N($H406),-N($H406)))</f>
        <v/>
      </c>
      <c r="J406" s="141" t="n"/>
      <c r="K406" s="64">
        <f>IF($B406="","",TEXT($B406,"YYYY-MM"))</f>
        <v/>
      </c>
      <c r="L406" s="145" t="n"/>
      <c r="M406" s="145" t="n"/>
      <c r="N406" s="145" t="n"/>
      <c r="O406" s="145" t="n"/>
      <c r="P406" s="145" t="n"/>
      <c r="Q406" s="145" t="n"/>
      <c r="R406" s="145" t="n"/>
      <c r="S406" s="145" t="n"/>
      <c r="T406" s="145" t="n"/>
      <c r="U406" s="1" t="n"/>
      <c r="V406" s="1" t="n"/>
      <c r="W406" s="1" t="n"/>
      <c r="X406" s="1" t="n"/>
      <c r="Y406" s="1" t="n"/>
      <c r="Z406" s="1" t="n"/>
    </row>
    <row r="407" ht="15" customHeight="1" s="311">
      <c r="A407" s="41">
        <f>IF($D407="","",ROW()-5)</f>
        <v/>
      </c>
      <c r="B407" s="144" t="n"/>
      <c r="C407" s="83" t="n"/>
      <c r="D407" s="146" t="n"/>
      <c r="E407" s="146" t="n"/>
      <c r="F407" s="146" t="n"/>
      <c r="G407" s="164">
        <f t="array" ref="G407">IF($F407="","",IFERROR(INDEX(Disponibilidad!$O$6:$O$18,MATCH($F407,Disponibilidad!$B$6:$B$18,0)),"Hogar"))</f>
        <v/>
      </c>
      <c r="H407" s="76" t="n"/>
      <c r="I407" s="57">
        <f>IF($D407="","",IF($C407="Cobro",N($H407),-N($H407)))</f>
        <v/>
      </c>
      <c r="J407" s="141" t="n"/>
      <c r="K407" s="64">
        <f>IF($B407="","",TEXT($B407,"YYYY-MM"))</f>
        <v/>
      </c>
      <c r="L407" s="145" t="n"/>
      <c r="M407" s="1" t="n"/>
      <c r="N407" s="1" t="n"/>
      <c r="O407" s="1" t="n"/>
      <c r="P407" s="1" t="n"/>
      <c r="Q407" s="1" t="n"/>
      <c r="R407" s="1" t="n"/>
      <c r="S407" s="1" t="n"/>
      <c r="T407" s="1" t="n"/>
      <c r="U407" s="1" t="n"/>
      <c r="V407" s="1" t="n"/>
      <c r="W407" s="1" t="n"/>
      <c r="X407" s="1" t="n"/>
      <c r="Y407" s="1" t="n"/>
      <c r="Z407" s="1" t="n"/>
    </row>
    <row r="408" ht="15" customHeight="1" s="311">
      <c r="A408" s="41">
        <f>IF($D408="","",ROW()-5)</f>
        <v/>
      </c>
      <c r="B408" s="144" t="n"/>
      <c r="C408" s="83" t="n"/>
      <c r="D408" s="146" t="n"/>
      <c r="E408" s="146" t="n"/>
      <c r="F408" s="146" t="n"/>
      <c r="G408" s="164">
        <f t="array" ref="G408">IF($F408="","",IFERROR(INDEX(Disponibilidad!$O$6:$O$18,MATCH($F408,Disponibilidad!$B$6:$B$18,0)),"Hogar"))</f>
        <v/>
      </c>
      <c r="H408" s="76" t="n"/>
      <c r="I408" s="57">
        <f>IF($D408="","",IF($C408="Cobro",N($H408),-N($H408)))</f>
        <v/>
      </c>
      <c r="J408" s="141" t="n"/>
      <c r="K408" s="64">
        <f>IF($B408="","",TEXT($B408,"YYYY-MM"))</f>
        <v/>
      </c>
      <c r="L408" s="145" t="n"/>
      <c r="M408" s="1" t="n"/>
      <c r="N408" s="1" t="n"/>
      <c r="O408" s="1" t="n"/>
      <c r="P408" s="1" t="n"/>
      <c r="Q408" s="1" t="n"/>
      <c r="R408" s="1" t="n"/>
      <c r="S408" s="1" t="n"/>
      <c r="T408" s="1" t="n"/>
      <c r="U408" s="1" t="n"/>
      <c r="V408" s="1" t="n"/>
      <c r="W408" s="1" t="n"/>
      <c r="X408" s="1" t="n"/>
      <c r="Y408" s="1" t="n"/>
      <c r="Z408" s="1" t="n"/>
    </row>
    <row r="409" ht="15" customHeight="1" s="311">
      <c r="A409" s="41">
        <f>IF($D409="","",ROW()-5)</f>
        <v/>
      </c>
      <c r="B409" s="144" t="n"/>
      <c r="C409" s="83" t="n"/>
      <c r="D409" s="146" t="n"/>
      <c r="E409" s="146" t="n"/>
      <c r="F409" s="146" t="n"/>
      <c r="G409" s="164">
        <f t="array" ref="G409">IF($F409="","",IFERROR(INDEX(Disponibilidad!$O$6:$O$18,MATCH($F409,Disponibilidad!$B$6:$B$18,0)),"Hogar"))</f>
        <v/>
      </c>
      <c r="H409" s="76" t="n"/>
      <c r="I409" s="57">
        <f>IF($D409="","",IF($C409="Cobro",N($H409),-N($H409)))</f>
        <v/>
      </c>
      <c r="J409" s="141" t="n"/>
      <c r="K409" s="64">
        <f>IF($B409="","",TEXT($B409,"YYYY-MM"))</f>
        <v/>
      </c>
      <c r="L409" s="145" t="n"/>
      <c r="M409" s="1" t="n"/>
      <c r="N409" s="1" t="n"/>
      <c r="O409" s="1" t="n"/>
      <c r="P409" s="1" t="n"/>
      <c r="Q409" s="1" t="n"/>
      <c r="R409" s="1" t="n"/>
      <c r="S409" s="1" t="n"/>
      <c r="T409" s="1" t="n"/>
      <c r="U409" s="1" t="n"/>
      <c r="V409" s="1" t="n"/>
      <c r="W409" s="1" t="n"/>
      <c r="X409" s="1" t="n"/>
      <c r="Y409" s="1" t="n"/>
      <c r="Z409" s="1" t="n"/>
    </row>
    <row r="410" ht="15" customHeight="1" s="311">
      <c r="A410" s="41">
        <f>IF($D410="","",ROW()-5)</f>
        <v/>
      </c>
      <c r="B410" s="144" t="n"/>
      <c r="C410" s="83" t="n"/>
      <c r="D410" s="146" t="n"/>
      <c r="E410" s="146" t="n"/>
      <c r="F410" s="146" t="n"/>
      <c r="G410" s="164">
        <f t="array" ref="G410">IF($F410="","",IFERROR(INDEX(Disponibilidad!$O$6:$O$18,MATCH($F410,Disponibilidad!$B$6:$B$18,0)),"Hogar"))</f>
        <v/>
      </c>
      <c r="H410" s="76" t="n"/>
      <c r="I410" s="57">
        <f>IF($D410="","",IF($C410="Cobro",N($H410),-N($H410)))</f>
        <v/>
      </c>
      <c r="J410" s="141" t="n"/>
      <c r="K410" s="64">
        <f>IF($B410="","",TEXT($B410,"YYYY-MM"))</f>
        <v/>
      </c>
      <c r="L410" s="145" t="n"/>
      <c r="M410" s="1" t="n"/>
      <c r="N410" s="1" t="n"/>
      <c r="O410" s="1" t="n"/>
      <c r="P410" s="1" t="n"/>
      <c r="Q410" s="1" t="n"/>
      <c r="R410" s="1" t="n"/>
      <c r="S410" s="1" t="n"/>
      <c r="T410" s="1" t="n"/>
      <c r="U410" s="1" t="n"/>
      <c r="V410" s="1" t="n"/>
      <c r="W410" s="1" t="n"/>
      <c r="X410" s="1" t="n"/>
      <c r="Y410" s="1" t="n"/>
      <c r="Z410" s="1" t="n"/>
    </row>
    <row r="411" ht="15" customHeight="1" s="311">
      <c r="A411" s="41">
        <f>IF($D411="","",ROW()-5)</f>
        <v/>
      </c>
      <c r="B411" s="144" t="n"/>
      <c r="C411" s="83" t="n"/>
      <c r="D411" s="146" t="n"/>
      <c r="E411" s="146" t="n"/>
      <c r="F411" s="146" t="n"/>
      <c r="G411" s="164">
        <f t="array" ref="G411">IF($F411="","",IFERROR(INDEX(Disponibilidad!$O$6:$O$18,MATCH($F411,Disponibilidad!$B$6:$B$18,0)),"Hogar"))</f>
        <v/>
      </c>
      <c r="H411" s="76" t="n"/>
      <c r="I411" s="57">
        <f>IF($D411="","",IF($C411="Cobro",N($H411),-N($H411)))</f>
        <v/>
      </c>
      <c r="J411" s="141" t="n"/>
      <c r="K411" s="64">
        <f>IF($B411="","",TEXT($B411,"YYYY-MM"))</f>
        <v/>
      </c>
      <c r="L411" s="145" t="n"/>
      <c r="M411" s="1" t="n"/>
      <c r="N411" s="1" t="n"/>
      <c r="O411" s="1" t="n"/>
      <c r="P411" s="1" t="n"/>
      <c r="Q411" s="1" t="n"/>
      <c r="R411" s="1" t="n"/>
      <c r="S411" s="1" t="n"/>
      <c r="T411" s="1" t="n"/>
      <c r="U411" s="1" t="n"/>
      <c r="V411" s="1" t="n"/>
      <c r="W411" s="1" t="n"/>
      <c r="X411" s="1" t="n"/>
      <c r="Y411" s="1" t="n"/>
      <c r="Z411" s="1" t="n"/>
    </row>
    <row r="412" ht="15" customHeight="1" s="311">
      <c r="A412" s="41">
        <f>IF($D412="","",ROW()-5)</f>
        <v/>
      </c>
      <c r="B412" s="144" t="n"/>
      <c r="C412" s="83" t="n"/>
      <c r="D412" s="146" t="n"/>
      <c r="E412" s="146" t="n"/>
      <c r="F412" s="146" t="n"/>
      <c r="G412" s="164">
        <f t="array" ref="G412">IF($F412="","",IFERROR(INDEX(Disponibilidad!$O$6:$O$18,MATCH($F412,Disponibilidad!$B$6:$B$18,0)),"Hogar"))</f>
        <v/>
      </c>
      <c r="H412" s="76" t="n"/>
      <c r="I412" s="57">
        <f>IF($D412="","",IF($C412="Cobro",N($H412),-N($H412)))</f>
        <v/>
      </c>
      <c r="J412" s="141" t="n"/>
      <c r="K412" s="64">
        <f>IF($B412="","",TEXT($B412,"YYYY-MM"))</f>
        <v/>
      </c>
      <c r="L412" s="145" t="n"/>
      <c r="M412" s="1" t="n"/>
      <c r="N412" s="1" t="n"/>
      <c r="O412" s="1" t="n"/>
      <c r="P412" s="1" t="n"/>
      <c r="Q412" s="1" t="n"/>
      <c r="R412" s="1" t="n"/>
      <c r="S412" s="1" t="n"/>
      <c r="T412" s="1" t="n"/>
      <c r="U412" s="1" t="n"/>
      <c r="V412" s="1" t="n"/>
      <c r="W412" s="1" t="n"/>
      <c r="X412" s="1" t="n"/>
      <c r="Y412" s="1" t="n"/>
      <c r="Z412" s="1" t="n"/>
    </row>
    <row r="413" ht="15" customHeight="1" s="311">
      <c r="A413" s="41">
        <f>IF($D413="","",ROW()-5)</f>
        <v/>
      </c>
      <c r="B413" s="144" t="n"/>
      <c r="C413" s="83" t="n"/>
      <c r="D413" s="146" t="n"/>
      <c r="E413" s="146" t="n"/>
      <c r="F413" s="146" t="n"/>
      <c r="G413" s="164">
        <f t="array" ref="G413">IF($F413="","",IFERROR(INDEX(Disponibilidad!$O$6:$O$18,MATCH($F413,Disponibilidad!$B$6:$B$18,0)),"Hogar"))</f>
        <v/>
      </c>
      <c r="H413" s="76" t="n"/>
      <c r="I413" s="57">
        <f>IF($D413="","",IF($C413="Cobro",N($H413),-N($H413)))</f>
        <v/>
      </c>
      <c r="J413" s="141" t="n"/>
      <c r="K413" s="64">
        <f>IF($B413="","",TEXT($B413,"YYYY-MM"))</f>
        <v/>
      </c>
      <c r="L413" s="145" t="n"/>
      <c r="M413" s="1" t="n"/>
      <c r="N413" s="1" t="n"/>
      <c r="O413" s="1" t="n"/>
      <c r="P413" s="1" t="n"/>
      <c r="Q413" s="1" t="n"/>
      <c r="R413" s="1" t="n"/>
      <c r="S413" s="1" t="n"/>
      <c r="T413" s="1" t="n"/>
      <c r="U413" s="1" t="n"/>
      <c r="V413" s="1" t="n"/>
      <c r="W413" s="1" t="n"/>
      <c r="X413" s="1" t="n"/>
      <c r="Y413" s="1" t="n"/>
      <c r="Z413" s="1" t="n"/>
    </row>
    <row r="414" ht="15" customHeight="1" s="311">
      <c r="A414" s="41">
        <f>IF($D414="","",ROW()-5)</f>
        <v/>
      </c>
      <c r="B414" s="144" t="n"/>
      <c r="C414" s="83" t="n"/>
      <c r="D414" s="146" t="n"/>
      <c r="E414" s="146" t="n"/>
      <c r="F414" s="146" t="n"/>
      <c r="G414" s="164">
        <f t="array" ref="G414">IF($F414="","",IFERROR(INDEX(Disponibilidad!$O$6:$O$18,MATCH($F414,Disponibilidad!$B$6:$B$18,0)),"Hogar"))</f>
        <v/>
      </c>
      <c r="H414" s="76" t="n"/>
      <c r="I414" s="57">
        <f>IF($D414="","",IF($C414="Cobro",N($H414),-N($H414)))</f>
        <v/>
      </c>
      <c r="J414" s="141" t="n"/>
      <c r="K414" s="64">
        <f>IF($B414="","",TEXT($B414,"YYYY-MM"))</f>
        <v/>
      </c>
      <c r="L414" s="145" t="n"/>
      <c r="M414" s="1" t="n"/>
      <c r="N414" s="1" t="n"/>
      <c r="O414" s="1" t="n"/>
      <c r="P414" s="1" t="n"/>
      <c r="Q414" s="1" t="n"/>
      <c r="R414" s="1" t="n"/>
      <c r="S414" s="1" t="n"/>
      <c r="T414" s="1" t="n"/>
      <c r="U414" s="1" t="n"/>
      <c r="V414" s="1" t="n"/>
      <c r="W414" s="1" t="n"/>
      <c r="X414" s="1" t="n"/>
      <c r="Y414" s="1" t="n"/>
      <c r="Z414" s="1" t="n"/>
    </row>
    <row r="415" ht="15" customHeight="1" s="311">
      <c r="A415" s="41">
        <f>IF($D415="","",ROW()-5)</f>
        <v/>
      </c>
      <c r="B415" s="144" t="n"/>
      <c r="C415" s="83" t="n"/>
      <c r="D415" s="146" t="n"/>
      <c r="E415" s="146" t="n"/>
      <c r="F415" s="146" t="n"/>
      <c r="G415" s="164">
        <f t="array" ref="G415">IF($F415="","",IFERROR(INDEX(Disponibilidad!$O$6:$O$18,MATCH($F415,Disponibilidad!$B$6:$B$18,0)),"Hogar"))</f>
        <v/>
      </c>
      <c r="H415" s="76" t="n"/>
      <c r="I415" s="57">
        <f>IF($D415="","",IF($C415="Cobro",N($H415),-N($H415)))</f>
        <v/>
      </c>
      <c r="J415" s="141" t="n"/>
      <c r="K415" s="64">
        <f>IF($B415="","",TEXT($B415,"YYYY-MM"))</f>
        <v/>
      </c>
      <c r="L415" s="145" t="n"/>
      <c r="M415" s="1" t="n"/>
      <c r="N415" s="1" t="n"/>
      <c r="O415" s="1" t="n"/>
      <c r="P415" s="1" t="n"/>
      <c r="Q415" s="1" t="n"/>
      <c r="R415" s="1" t="n"/>
      <c r="S415" s="1" t="n"/>
      <c r="T415" s="1" t="n"/>
      <c r="U415" s="1" t="n"/>
      <c r="V415" s="1" t="n"/>
      <c r="W415" s="1" t="n"/>
      <c r="X415" s="1" t="n"/>
      <c r="Y415" s="1" t="n"/>
      <c r="Z415" s="1" t="n"/>
    </row>
    <row r="416" ht="15" customHeight="1" s="311">
      <c r="A416" s="41">
        <f>IF($D416="","",ROW()-5)</f>
        <v/>
      </c>
      <c r="B416" s="144" t="n"/>
      <c r="C416" s="83" t="n"/>
      <c r="D416" s="146" t="n"/>
      <c r="E416" s="146" t="n"/>
      <c r="F416" s="146" t="n"/>
      <c r="G416" s="164">
        <f t="array" ref="G416">IF($F416="","",IFERROR(INDEX(Disponibilidad!$O$6:$O$18,MATCH($F416,Disponibilidad!$B$6:$B$18,0)),"Hogar"))</f>
        <v/>
      </c>
      <c r="H416" s="76" t="n"/>
      <c r="I416" s="57">
        <f>IF($D416="","",IF($C416="Cobro",N($H416),-N($H416)))</f>
        <v/>
      </c>
      <c r="J416" s="141" t="n"/>
      <c r="K416" s="64">
        <f>IF($B416="","",TEXT($B416,"YYYY-MM"))</f>
        <v/>
      </c>
      <c r="L416" s="145" t="n"/>
      <c r="M416" s="1" t="n"/>
      <c r="N416" s="1" t="n"/>
      <c r="O416" s="1" t="n"/>
      <c r="P416" s="1" t="n"/>
      <c r="Q416" s="1" t="n"/>
      <c r="R416" s="1" t="n"/>
      <c r="S416" s="1" t="n"/>
      <c r="T416" s="1" t="n"/>
      <c r="U416" s="1" t="n"/>
      <c r="V416" s="1" t="n"/>
      <c r="W416" s="1" t="n"/>
      <c r="X416" s="1" t="n"/>
      <c r="Y416" s="1" t="n"/>
      <c r="Z416" s="1" t="n"/>
    </row>
    <row r="417" ht="15" customHeight="1" s="311">
      <c r="A417" s="41">
        <f>IF($D417="","",ROW()-5)</f>
        <v/>
      </c>
      <c r="B417" s="144" t="n"/>
      <c r="C417" s="83" t="n"/>
      <c r="D417" s="146" t="n"/>
      <c r="E417" s="146" t="n"/>
      <c r="F417" s="146" t="n"/>
      <c r="G417" s="164">
        <f t="array" ref="G417">IF($F417="","",IFERROR(INDEX(Disponibilidad!$O$6:$O$18,MATCH($F417,Disponibilidad!$B$6:$B$18,0)),"Hogar"))</f>
        <v/>
      </c>
      <c r="H417" s="76" t="n"/>
      <c r="I417" s="57">
        <f>IF($D417="","",IF($C417="Cobro",N($H417),-N($H417)))</f>
        <v/>
      </c>
      <c r="J417" s="141" t="n"/>
      <c r="K417" s="64">
        <f>IF($B417="","",TEXT($B417,"YYYY-MM"))</f>
        <v/>
      </c>
      <c r="L417" s="145" t="n"/>
      <c r="M417" s="1" t="n"/>
      <c r="N417" s="1" t="n"/>
      <c r="O417" s="1" t="n"/>
      <c r="P417" s="1" t="n"/>
      <c r="Q417" s="1" t="n"/>
      <c r="R417" s="1" t="n"/>
      <c r="S417" s="1" t="n"/>
      <c r="T417" s="1" t="n"/>
      <c r="U417" s="1" t="n"/>
      <c r="V417" s="1" t="n"/>
      <c r="W417" s="1" t="n"/>
      <c r="X417" s="1" t="n"/>
      <c r="Y417" s="1" t="n"/>
      <c r="Z417" s="1" t="n"/>
    </row>
    <row r="418" ht="15" customHeight="1" s="311">
      <c r="A418" s="41">
        <f>IF($D418="","",ROW()-5)</f>
        <v/>
      </c>
      <c r="B418" s="144" t="n"/>
      <c r="C418" s="83" t="n"/>
      <c r="D418" s="146" t="n"/>
      <c r="E418" s="146" t="n"/>
      <c r="F418" s="146" t="n"/>
      <c r="G418" s="164">
        <f t="array" ref="G418">IF($F418="","",IFERROR(INDEX(Disponibilidad!$O$6:$O$18,MATCH($F418,Disponibilidad!$B$6:$B$18,0)),"Hogar"))</f>
        <v/>
      </c>
      <c r="H418" s="76" t="n"/>
      <c r="I418" s="57">
        <f>IF($D418="","",IF($C418="Cobro",N($H418),-N($H418)))</f>
        <v/>
      </c>
      <c r="J418" s="141" t="n"/>
      <c r="K418" s="64">
        <f>IF($B418="","",TEXT($B418,"YYYY-MM"))</f>
        <v/>
      </c>
      <c r="L418" s="145" t="n"/>
      <c r="M418" s="1" t="n"/>
      <c r="N418" s="1" t="n"/>
      <c r="O418" s="1" t="n"/>
      <c r="P418" s="1" t="n"/>
      <c r="Q418" s="1" t="n"/>
      <c r="R418" s="1" t="n"/>
      <c r="S418" s="1" t="n"/>
      <c r="T418" s="1" t="n"/>
      <c r="U418" s="1" t="n"/>
      <c r="V418" s="1" t="n"/>
      <c r="W418" s="1" t="n"/>
      <c r="X418" s="1" t="n"/>
      <c r="Y418" s="1" t="n"/>
      <c r="Z418" s="1" t="n"/>
    </row>
    <row r="419" ht="15" customHeight="1" s="311">
      <c r="A419" s="41">
        <f>IF($D419="","",ROW()-5)</f>
        <v/>
      </c>
      <c r="B419" s="144" t="n"/>
      <c r="C419" s="83" t="n"/>
      <c r="D419" s="146" t="n"/>
      <c r="E419" s="146" t="n"/>
      <c r="F419" s="146" t="n"/>
      <c r="G419" s="164">
        <f t="array" ref="G419">IF($F419="","",IFERROR(INDEX(Disponibilidad!$O$6:$O$18,MATCH($F419,Disponibilidad!$B$6:$B$18,0)),"Hogar"))</f>
        <v/>
      </c>
      <c r="H419" s="76" t="n"/>
      <c r="I419" s="57">
        <f>IF($D419="","",IF($C419="Cobro",N($H419),-N($H419)))</f>
        <v/>
      </c>
      <c r="J419" s="141" t="n"/>
      <c r="K419" s="64">
        <f>IF($B419="","",TEXT($B419,"YYYY-MM"))</f>
        <v/>
      </c>
      <c r="L419" s="145" t="n"/>
      <c r="M419" s="1" t="n"/>
      <c r="N419" s="1" t="n"/>
      <c r="O419" s="1" t="n"/>
      <c r="P419" s="1" t="n"/>
      <c r="Q419" s="1" t="n"/>
      <c r="R419" s="1" t="n"/>
      <c r="S419" s="1" t="n"/>
      <c r="T419" s="1" t="n"/>
      <c r="U419" s="1" t="n"/>
      <c r="V419" s="1" t="n"/>
      <c r="W419" s="1" t="n"/>
      <c r="X419" s="1" t="n"/>
      <c r="Y419" s="1" t="n"/>
      <c r="Z419" s="1" t="n"/>
    </row>
    <row r="420" ht="15" customHeight="1" s="311">
      <c r="A420" s="41">
        <f>IF($D420="","",ROW()-5)</f>
        <v/>
      </c>
      <c r="B420" s="144" t="n"/>
      <c r="C420" s="83" t="n"/>
      <c r="D420" s="146" t="n"/>
      <c r="E420" s="146" t="n"/>
      <c r="F420" s="146" t="n"/>
      <c r="G420" s="164">
        <f t="array" ref="G420">IF($F420="","",IFERROR(INDEX(Disponibilidad!$O$6:$O$18,MATCH($F420,Disponibilidad!$B$6:$B$18,0)),"Hogar"))</f>
        <v/>
      </c>
      <c r="H420" s="76" t="n"/>
      <c r="I420" s="57">
        <f>IF($D420="","",IF($C420="Cobro",N($H420),-N($H420)))</f>
        <v/>
      </c>
      <c r="J420" s="141" t="n"/>
      <c r="K420" s="64">
        <f>IF($B420="","",TEXT($B420,"YYYY-MM"))</f>
        <v/>
      </c>
      <c r="L420" s="145" t="n"/>
      <c r="M420" s="1" t="n"/>
      <c r="N420" s="1" t="n"/>
      <c r="O420" s="1" t="n"/>
      <c r="P420" s="1" t="n"/>
      <c r="Q420" s="1" t="n"/>
      <c r="R420" s="1" t="n"/>
      <c r="S420" s="1" t="n"/>
      <c r="T420" s="1" t="n"/>
      <c r="U420" s="1" t="n"/>
      <c r="V420" s="1" t="n"/>
      <c r="W420" s="1" t="n"/>
      <c r="X420" s="1" t="n"/>
      <c r="Y420" s="1" t="n"/>
      <c r="Z420" s="1" t="n"/>
    </row>
    <row r="421" ht="15" customHeight="1" s="311">
      <c r="A421" s="41">
        <f>IF($D421="","",ROW()-5)</f>
        <v/>
      </c>
      <c r="B421" s="144" t="n"/>
      <c r="C421" s="83" t="n"/>
      <c r="D421" s="146" t="n"/>
      <c r="E421" s="146" t="n"/>
      <c r="F421" s="146" t="n"/>
      <c r="G421" s="164">
        <f t="array" ref="G421">IF($F421="","",IFERROR(INDEX(Disponibilidad!$O$6:$O$18,MATCH($F421,Disponibilidad!$B$6:$B$18,0)),"Hogar"))</f>
        <v/>
      </c>
      <c r="H421" s="76" t="n"/>
      <c r="I421" s="57">
        <f>IF($D421="","",IF($C421="Cobro",N($H421),-N($H421)))</f>
        <v/>
      </c>
      <c r="J421" s="141" t="n"/>
      <c r="K421" s="64">
        <f>IF($B421="","",TEXT($B421,"YYYY-MM"))</f>
        <v/>
      </c>
      <c r="L421" s="145" t="n"/>
      <c r="M421" s="1" t="n"/>
      <c r="N421" s="1" t="n"/>
      <c r="O421" s="1" t="n"/>
      <c r="P421" s="1" t="n"/>
      <c r="Q421" s="1" t="n"/>
      <c r="R421" s="1" t="n"/>
      <c r="S421" s="1" t="n"/>
      <c r="T421" s="1" t="n"/>
      <c r="U421" s="1" t="n"/>
      <c r="V421" s="1" t="n"/>
      <c r="W421" s="1" t="n"/>
      <c r="X421" s="1" t="n"/>
      <c r="Y421" s="1" t="n"/>
      <c r="Z421" s="1" t="n"/>
    </row>
    <row r="422" ht="15" customHeight="1" s="311">
      <c r="A422" s="41">
        <f>IF($D422="","",ROW()-5)</f>
        <v/>
      </c>
      <c r="B422" s="144" t="n"/>
      <c r="C422" s="83" t="n"/>
      <c r="D422" s="146" t="n"/>
      <c r="E422" s="146" t="n"/>
      <c r="F422" s="146" t="n"/>
      <c r="G422" s="164">
        <f t="array" ref="G422">IF($F422="","",IFERROR(INDEX(Disponibilidad!$O$6:$O$18,MATCH($F422,Disponibilidad!$B$6:$B$18,0)),"Hogar"))</f>
        <v/>
      </c>
      <c r="H422" s="76" t="n"/>
      <c r="I422" s="57">
        <f>IF($D422="","",IF($C422="Cobro",N($H422),-N($H422)))</f>
        <v/>
      </c>
      <c r="J422" s="141" t="n"/>
      <c r="K422" s="64">
        <f>IF($B422="","",TEXT($B422,"YYYY-MM"))</f>
        <v/>
      </c>
      <c r="L422" s="145" t="n"/>
      <c r="M422" s="1" t="n"/>
      <c r="N422" s="1" t="n"/>
      <c r="O422" s="1" t="n"/>
      <c r="P422" s="1" t="n"/>
      <c r="Q422" s="1" t="n"/>
      <c r="R422" s="1" t="n"/>
      <c r="S422" s="1" t="n"/>
      <c r="T422" s="1" t="n"/>
      <c r="U422" s="1" t="n"/>
      <c r="V422" s="1" t="n"/>
      <c r="W422" s="1" t="n"/>
      <c r="X422" s="1" t="n"/>
      <c r="Y422" s="1" t="n"/>
      <c r="Z422" s="1" t="n"/>
    </row>
    <row r="423" ht="15" customHeight="1" s="311">
      <c r="A423" s="41">
        <f>IF($D423="","",ROW()-5)</f>
        <v/>
      </c>
      <c r="B423" s="144" t="n"/>
      <c r="C423" s="83" t="n"/>
      <c r="D423" s="146" t="n"/>
      <c r="E423" s="146" t="n"/>
      <c r="F423" s="146" t="n"/>
      <c r="G423" s="164">
        <f t="array" ref="G423">IF($F423="","",IFERROR(INDEX(Disponibilidad!$O$6:$O$18,MATCH($F423,Disponibilidad!$B$6:$B$18,0)),"Hogar"))</f>
        <v/>
      </c>
      <c r="H423" s="76" t="n"/>
      <c r="I423" s="57">
        <f>IF($D423="","",IF($C423="Cobro",N($H423),-N($H423)))</f>
        <v/>
      </c>
      <c r="J423" s="141" t="n"/>
      <c r="K423" s="64">
        <f>IF($B423="","",TEXT($B423,"YYYY-MM"))</f>
        <v/>
      </c>
      <c r="L423" s="145" t="n"/>
      <c r="M423" s="1" t="n"/>
      <c r="N423" s="1" t="n"/>
      <c r="O423" s="1" t="n"/>
      <c r="P423" s="1" t="n"/>
      <c r="Q423" s="1" t="n"/>
      <c r="R423" s="1" t="n"/>
      <c r="S423" s="1" t="n"/>
      <c r="T423" s="1" t="n"/>
      <c r="U423" s="1" t="n"/>
      <c r="V423" s="1" t="n"/>
      <c r="W423" s="1" t="n"/>
      <c r="X423" s="1" t="n"/>
      <c r="Y423" s="1" t="n"/>
      <c r="Z423" s="1" t="n"/>
    </row>
    <row r="424" ht="15" customHeight="1" s="311">
      <c r="A424" s="41">
        <f>IF($D424="","",ROW()-5)</f>
        <v/>
      </c>
      <c r="B424" s="144" t="n"/>
      <c r="C424" s="83" t="n"/>
      <c r="D424" s="146" t="n"/>
      <c r="E424" s="146" t="n"/>
      <c r="F424" s="146" t="n"/>
      <c r="G424" s="164">
        <f t="array" ref="G424">IF($F424="","",IFERROR(INDEX(Disponibilidad!$O$6:$O$18,MATCH($F424,Disponibilidad!$B$6:$B$18,0)),"Hogar"))</f>
        <v/>
      </c>
      <c r="H424" s="76" t="n"/>
      <c r="I424" s="57">
        <f>IF($D424="","",IF($C424="Cobro",N($H424),-N($H424)))</f>
        <v/>
      </c>
      <c r="J424" s="141" t="n"/>
      <c r="K424" s="64">
        <f>IF($B424="","",TEXT($B424,"YYYY-MM"))</f>
        <v/>
      </c>
      <c r="L424" s="145" t="n"/>
      <c r="M424" s="1" t="n"/>
      <c r="N424" s="1" t="n"/>
      <c r="O424" s="1" t="n"/>
      <c r="P424" s="1" t="n"/>
      <c r="Q424" s="1" t="n"/>
      <c r="R424" s="1" t="n"/>
      <c r="S424" s="1" t="n"/>
      <c r="T424" s="1" t="n"/>
      <c r="U424" s="1" t="n"/>
      <c r="V424" s="1" t="n"/>
      <c r="W424" s="1" t="n"/>
      <c r="X424" s="1" t="n"/>
      <c r="Y424" s="1" t="n"/>
      <c r="Z424" s="1" t="n"/>
    </row>
    <row r="425" ht="15" customHeight="1" s="311">
      <c r="A425" s="41">
        <f>IF($D425="","",ROW()-5)</f>
        <v/>
      </c>
      <c r="B425" s="144" t="n"/>
      <c r="C425" s="83" t="n"/>
      <c r="D425" s="146" t="n"/>
      <c r="E425" s="146" t="n"/>
      <c r="F425" s="146" t="n"/>
      <c r="G425" s="164">
        <f t="array" ref="G425">IF($F425="","",IFERROR(INDEX(Disponibilidad!$O$6:$O$18,MATCH($F425,Disponibilidad!$B$6:$B$18,0)),"Hogar"))</f>
        <v/>
      </c>
      <c r="H425" s="76" t="n"/>
      <c r="I425" s="57">
        <f>IF($D425="","",IF($C425="Cobro",N($H425),-N($H425)))</f>
        <v/>
      </c>
      <c r="J425" s="141" t="n"/>
      <c r="K425" s="64">
        <f>IF($B425="","",TEXT($B425,"YYYY-MM"))</f>
        <v/>
      </c>
      <c r="L425" s="145" t="n"/>
      <c r="M425" s="1" t="n"/>
      <c r="N425" s="1" t="n"/>
      <c r="O425" s="1" t="n"/>
      <c r="P425" s="1" t="n"/>
      <c r="Q425" s="1" t="n"/>
      <c r="R425" s="1" t="n"/>
      <c r="S425" s="1" t="n"/>
      <c r="T425" s="1" t="n"/>
      <c r="U425" s="1" t="n"/>
      <c r="V425" s="1" t="n"/>
      <c r="W425" s="1" t="n"/>
      <c r="X425" s="1" t="n"/>
      <c r="Y425" s="1" t="n"/>
      <c r="Z425" s="1" t="n"/>
    </row>
    <row r="426" ht="15" customHeight="1" s="311">
      <c r="A426" s="41">
        <f>IF($D426="","",ROW()-5)</f>
        <v/>
      </c>
      <c r="B426" s="144" t="n"/>
      <c r="C426" s="83" t="n"/>
      <c r="D426" s="146" t="n"/>
      <c r="E426" s="146" t="n"/>
      <c r="F426" s="146" t="n"/>
      <c r="G426" s="164">
        <f t="array" ref="G426">IF($F426="","",IFERROR(INDEX(Disponibilidad!$O$6:$O$18,MATCH($F426,Disponibilidad!$B$6:$B$18,0)),"Hogar"))</f>
        <v/>
      </c>
      <c r="H426" s="76" t="n"/>
      <c r="I426" s="57">
        <f>IF($D426="","",IF($C426="Cobro",N($H426),-N($H426)))</f>
        <v/>
      </c>
      <c r="J426" s="141" t="n"/>
      <c r="K426" s="64">
        <f>IF($B426="","",TEXT($B426,"YYYY-MM"))</f>
        <v/>
      </c>
      <c r="L426" s="145" t="n"/>
      <c r="M426" s="1" t="n"/>
      <c r="N426" s="1" t="n"/>
      <c r="O426" s="1" t="n"/>
      <c r="P426" s="1" t="n"/>
      <c r="Q426" s="1" t="n"/>
      <c r="R426" s="1" t="n"/>
      <c r="S426" s="1" t="n"/>
      <c r="T426" s="1" t="n"/>
      <c r="U426" s="1" t="n"/>
      <c r="V426" s="1" t="n"/>
      <c r="W426" s="1" t="n"/>
      <c r="X426" s="1" t="n"/>
      <c r="Y426" s="1" t="n"/>
      <c r="Z426" s="1" t="n"/>
    </row>
    <row r="427" ht="15" customHeight="1" s="311">
      <c r="A427" s="41">
        <f>IF($D427="","",ROW()-5)</f>
        <v/>
      </c>
      <c r="B427" s="144" t="n"/>
      <c r="C427" s="83" t="n"/>
      <c r="D427" s="146" t="n"/>
      <c r="E427" s="146" t="n"/>
      <c r="F427" s="146" t="n"/>
      <c r="G427" s="164">
        <f t="array" ref="G427">IF($F427="","",IFERROR(INDEX(Disponibilidad!$O$6:$O$18,MATCH($F427,Disponibilidad!$B$6:$B$18,0)),"Hogar"))</f>
        <v/>
      </c>
      <c r="H427" s="76" t="n"/>
      <c r="I427" s="57">
        <f>IF($D427="","",IF($C427="Cobro",N($H427),-N($H427)))</f>
        <v/>
      </c>
      <c r="J427" s="141" t="n"/>
      <c r="K427" s="64">
        <f>IF($B427="","",TEXT($B427,"YYYY-MM"))</f>
        <v/>
      </c>
      <c r="L427" s="145" t="n"/>
      <c r="M427" s="1" t="n"/>
      <c r="N427" s="1" t="n"/>
      <c r="O427" s="1" t="n"/>
      <c r="P427" s="1" t="n"/>
      <c r="Q427" s="1" t="n"/>
      <c r="R427" s="1" t="n"/>
      <c r="S427" s="1" t="n"/>
      <c r="T427" s="1" t="n"/>
      <c r="U427" s="1" t="n"/>
      <c r="V427" s="1" t="n"/>
      <c r="W427" s="1" t="n"/>
      <c r="X427" s="1" t="n"/>
      <c r="Y427" s="1" t="n"/>
      <c r="Z427" s="1" t="n"/>
    </row>
    <row r="428" ht="15" customHeight="1" s="311">
      <c r="A428" s="41">
        <f>IF($D428="","",ROW()-5)</f>
        <v/>
      </c>
      <c r="B428" s="144" t="n"/>
      <c r="C428" s="83" t="n"/>
      <c r="D428" s="146" t="n"/>
      <c r="E428" s="146" t="n"/>
      <c r="F428" s="146" t="n"/>
      <c r="G428" s="164">
        <f t="array" ref="G428">IF($F428="","",IFERROR(INDEX(Disponibilidad!$O$6:$O$18,MATCH($F428,Disponibilidad!$B$6:$B$18,0)),"Hogar"))</f>
        <v/>
      </c>
      <c r="H428" s="76" t="n"/>
      <c r="I428" s="57">
        <f>IF($D428="","",IF($C428="Cobro",N($H428),-N($H428)))</f>
        <v/>
      </c>
      <c r="J428" s="141" t="n"/>
      <c r="K428" s="64">
        <f>IF($B428="","",TEXT($B428,"YYYY-MM"))</f>
        <v/>
      </c>
      <c r="L428" s="145" t="n"/>
      <c r="M428" s="1" t="n"/>
      <c r="N428" s="1" t="n"/>
      <c r="O428" s="1" t="n"/>
      <c r="P428" s="1" t="n"/>
      <c r="Q428" s="1" t="n"/>
      <c r="R428" s="1" t="n"/>
      <c r="S428" s="1" t="n"/>
      <c r="T428" s="1" t="n"/>
      <c r="U428" s="1" t="n"/>
      <c r="V428" s="1" t="n"/>
      <c r="W428" s="1" t="n"/>
      <c r="X428" s="1" t="n"/>
      <c r="Y428" s="1" t="n"/>
      <c r="Z428" s="1" t="n"/>
    </row>
    <row r="429" ht="15" customHeight="1" s="311">
      <c r="A429" s="41">
        <f>IF($D429="","",ROW()-5)</f>
        <v/>
      </c>
      <c r="B429" s="144" t="n"/>
      <c r="C429" s="83" t="n"/>
      <c r="D429" s="146" t="n"/>
      <c r="E429" s="146" t="n"/>
      <c r="F429" s="146" t="n"/>
      <c r="G429" s="164">
        <f t="array" ref="G429">IF($F429="","",IFERROR(INDEX(Disponibilidad!$O$6:$O$18,MATCH($F429,Disponibilidad!$B$6:$B$18,0)),"Hogar"))</f>
        <v/>
      </c>
      <c r="H429" s="76" t="n"/>
      <c r="I429" s="57">
        <f>IF($D429="","",IF($C429="Cobro",N($H429),-N($H429)))</f>
        <v/>
      </c>
      <c r="J429" s="141" t="n"/>
      <c r="K429" s="64">
        <f>IF($B429="","",TEXT($B429,"YYYY-MM"))</f>
        <v/>
      </c>
      <c r="L429" s="145" t="n"/>
      <c r="M429" s="1" t="n"/>
      <c r="N429" s="1" t="n"/>
      <c r="O429" s="1" t="n"/>
      <c r="P429" s="1" t="n"/>
      <c r="Q429" s="1" t="n"/>
      <c r="R429" s="1" t="n"/>
      <c r="S429" s="1" t="n"/>
      <c r="T429" s="1" t="n"/>
      <c r="U429" s="1" t="n"/>
      <c r="V429" s="1" t="n"/>
      <c r="W429" s="1" t="n"/>
      <c r="X429" s="1" t="n"/>
      <c r="Y429" s="1" t="n"/>
      <c r="Z429" s="1" t="n"/>
    </row>
    <row r="430" ht="15" customHeight="1" s="311">
      <c r="A430" s="41">
        <f>IF($D430="","",ROW()-5)</f>
        <v/>
      </c>
      <c r="B430" s="144" t="n"/>
      <c r="C430" s="83" t="n"/>
      <c r="D430" s="146" t="n"/>
      <c r="E430" s="146" t="n"/>
      <c r="F430" s="146" t="n"/>
      <c r="G430" s="164">
        <f t="array" ref="G430">IF($F430="","",IFERROR(INDEX(Disponibilidad!$O$6:$O$18,MATCH($F430,Disponibilidad!$B$6:$B$18,0)),"Hogar"))</f>
        <v/>
      </c>
      <c r="H430" s="76" t="n"/>
      <c r="I430" s="57">
        <f>IF($D430="","",IF($C430="Cobro",N($H430),-N($H430)))</f>
        <v/>
      </c>
      <c r="J430" s="141" t="n"/>
      <c r="K430" s="64">
        <f>IF($B430="","",TEXT($B430,"YYYY-MM"))</f>
        <v/>
      </c>
      <c r="L430" s="145" t="n"/>
      <c r="M430" s="1" t="n"/>
      <c r="N430" s="1" t="n"/>
      <c r="O430" s="1" t="n"/>
      <c r="P430" s="1" t="n"/>
      <c r="Q430" s="1" t="n"/>
      <c r="R430" s="1" t="n"/>
      <c r="S430" s="1" t="n"/>
      <c r="T430" s="1" t="n"/>
      <c r="U430" s="1" t="n"/>
      <c r="V430" s="1" t="n"/>
      <c r="W430" s="1" t="n"/>
      <c r="X430" s="1" t="n"/>
      <c r="Y430" s="1" t="n"/>
      <c r="Z430" s="1" t="n"/>
    </row>
    <row r="431" ht="15" customHeight="1" s="311">
      <c r="A431" s="41">
        <f>IF($D431="","",ROW()-5)</f>
        <v/>
      </c>
      <c r="B431" s="144" t="n"/>
      <c r="C431" s="83" t="n"/>
      <c r="D431" s="146" t="n"/>
      <c r="E431" s="146" t="n"/>
      <c r="F431" s="146" t="n"/>
      <c r="G431" s="164">
        <f t="array" ref="G431">IF($F431="","",IFERROR(INDEX(Disponibilidad!$O$6:$O$18,MATCH($F431,Disponibilidad!$B$6:$B$18,0)),"Hogar"))</f>
        <v/>
      </c>
      <c r="H431" s="76" t="n"/>
      <c r="I431" s="57">
        <f>IF($D431="","",IF($C431="Cobro",N($H431),-N($H431)))</f>
        <v/>
      </c>
      <c r="J431" s="141" t="n"/>
      <c r="K431" s="64">
        <f>IF($B431="","",TEXT($B431,"YYYY-MM"))</f>
        <v/>
      </c>
      <c r="L431" s="145" t="n"/>
      <c r="M431" s="1" t="n"/>
      <c r="N431" s="1" t="n"/>
      <c r="O431" s="1" t="n"/>
      <c r="P431" s="1" t="n"/>
      <c r="Q431" s="1" t="n"/>
      <c r="R431" s="1" t="n"/>
      <c r="S431" s="1" t="n"/>
      <c r="T431" s="1" t="n"/>
      <c r="U431" s="1" t="n"/>
      <c r="V431" s="1" t="n"/>
      <c r="W431" s="1" t="n"/>
      <c r="X431" s="1" t="n"/>
      <c r="Y431" s="1" t="n"/>
      <c r="Z431" s="1" t="n"/>
    </row>
    <row r="432" ht="15" customHeight="1" s="311">
      <c r="A432" s="41">
        <f>IF($D432="","",ROW()-5)</f>
        <v/>
      </c>
      <c r="B432" s="144" t="n"/>
      <c r="C432" s="83" t="n"/>
      <c r="D432" s="146" t="n"/>
      <c r="E432" s="146" t="n"/>
      <c r="F432" s="146" t="n"/>
      <c r="G432" s="164">
        <f t="array" ref="G432">IF($F432="","",IFERROR(INDEX(Disponibilidad!$O$6:$O$18,MATCH($F432,Disponibilidad!$B$6:$B$18,0)),"Hogar"))</f>
        <v/>
      </c>
      <c r="H432" s="76" t="n"/>
      <c r="I432" s="57">
        <f>IF($D432="","",IF($C432="Cobro",N($H432),-N($H432)))</f>
        <v/>
      </c>
      <c r="J432" s="141" t="n"/>
      <c r="K432" s="64">
        <f>IF($B432="","",TEXT($B432,"YYYY-MM"))</f>
        <v/>
      </c>
      <c r="L432" s="145" t="n"/>
      <c r="M432" s="1" t="n"/>
      <c r="N432" s="1" t="n"/>
      <c r="O432" s="1" t="n"/>
      <c r="P432" s="1" t="n"/>
      <c r="Q432" s="1" t="n"/>
      <c r="R432" s="1" t="n"/>
      <c r="S432" s="1" t="n"/>
      <c r="T432" s="1" t="n"/>
      <c r="U432" s="1" t="n"/>
      <c r="V432" s="1" t="n"/>
      <c r="W432" s="1" t="n"/>
      <c r="X432" s="1" t="n"/>
      <c r="Y432" s="1" t="n"/>
      <c r="Z432" s="1" t="n"/>
    </row>
    <row r="433" ht="15" customHeight="1" s="311">
      <c r="A433" s="41">
        <f>IF($D433="","",ROW()-5)</f>
        <v/>
      </c>
      <c r="B433" s="144" t="n"/>
      <c r="C433" s="83" t="n"/>
      <c r="D433" s="146" t="n"/>
      <c r="E433" s="146" t="n"/>
      <c r="F433" s="146" t="n"/>
      <c r="G433" s="164">
        <f t="array" ref="G433">IF($F433="","",IFERROR(INDEX(Disponibilidad!$O$6:$O$18,MATCH($F433,Disponibilidad!$B$6:$B$18,0)),"Hogar"))</f>
        <v/>
      </c>
      <c r="H433" s="76" t="n"/>
      <c r="I433" s="57">
        <f>IF($D433="","",IF($C433="Cobro",N($H433),-N($H433)))</f>
        <v/>
      </c>
      <c r="J433" s="141" t="n"/>
      <c r="K433" s="64">
        <f>IF($B433="","",TEXT($B433,"YYYY-MM"))</f>
        <v/>
      </c>
      <c r="L433" s="145" t="n"/>
      <c r="M433" s="1" t="n"/>
      <c r="N433" s="1" t="n"/>
      <c r="O433" s="1" t="n"/>
      <c r="P433" s="1" t="n"/>
      <c r="Q433" s="1" t="n"/>
      <c r="R433" s="1" t="n"/>
      <c r="S433" s="1" t="n"/>
      <c r="T433" s="1" t="n"/>
      <c r="U433" s="1" t="n"/>
      <c r="V433" s="1" t="n"/>
      <c r="W433" s="1" t="n"/>
      <c r="X433" s="1" t="n"/>
      <c r="Y433" s="1" t="n"/>
      <c r="Z433" s="1" t="n"/>
    </row>
    <row r="434" ht="15" customHeight="1" s="311">
      <c r="A434" s="41">
        <f>IF($D434="","",ROW()-5)</f>
        <v/>
      </c>
      <c r="B434" s="144" t="n"/>
      <c r="C434" s="83" t="n"/>
      <c r="D434" s="146" t="n"/>
      <c r="E434" s="146" t="n"/>
      <c r="F434" s="146" t="n"/>
      <c r="G434" s="164">
        <f t="array" ref="G434">IF($F434="","",IFERROR(INDEX(Disponibilidad!$O$6:$O$18,MATCH($F434,Disponibilidad!$B$6:$B$18,0)),"Hogar"))</f>
        <v/>
      </c>
      <c r="H434" s="76" t="n"/>
      <c r="I434" s="57">
        <f>IF($D434="","",IF($C434="Cobro",N($H434),-N($H434)))</f>
        <v/>
      </c>
      <c r="J434" s="141" t="n"/>
      <c r="K434" s="64">
        <f>IF($B434="","",TEXT($B434,"YYYY-MM"))</f>
        <v/>
      </c>
      <c r="L434" s="145" t="n"/>
      <c r="M434" s="1" t="n"/>
      <c r="N434" s="1" t="n"/>
      <c r="O434" s="1" t="n"/>
      <c r="P434" s="1" t="n"/>
      <c r="Q434" s="1" t="n"/>
      <c r="R434" s="1" t="n"/>
      <c r="S434" s="1" t="n"/>
      <c r="T434" s="1" t="n"/>
      <c r="U434" s="1" t="n"/>
      <c r="V434" s="1" t="n"/>
      <c r="W434" s="1" t="n"/>
      <c r="X434" s="1" t="n"/>
      <c r="Y434" s="1" t="n"/>
      <c r="Z434" s="1" t="n"/>
    </row>
    <row r="435" ht="15" customHeight="1" s="311">
      <c r="A435" s="41">
        <f>IF($D435="","",ROW()-5)</f>
        <v/>
      </c>
      <c r="B435" s="144" t="n"/>
      <c r="C435" s="83" t="n"/>
      <c r="D435" s="146" t="n"/>
      <c r="E435" s="146" t="n"/>
      <c r="F435" s="146" t="n"/>
      <c r="G435" s="164">
        <f t="array" ref="G435">IF($F435="","",IFERROR(INDEX(Disponibilidad!$O$6:$O$18,MATCH($F435,Disponibilidad!$B$6:$B$18,0)),"Hogar"))</f>
        <v/>
      </c>
      <c r="H435" s="76" t="n"/>
      <c r="I435" s="57">
        <f>IF($D435="","",IF($C435="Cobro",N($H435),-N($H435)))</f>
        <v/>
      </c>
      <c r="J435" s="141" t="n"/>
      <c r="K435" s="64">
        <f>IF($B435="","",TEXT($B435,"YYYY-MM"))</f>
        <v/>
      </c>
      <c r="L435" s="145" t="n"/>
      <c r="M435" s="1" t="n"/>
      <c r="N435" s="1" t="n"/>
      <c r="O435" s="1" t="n"/>
      <c r="P435" s="1" t="n"/>
      <c r="Q435" s="1" t="n"/>
      <c r="R435" s="1" t="n"/>
      <c r="S435" s="1" t="n"/>
      <c r="T435" s="1" t="n"/>
      <c r="U435" s="1" t="n"/>
      <c r="V435" s="1" t="n"/>
      <c r="W435" s="1" t="n"/>
      <c r="X435" s="1" t="n"/>
      <c r="Y435" s="1" t="n"/>
      <c r="Z435" s="1" t="n"/>
    </row>
    <row r="436" ht="15" customHeight="1" s="311">
      <c r="A436" s="41">
        <f>IF($D436="","",ROW()-5)</f>
        <v/>
      </c>
      <c r="B436" s="144" t="n"/>
      <c r="C436" s="83" t="n"/>
      <c r="D436" s="146" t="n"/>
      <c r="E436" s="146" t="n"/>
      <c r="F436" s="146" t="n"/>
      <c r="G436" s="164">
        <f t="array" ref="G436">IF($F436="","",IFERROR(INDEX(Disponibilidad!$O$6:$O$18,MATCH($F436,Disponibilidad!$B$6:$B$18,0)),"Hogar"))</f>
        <v/>
      </c>
      <c r="H436" s="76" t="n"/>
      <c r="I436" s="57">
        <f>IF($D436="","",IF($C436="Cobro",N($H436),-N($H436)))</f>
        <v/>
      </c>
      <c r="J436" s="141" t="n"/>
      <c r="K436" s="64">
        <f>IF($B436="","",TEXT($B436,"YYYY-MM"))</f>
        <v/>
      </c>
      <c r="L436" s="145" t="n"/>
      <c r="M436" s="1" t="n"/>
      <c r="N436" s="1" t="n"/>
      <c r="O436" s="1" t="n"/>
      <c r="P436" s="1" t="n"/>
      <c r="Q436" s="1" t="n"/>
      <c r="R436" s="1" t="n"/>
      <c r="S436" s="1" t="n"/>
      <c r="T436" s="1" t="n"/>
      <c r="U436" s="1" t="n"/>
      <c r="V436" s="1" t="n"/>
      <c r="W436" s="1" t="n"/>
      <c r="X436" s="1" t="n"/>
      <c r="Y436" s="1" t="n"/>
      <c r="Z436" s="1" t="n"/>
    </row>
    <row r="437" ht="15" customHeight="1" s="311">
      <c r="A437" s="41">
        <f>IF($D437="","",ROW()-5)</f>
        <v/>
      </c>
      <c r="B437" s="144" t="n"/>
      <c r="C437" s="83" t="n"/>
      <c r="D437" s="146" t="n"/>
      <c r="E437" s="146" t="n"/>
      <c r="F437" s="146" t="n"/>
      <c r="G437" s="164">
        <f t="array" ref="G437">IF($F437="","",IFERROR(INDEX(Disponibilidad!$O$6:$O$18,MATCH($F437,Disponibilidad!$B$6:$B$18,0)),"Hogar"))</f>
        <v/>
      </c>
      <c r="H437" s="76" t="n"/>
      <c r="I437" s="57">
        <f>IF($D437="","",IF($C437="Cobro",N($H437),-N($H437)))</f>
        <v/>
      </c>
      <c r="J437" s="141" t="n"/>
      <c r="K437" s="64">
        <f>IF($B437="","",TEXT($B437,"YYYY-MM"))</f>
        <v/>
      </c>
      <c r="L437" s="145" t="n"/>
      <c r="M437" s="1" t="n"/>
      <c r="N437" s="1" t="n"/>
      <c r="O437" s="1" t="n"/>
      <c r="P437" s="1" t="n"/>
      <c r="Q437" s="1" t="n"/>
      <c r="R437" s="1" t="n"/>
      <c r="S437" s="1" t="n"/>
      <c r="T437" s="1" t="n"/>
      <c r="U437" s="1" t="n"/>
      <c r="V437" s="1" t="n"/>
      <c r="W437" s="1" t="n"/>
      <c r="X437" s="1" t="n"/>
      <c r="Y437" s="1" t="n"/>
      <c r="Z437" s="1" t="n"/>
    </row>
    <row r="438" ht="15" customHeight="1" s="311">
      <c r="A438" s="41">
        <f>IF($D438="","",ROW()-5)</f>
        <v/>
      </c>
      <c r="B438" s="144" t="n"/>
      <c r="C438" s="83" t="n"/>
      <c r="D438" s="146" t="n"/>
      <c r="E438" s="146" t="n"/>
      <c r="F438" s="146" t="n"/>
      <c r="G438" s="164">
        <f t="array" ref="G438">IF($F438="","",IFERROR(INDEX(Disponibilidad!$O$6:$O$18,MATCH($F438,Disponibilidad!$B$6:$B$18,0)),"Hogar"))</f>
        <v/>
      </c>
      <c r="H438" s="76" t="n"/>
      <c r="I438" s="57">
        <f>IF($D438="","",IF($C438="Cobro",N($H438),-N($H438)))</f>
        <v/>
      </c>
      <c r="J438" s="141" t="n"/>
      <c r="K438" s="64">
        <f>IF($B438="","",TEXT($B438,"YYYY-MM"))</f>
        <v/>
      </c>
      <c r="L438" s="145" t="n"/>
      <c r="M438" s="1" t="n"/>
      <c r="N438" s="1" t="n"/>
      <c r="O438" s="1" t="n"/>
      <c r="P438" s="1" t="n"/>
      <c r="Q438" s="1" t="n"/>
      <c r="R438" s="1" t="n"/>
      <c r="S438" s="1" t="n"/>
      <c r="T438" s="1" t="n"/>
      <c r="U438" s="1" t="n"/>
      <c r="V438" s="1" t="n"/>
      <c r="W438" s="1" t="n"/>
      <c r="X438" s="1" t="n"/>
      <c r="Y438" s="1" t="n"/>
      <c r="Z438" s="1" t="n"/>
    </row>
    <row r="439" ht="15" customHeight="1" s="311">
      <c r="A439" s="41">
        <f>IF($D439="","",ROW()-5)</f>
        <v/>
      </c>
      <c r="B439" s="144" t="n"/>
      <c r="C439" s="83" t="n"/>
      <c r="D439" s="146" t="n"/>
      <c r="E439" s="146" t="n"/>
      <c r="F439" s="146" t="n"/>
      <c r="G439" s="164">
        <f t="array" ref="G439">IF($F439="","",IFERROR(INDEX(Disponibilidad!$O$6:$O$18,MATCH($F439,Disponibilidad!$B$6:$B$18,0)),"Hogar"))</f>
        <v/>
      </c>
      <c r="H439" s="76" t="n"/>
      <c r="I439" s="57">
        <f>IF($D439="","",IF($C439="Cobro",N($H439),-N($H439)))</f>
        <v/>
      </c>
      <c r="J439" s="141" t="n"/>
      <c r="K439" s="64">
        <f>IF($B439="","",TEXT($B439,"YYYY-MM"))</f>
        <v/>
      </c>
      <c r="L439" s="145" t="n"/>
      <c r="M439" s="1" t="n"/>
      <c r="N439" s="1" t="n"/>
      <c r="O439" s="1" t="n"/>
      <c r="P439" s="1" t="n"/>
      <c r="Q439" s="1" t="n"/>
      <c r="R439" s="1" t="n"/>
      <c r="S439" s="1" t="n"/>
      <c r="T439" s="1" t="n"/>
      <c r="U439" s="1" t="n"/>
      <c r="V439" s="1" t="n"/>
      <c r="W439" s="1" t="n"/>
      <c r="X439" s="1" t="n"/>
      <c r="Y439" s="1" t="n"/>
      <c r="Z439" s="1" t="n"/>
    </row>
    <row r="440" ht="15" customHeight="1" s="311">
      <c r="A440" s="41">
        <f>IF($D440="","",ROW()-5)</f>
        <v/>
      </c>
      <c r="B440" s="144" t="n"/>
      <c r="C440" s="83" t="n"/>
      <c r="D440" s="146" t="n"/>
      <c r="E440" s="146" t="n"/>
      <c r="F440" s="146" t="n"/>
      <c r="G440" s="164">
        <f t="array" ref="G440">IF($F440="","",IFERROR(INDEX(Disponibilidad!$O$6:$O$18,MATCH($F440,Disponibilidad!$B$6:$B$18,0)),"Hogar"))</f>
        <v/>
      </c>
      <c r="H440" s="76" t="n"/>
      <c r="I440" s="57">
        <f>IF($D440="","",IF($C440="Cobro",N($H440),-N($H440)))</f>
        <v/>
      </c>
      <c r="J440" s="141" t="n"/>
      <c r="K440" s="64">
        <f>IF($B440="","",TEXT($B440,"YYYY-MM"))</f>
        <v/>
      </c>
      <c r="L440" s="145" t="n"/>
      <c r="M440" s="1" t="n"/>
      <c r="N440" s="1" t="n"/>
      <c r="O440" s="1" t="n"/>
      <c r="P440" s="1" t="n"/>
      <c r="Q440" s="1" t="n"/>
      <c r="R440" s="1" t="n"/>
      <c r="S440" s="1" t="n"/>
      <c r="T440" s="1" t="n"/>
      <c r="U440" s="1" t="n"/>
      <c r="V440" s="1" t="n"/>
      <c r="W440" s="1" t="n"/>
      <c r="X440" s="1" t="n"/>
      <c r="Y440" s="1" t="n"/>
      <c r="Z440" s="1" t="n"/>
    </row>
    <row r="441" ht="15" customHeight="1" s="311">
      <c r="A441" s="41">
        <f>IF($D441="","",ROW()-5)</f>
        <v/>
      </c>
      <c r="B441" s="144" t="n"/>
      <c r="C441" s="83" t="n"/>
      <c r="D441" s="146" t="n"/>
      <c r="E441" s="146" t="n"/>
      <c r="F441" s="146" t="n"/>
      <c r="G441" s="164">
        <f t="array" ref="G441">IF($F441="","",IFERROR(INDEX(Disponibilidad!$O$6:$O$18,MATCH($F441,Disponibilidad!$B$6:$B$18,0)),"Hogar"))</f>
        <v/>
      </c>
      <c r="H441" s="76" t="n"/>
      <c r="I441" s="57">
        <f>IF($D441="","",IF($C441="Cobro",N($H441),-N($H441)))</f>
        <v/>
      </c>
      <c r="J441" s="141" t="n"/>
      <c r="K441" s="64">
        <f>IF($B441="","",TEXT($B441,"YYYY-MM"))</f>
        <v/>
      </c>
      <c r="L441" s="145" t="n"/>
      <c r="M441" s="1" t="n"/>
      <c r="N441" s="1" t="n"/>
      <c r="O441" s="1" t="n"/>
      <c r="P441" s="1" t="n"/>
      <c r="Q441" s="1" t="n"/>
      <c r="R441" s="1" t="n"/>
      <c r="S441" s="1" t="n"/>
      <c r="T441" s="1" t="n"/>
      <c r="U441" s="1" t="n"/>
      <c r="V441" s="1" t="n"/>
      <c r="W441" s="1" t="n"/>
      <c r="X441" s="1" t="n"/>
      <c r="Y441" s="1" t="n"/>
      <c r="Z441" s="1" t="n"/>
    </row>
    <row r="442" ht="15" customHeight="1" s="311">
      <c r="A442" s="41">
        <f>IF($D442="","",ROW()-5)</f>
        <v/>
      </c>
      <c r="B442" s="144" t="n"/>
      <c r="C442" s="83" t="n"/>
      <c r="D442" s="146" t="n"/>
      <c r="E442" s="146" t="n"/>
      <c r="F442" s="146" t="n"/>
      <c r="G442" s="164">
        <f t="array" ref="G442">IF($F442="","",IFERROR(INDEX(Disponibilidad!$O$6:$O$18,MATCH($F442,Disponibilidad!$B$6:$B$18,0)),"Hogar"))</f>
        <v/>
      </c>
      <c r="H442" s="76" t="n"/>
      <c r="I442" s="57">
        <f>IF($D442="","",IF($C442="Cobro",N($H442),-N($H442)))</f>
        <v/>
      </c>
      <c r="J442" s="141" t="n"/>
      <c r="K442" s="64">
        <f>IF($B442="","",TEXT($B442,"YYYY-MM"))</f>
        <v/>
      </c>
      <c r="L442" s="145" t="n"/>
      <c r="M442" s="1" t="n"/>
      <c r="N442" s="1" t="n"/>
      <c r="O442" s="1" t="n"/>
      <c r="P442" s="1" t="n"/>
      <c r="Q442" s="1" t="n"/>
      <c r="R442" s="1" t="n"/>
      <c r="S442" s="1" t="n"/>
      <c r="T442" s="1" t="n"/>
      <c r="U442" s="1" t="n"/>
      <c r="V442" s="1" t="n"/>
      <c r="W442" s="1" t="n"/>
      <c r="X442" s="1" t="n"/>
      <c r="Y442" s="1" t="n"/>
      <c r="Z442" s="1" t="n"/>
    </row>
    <row r="443" ht="15" customHeight="1" s="311">
      <c r="A443" s="41">
        <f>IF($D443="","",ROW()-5)</f>
        <v/>
      </c>
      <c r="B443" s="144" t="n"/>
      <c r="C443" s="83" t="n"/>
      <c r="D443" s="146" t="n"/>
      <c r="E443" s="146" t="n"/>
      <c r="F443" s="146" t="n"/>
      <c r="G443" s="164">
        <f t="array" ref="G443">IF($F443="","",IFERROR(INDEX(Disponibilidad!$O$6:$O$18,MATCH($F443,Disponibilidad!$B$6:$B$18,0)),"Hogar"))</f>
        <v/>
      </c>
      <c r="H443" s="76" t="n"/>
      <c r="I443" s="57">
        <f>IF($D443="","",IF($C443="Cobro",N($H443),-N($H443)))</f>
        <v/>
      </c>
      <c r="J443" s="141" t="n"/>
      <c r="K443" s="64">
        <f>IF($B443="","",TEXT($B443,"YYYY-MM"))</f>
        <v/>
      </c>
      <c r="L443" s="145" t="n"/>
      <c r="M443" s="1" t="n"/>
      <c r="N443" s="1" t="n"/>
      <c r="O443" s="1" t="n"/>
      <c r="P443" s="1" t="n"/>
      <c r="Q443" s="1" t="n"/>
      <c r="R443" s="1" t="n"/>
      <c r="S443" s="1" t="n"/>
      <c r="T443" s="1" t="n"/>
      <c r="U443" s="1" t="n"/>
      <c r="V443" s="1" t="n"/>
      <c r="W443" s="1" t="n"/>
      <c r="X443" s="1" t="n"/>
      <c r="Y443" s="1" t="n"/>
      <c r="Z443" s="1" t="n"/>
    </row>
    <row r="444" ht="15" customHeight="1" s="311">
      <c r="A444" s="41">
        <f>IF($D444="","",ROW()-5)</f>
        <v/>
      </c>
      <c r="B444" s="144" t="n"/>
      <c r="C444" s="83" t="n"/>
      <c r="D444" s="146" t="n"/>
      <c r="E444" s="146" t="n"/>
      <c r="F444" s="146" t="n"/>
      <c r="G444" s="164">
        <f t="array" ref="G444">IF($F444="","",IFERROR(INDEX(Disponibilidad!$O$6:$O$18,MATCH($F444,Disponibilidad!$B$6:$B$18,0)),"Hogar"))</f>
        <v/>
      </c>
      <c r="H444" s="76" t="n"/>
      <c r="I444" s="57">
        <f>IF($D444="","",IF($C444="Cobro",N($H444),-N($H444)))</f>
        <v/>
      </c>
      <c r="J444" s="141" t="n"/>
      <c r="K444" s="64">
        <f>IF($B444="","",TEXT($B444,"YYYY-MM"))</f>
        <v/>
      </c>
      <c r="L444" s="145" t="n"/>
      <c r="M444" s="1" t="n"/>
      <c r="N444" s="1" t="n"/>
      <c r="O444" s="1" t="n"/>
      <c r="P444" s="1" t="n"/>
      <c r="Q444" s="1" t="n"/>
      <c r="R444" s="1" t="n"/>
      <c r="S444" s="1" t="n"/>
      <c r="T444" s="1" t="n"/>
      <c r="U444" s="1" t="n"/>
      <c r="V444" s="1" t="n"/>
      <c r="W444" s="1" t="n"/>
      <c r="X444" s="1" t="n"/>
      <c r="Y444" s="1" t="n"/>
      <c r="Z444" s="1" t="n"/>
    </row>
    <row r="445" ht="15" customHeight="1" s="311">
      <c r="A445" s="41">
        <f>IF($D445="","",ROW()-5)</f>
        <v/>
      </c>
      <c r="B445" s="144" t="n"/>
      <c r="C445" s="83" t="n"/>
      <c r="D445" s="146" t="n"/>
      <c r="E445" s="146" t="n"/>
      <c r="F445" s="146" t="n"/>
      <c r="G445" s="164">
        <f t="array" ref="G445">IF($F445="","",IFERROR(INDEX(Disponibilidad!$O$6:$O$18,MATCH($F445,Disponibilidad!$B$6:$B$18,0)),"Hogar"))</f>
        <v/>
      </c>
      <c r="H445" s="76" t="n"/>
      <c r="I445" s="57">
        <f>IF($D445="","",IF($C445="Cobro",N($H445),-N($H445)))</f>
        <v/>
      </c>
      <c r="J445" s="141" t="n"/>
      <c r="K445" s="64">
        <f>IF($B445="","",TEXT($B445,"YYYY-MM"))</f>
        <v/>
      </c>
      <c r="L445" s="145" t="n"/>
      <c r="M445" s="1" t="n"/>
      <c r="N445" s="1" t="n"/>
      <c r="O445" s="1" t="n"/>
      <c r="P445" s="1" t="n"/>
      <c r="Q445" s="1" t="n"/>
      <c r="R445" s="1" t="n"/>
      <c r="S445" s="1" t="n"/>
      <c r="T445" s="1" t="n"/>
      <c r="U445" s="1" t="n"/>
      <c r="V445" s="1" t="n"/>
      <c r="W445" s="1" t="n"/>
      <c r="X445" s="1" t="n"/>
      <c r="Y445" s="1" t="n"/>
      <c r="Z445" s="1" t="n"/>
    </row>
    <row r="446" ht="15" customHeight="1" s="311">
      <c r="A446" s="41">
        <f>IF($D446="","",ROW()-5)</f>
        <v/>
      </c>
      <c r="B446" s="144" t="n"/>
      <c r="C446" s="83" t="n"/>
      <c r="D446" s="146" t="n"/>
      <c r="E446" s="146" t="n"/>
      <c r="F446" s="146" t="n"/>
      <c r="G446" s="164">
        <f t="array" ref="G446">IF($F446="","",IFERROR(INDEX(Disponibilidad!$O$6:$O$18,MATCH($F446,Disponibilidad!$B$6:$B$18,0)),"Hogar"))</f>
        <v/>
      </c>
      <c r="H446" s="76" t="n"/>
      <c r="I446" s="57">
        <f>IF($D446="","",IF($C446="Cobro",N($H446),-N($H446)))</f>
        <v/>
      </c>
      <c r="J446" s="141" t="n"/>
      <c r="K446" s="64">
        <f>IF($B446="","",TEXT($B446,"YYYY-MM"))</f>
        <v/>
      </c>
      <c r="L446" s="145" t="n"/>
      <c r="M446" s="1" t="n"/>
      <c r="N446" s="1" t="n"/>
      <c r="O446" s="1" t="n"/>
      <c r="P446" s="1" t="n"/>
      <c r="Q446" s="1" t="n"/>
      <c r="R446" s="1" t="n"/>
      <c r="S446" s="1" t="n"/>
      <c r="T446" s="1" t="n"/>
      <c r="U446" s="1" t="n"/>
      <c r="V446" s="1" t="n"/>
      <c r="W446" s="1" t="n"/>
      <c r="X446" s="1" t="n"/>
      <c r="Y446" s="1" t="n"/>
      <c r="Z446" s="1" t="n"/>
    </row>
    <row r="447" ht="15" customHeight="1" s="311">
      <c r="A447" s="41">
        <f>IF($D447="","",ROW()-5)</f>
        <v/>
      </c>
      <c r="B447" s="144" t="n"/>
      <c r="C447" s="83" t="n"/>
      <c r="D447" s="146" t="n"/>
      <c r="E447" s="146" t="n"/>
      <c r="F447" s="146" t="n"/>
      <c r="G447" s="164">
        <f t="array" ref="G447">IF($F447="","",IFERROR(INDEX(Disponibilidad!$O$6:$O$18,MATCH($F447,Disponibilidad!$B$6:$B$18,0)),"Hogar"))</f>
        <v/>
      </c>
      <c r="H447" s="76" t="n"/>
      <c r="I447" s="57">
        <f>IF($D447="","",IF($C447="Cobro",N($H447),-N($H447)))</f>
        <v/>
      </c>
      <c r="J447" s="141" t="n"/>
      <c r="K447" s="64">
        <f>IF($B447="","",TEXT($B447,"YYYY-MM"))</f>
        <v/>
      </c>
      <c r="L447" s="145" t="n"/>
      <c r="M447" s="1" t="n"/>
      <c r="N447" s="1" t="n"/>
      <c r="O447" s="1" t="n"/>
      <c r="P447" s="1" t="n"/>
      <c r="Q447" s="1" t="n"/>
      <c r="R447" s="1" t="n"/>
      <c r="S447" s="1" t="n"/>
      <c r="T447" s="1" t="n"/>
      <c r="U447" s="1" t="n"/>
      <c r="V447" s="1" t="n"/>
      <c r="W447" s="1" t="n"/>
      <c r="X447" s="1" t="n"/>
      <c r="Y447" s="1" t="n"/>
      <c r="Z447" s="1" t="n"/>
    </row>
    <row r="448" ht="15" customHeight="1" s="311">
      <c r="A448" s="41">
        <f>IF($D448="","",ROW()-5)</f>
        <v/>
      </c>
      <c r="B448" s="144" t="n"/>
      <c r="C448" s="83" t="n"/>
      <c r="D448" s="146" t="n"/>
      <c r="E448" s="146" t="n"/>
      <c r="F448" s="146" t="n"/>
      <c r="G448" s="164">
        <f t="array" ref="G448">IF($F448="","",IFERROR(INDEX(Disponibilidad!$O$6:$O$18,MATCH($F448,Disponibilidad!$B$6:$B$18,0)),"Hogar"))</f>
        <v/>
      </c>
      <c r="H448" s="76" t="n"/>
      <c r="I448" s="57">
        <f>IF($D448="","",IF($C448="Cobro",N($H448),-N($H448)))</f>
        <v/>
      </c>
      <c r="J448" s="141" t="n"/>
      <c r="K448" s="64">
        <f>IF($B448="","",TEXT($B448,"YYYY-MM"))</f>
        <v/>
      </c>
      <c r="L448" s="145" t="n"/>
      <c r="M448" s="1" t="n"/>
      <c r="N448" s="1" t="n"/>
      <c r="O448" s="1" t="n"/>
      <c r="P448" s="1" t="n"/>
      <c r="Q448" s="1" t="n"/>
      <c r="R448" s="1" t="n"/>
      <c r="S448" s="1" t="n"/>
      <c r="T448" s="1" t="n"/>
      <c r="U448" s="1" t="n"/>
      <c r="V448" s="1" t="n"/>
      <c r="W448" s="1" t="n"/>
      <c r="X448" s="1" t="n"/>
      <c r="Y448" s="1" t="n"/>
      <c r="Z448" s="1" t="n"/>
    </row>
    <row r="449" ht="15" customHeight="1" s="311">
      <c r="A449" s="41">
        <f>IF($D449="","",ROW()-5)</f>
        <v/>
      </c>
      <c r="B449" s="144" t="n"/>
      <c r="C449" s="83" t="n"/>
      <c r="D449" s="146" t="n"/>
      <c r="E449" s="146" t="n"/>
      <c r="F449" s="146" t="n"/>
      <c r="G449" s="164">
        <f t="array" ref="G449">IF($F449="","",IFERROR(INDEX(Disponibilidad!$O$6:$O$18,MATCH($F449,Disponibilidad!$B$6:$B$18,0)),"Hogar"))</f>
        <v/>
      </c>
      <c r="H449" s="76" t="n"/>
      <c r="I449" s="57">
        <f>IF($D449="","",IF($C449="Cobro",N($H449),-N($H449)))</f>
        <v/>
      </c>
      <c r="J449" s="141" t="n"/>
      <c r="K449" s="64">
        <f>IF($B449="","",TEXT($B449,"YYYY-MM"))</f>
        <v/>
      </c>
      <c r="L449" s="145" t="n"/>
      <c r="M449" s="1" t="n"/>
      <c r="N449" s="1" t="n"/>
      <c r="O449" s="1" t="n"/>
      <c r="P449" s="1" t="n"/>
      <c r="Q449" s="1" t="n"/>
      <c r="R449" s="1" t="n"/>
      <c r="S449" s="1" t="n"/>
      <c r="T449" s="1" t="n"/>
      <c r="U449" s="1" t="n"/>
      <c r="V449" s="1" t="n"/>
      <c r="W449" s="1" t="n"/>
      <c r="X449" s="1" t="n"/>
      <c r="Y449" s="1" t="n"/>
      <c r="Z449" s="1" t="n"/>
    </row>
    <row r="450" ht="15" customHeight="1" s="311">
      <c r="A450" s="41">
        <f>IF($D450="","",ROW()-5)</f>
        <v/>
      </c>
      <c r="B450" s="144" t="n"/>
      <c r="C450" s="83" t="n"/>
      <c r="D450" s="146" t="n"/>
      <c r="E450" s="146" t="n"/>
      <c r="F450" s="146" t="n"/>
      <c r="G450" s="164">
        <f t="array" ref="G450">IF($F450="","",IFERROR(INDEX(Disponibilidad!$O$6:$O$18,MATCH($F450,Disponibilidad!$B$6:$B$18,0)),"Hogar"))</f>
        <v/>
      </c>
      <c r="H450" s="76" t="n"/>
      <c r="I450" s="57">
        <f>IF($D450="","",IF($C450="Cobro",N($H450),-N($H450)))</f>
        <v/>
      </c>
      <c r="J450" s="141" t="n"/>
      <c r="K450" s="64">
        <f>IF($B450="","",TEXT($B450,"YYYY-MM"))</f>
        <v/>
      </c>
      <c r="L450" s="145" t="n"/>
      <c r="M450" s="1" t="n"/>
      <c r="N450" s="1" t="n"/>
      <c r="O450" s="1" t="n"/>
      <c r="P450" s="1" t="n"/>
      <c r="Q450" s="1" t="n"/>
      <c r="R450" s="1" t="n"/>
      <c r="S450" s="1" t="n"/>
      <c r="T450" s="1" t="n"/>
      <c r="U450" s="1" t="n"/>
      <c r="V450" s="1" t="n"/>
      <c r="W450" s="1" t="n"/>
      <c r="X450" s="1" t="n"/>
      <c r="Y450" s="1" t="n"/>
      <c r="Z450" s="1" t="n"/>
    </row>
    <row r="451" ht="15" customHeight="1" s="311">
      <c r="A451" s="41">
        <f>IF($D451="","",ROW()-5)</f>
        <v/>
      </c>
      <c r="B451" s="144" t="n"/>
      <c r="C451" s="83" t="n"/>
      <c r="D451" s="146" t="n"/>
      <c r="E451" s="146" t="n"/>
      <c r="F451" s="146" t="n"/>
      <c r="G451" s="164">
        <f t="array" ref="G451">IF($F451="","",IFERROR(INDEX(Disponibilidad!$O$6:$O$18,MATCH($F451,Disponibilidad!$B$6:$B$18,0)),"Hogar"))</f>
        <v/>
      </c>
      <c r="H451" s="76" t="n"/>
      <c r="I451" s="57">
        <f>IF($D451="","",IF($C451="Cobro",N($H451),-N($H451)))</f>
        <v/>
      </c>
      <c r="J451" s="141" t="n"/>
      <c r="K451" s="64">
        <f>IF($B451="","",TEXT($B451,"YYYY-MM"))</f>
        <v/>
      </c>
      <c r="L451" s="145" t="n"/>
      <c r="M451" s="1" t="n"/>
      <c r="N451" s="1" t="n"/>
      <c r="O451" s="1" t="n"/>
      <c r="P451" s="1" t="n"/>
      <c r="Q451" s="1" t="n"/>
      <c r="R451" s="1" t="n"/>
      <c r="S451" s="1" t="n"/>
      <c r="T451" s="1" t="n"/>
      <c r="U451" s="1" t="n"/>
      <c r="V451" s="1" t="n"/>
      <c r="W451" s="1" t="n"/>
      <c r="X451" s="1" t="n"/>
      <c r="Y451" s="1" t="n"/>
      <c r="Z451" s="1" t="n"/>
    </row>
    <row r="452" ht="15" customHeight="1" s="311">
      <c r="A452" s="41">
        <f>IF($D452="","",ROW()-5)</f>
        <v/>
      </c>
      <c r="B452" s="144" t="n"/>
      <c r="C452" s="83" t="n"/>
      <c r="D452" s="146" t="n"/>
      <c r="E452" s="146" t="n"/>
      <c r="F452" s="146" t="n"/>
      <c r="G452" s="164">
        <f t="array" ref="G452">IF($F452="","",IFERROR(INDEX(Disponibilidad!$O$6:$O$18,MATCH($F452,Disponibilidad!$B$6:$B$18,0)),"Hogar"))</f>
        <v/>
      </c>
      <c r="H452" s="76" t="n"/>
      <c r="I452" s="57">
        <f>IF($D452="","",IF($C452="Cobro",N($H452),-N($H452)))</f>
        <v/>
      </c>
      <c r="J452" s="141" t="n"/>
      <c r="K452" s="64">
        <f>IF($B452="","",TEXT($B452,"YYYY-MM"))</f>
        <v/>
      </c>
      <c r="L452" s="145" t="n"/>
      <c r="M452" s="1" t="n"/>
      <c r="N452" s="1" t="n"/>
      <c r="O452" s="1" t="n"/>
      <c r="P452" s="1" t="n"/>
      <c r="Q452" s="1" t="n"/>
      <c r="R452" s="1" t="n"/>
      <c r="S452" s="1" t="n"/>
      <c r="T452" s="1" t="n"/>
      <c r="U452" s="1" t="n"/>
      <c r="V452" s="1" t="n"/>
      <c r="W452" s="1" t="n"/>
      <c r="X452" s="1" t="n"/>
      <c r="Y452" s="1" t="n"/>
      <c r="Z452" s="1" t="n"/>
    </row>
    <row r="453" ht="15" customHeight="1" s="311">
      <c r="A453" s="41">
        <f>IF($D453="","",ROW()-5)</f>
        <v/>
      </c>
      <c r="B453" s="144" t="n"/>
      <c r="C453" s="83" t="n"/>
      <c r="D453" s="146" t="n"/>
      <c r="E453" s="146" t="n"/>
      <c r="F453" s="146" t="n"/>
      <c r="G453" s="164">
        <f t="array" ref="G453">IF($F453="","",IFERROR(INDEX(Disponibilidad!$O$6:$O$18,MATCH($F453,Disponibilidad!$B$6:$B$18,0)),"Hogar"))</f>
        <v/>
      </c>
      <c r="H453" s="76" t="n"/>
      <c r="I453" s="57">
        <f>IF($D453="","",IF($C453="Cobro",N($H453),-N($H453)))</f>
        <v/>
      </c>
      <c r="J453" s="141" t="n"/>
      <c r="K453" s="64">
        <f>IF($B453="","",TEXT($B453,"YYYY-MM"))</f>
        <v/>
      </c>
      <c r="L453" s="145" t="n"/>
      <c r="M453" s="1" t="n"/>
      <c r="N453" s="1" t="n"/>
      <c r="O453" s="1" t="n"/>
      <c r="P453" s="1" t="n"/>
      <c r="Q453" s="1" t="n"/>
      <c r="R453" s="1" t="n"/>
      <c r="S453" s="1" t="n"/>
      <c r="T453" s="1" t="n"/>
      <c r="U453" s="1" t="n"/>
      <c r="V453" s="1" t="n"/>
      <c r="W453" s="1" t="n"/>
      <c r="X453" s="1" t="n"/>
      <c r="Y453" s="1" t="n"/>
      <c r="Z453" s="1" t="n"/>
    </row>
    <row r="454" ht="15" customHeight="1" s="311">
      <c r="A454" s="41">
        <f>IF($D454="","",ROW()-5)</f>
        <v/>
      </c>
      <c r="B454" s="144" t="n"/>
      <c r="C454" s="83" t="n"/>
      <c r="D454" s="146" t="n"/>
      <c r="E454" s="146" t="n"/>
      <c r="F454" s="146" t="n"/>
      <c r="G454" s="164">
        <f t="array" ref="G454">IF($F454="","",IFERROR(INDEX(Disponibilidad!$O$6:$O$18,MATCH($F454,Disponibilidad!$B$6:$B$18,0)),"Hogar"))</f>
        <v/>
      </c>
      <c r="H454" s="76" t="n"/>
      <c r="I454" s="57">
        <f>IF($D454="","",IF($C454="Cobro",N($H454),-N($H454)))</f>
        <v/>
      </c>
      <c r="J454" s="141" t="n"/>
      <c r="K454" s="64">
        <f>IF($B454="","",TEXT($B454,"YYYY-MM"))</f>
        <v/>
      </c>
      <c r="L454" s="145" t="n"/>
      <c r="M454" s="1" t="n"/>
      <c r="N454" s="1" t="n"/>
      <c r="O454" s="1" t="n"/>
      <c r="P454" s="1" t="n"/>
      <c r="Q454" s="1" t="n"/>
      <c r="R454" s="1" t="n"/>
      <c r="S454" s="1" t="n"/>
      <c r="T454" s="1" t="n"/>
      <c r="U454" s="1" t="n"/>
      <c r="V454" s="1" t="n"/>
      <c r="W454" s="1" t="n"/>
      <c r="X454" s="1" t="n"/>
      <c r="Y454" s="1" t="n"/>
      <c r="Z454" s="1" t="n"/>
    </row>
    <row r="455" ht="15" customHeight="1" s="311">
      <c r="A455" s="41">
        <f>IF($D455="","",ROW()-5)</f>
        <v/>
      </c>
      <c r="B455" s="144" t="n"/>
      <c r="C455" s="83" t="n"/>
      <c r="D455" s="146" t="n"/>
      <c r="E455" s="146" t="n"/>
      <c r="F455" s="146" t="n"/>
      <c r="G455" s="164">
        <f t="array" ref="G455">IF($F455="","",IFERROR(INDEX(Disponibilidad!$O$6:$O$18,MATCH($F455,Disponibilidad!$B$6:$B$18,0)),"Hogar"))</f>
        <v/>
      </c>
      <c r="H455" s="76" t="n"/>
      <c r="I455" s="57">
        <f>IF($D455="","",IF($C455="Cobro",N($H455),-N($H455)))</f>
        <v/>
      </c>
      <c r="J455" s="141" t="n"/>
      <c r="K455" s="64">
        <f>IF($B455="","",TEXT($B455,"YYYY-MM"))</f>
        <v/>
      </c>
      <c r="L455" s="145" t="n"/>
      <c r="M455" s="1" t="n"/>
      <c r="N455" s="1" t="n"/>
      <c r="O455" s="1" t="n"/>
      <c r="P455" s="1" t="n"/>
      <c r="Q455" s="1" t="n"/>
      <c r="R455" s="1" t="n"/>
      <c r="S455" s="1" t="n"/>
      <c r="T455" s="1" t="n"/>
      <c r="U455" s="1" t="n"/>
      <c r="V455" s="1" t="n"/>
      <c r="W455" s="1" t="n"/>
      <c r="X455" s="1" t="n"/>
      <c r="Y455" s="1" t="n"/>
      <c r="Z455" s="1" t="n"/>
    </row>
    <row r="456" ht="15" customHeight="1" s="311">
      <c r="A456" s="41">
        <f>IF($D456="","",ROW()-5)</f>
        <v/>
      </c>
      <c r="B456" s="144" t="n"/>
      <c r="C456" s="83" t="n"/>
      <c r="D456" s="146" t="n"/>
      <c r="E456" s="146" t="n"/>
      <c r="F456" s="146" t="n"/>
      <c r="G456" s="164">
        <f t="array" ref="G456">IF($F456="","",IFERROR(INDEX(Disponibilidad!$O$6:$O$18,MATCH($F456,Disponibilidad!$B$6:$B$18,0)),"Hogar"))</f>
        <v/>
      </c>
      <c r="H456" s="76" t="n"/>
      <c r="I456" s="57">
        <f>IF($D456="","",IF($C456="Cobro",N($H456),-N($H456)))</f>
        <v/>
      </c>
      <c r="J456" s="141" t="n"/>
      <c r="K456" s="64">
        <f>IF($B456="","",TEXT($B456,"YYYY-MM"))</f>
        <v/>
      </c>
      <c r="L456" s="145" t="n"/>
      <c r="M456" s="1" t="n"/>
      <c r="N456" s="1" t="n"/>
      <c r="O456" s="1" t="n"/>
      <c r="P456" s="1" t="n"/>
      <c r="Q456" s="1" t="n"/>
      <c r="R456" s="1" t="n"/>
      <c r="S456" s="1" t="n"/>
      <c r="T456" s="1" t="n"/>
      <c r="U456" s="1" t="n"/>
      <c r="V456" s="1" t="n"/>
      <c r="W456" s="1" t="n"/>
      <c r="X456" s="1" t="n"/>
      <c r="Y456" s="1" t="n"/>
      <c r="Z456" s="1" t="n"/>
    </row>
    <row r="457" ht="15" customHeight="1" s="311">
      <c r="A457" s="41">
        <f>IF($D457="","",ROW()-5)</f>
        <v/>
      </c>
      <c r="B457" s="144" t="n"/>
      <c r="C457" s="83" t="n"/>
      <c r="D457" s="146" t="n"/>
      <c r="E457" s="146" t="n"/>
      <c r="F457" s="146" t="n"/>
      <c r="G457" s="164">
        <f t="array" ref="G457">IF($F457="","",IFERROR(INDEX(Disponibilidad!$O$6:$O$18,MATCH($F457,Disponibilidad!$B$6:$B$18,0)),"Hogar"))</f>
        <v/>
      </c>
      <c r="H457" s="76" t="n"/>
      <c r="I457" s="57">
        <f>IF($D457="","",IF($C457="Cobro",N($H457),-N($H457)))</f>
        <v/>
      </c>
      <c r="J457" s="141" t="n"/>
      <c r="K457" s="64">
        <f>IF($B457="","",TEXT($B457,"YYYY-MM"))</f>
        <v/>
      </c>
      <c r="L457" s="145" t="n"/>
      <c r="M457" s="1" t="n"/>
      <c r="N457" s="1" t="n"/>
      <c r="O457" s="1" t="n"/>
      <c r="P457" s="1" t="n"/>
      <c r="Q457" s="1" t="n"/>
      <c r="R457" s="1" t="n"/>
      <c r="S457" s="1" t="n"/>
      <c r="T457" s="1" t="n"/>
      <c r="U457" s="1" t="n"/>
      <c r="V457" s="1" t="n"/>
      <c r="W457" s="1" t="n"/>
      <c r="X457" s="1" t="n"/>
      <c r="Y457" s="1" t="n"/>
      <c r="Z457" s="1" t="n"/>
    </row>
    <row r="458" ht="15" customHeight="1" s="311">
      <c r="A458" s="41">
        <f>IF($D458="","",ROW()-5)</f>
        <v/>
      </c>
      <c r="B458" s="144" t="n"/>
      <c r="C458" s="83" t="n"/>
      <c r="D458" s="146" t="n"/>
      <c r="E458" s="146" t="n"/>
      <c r="F458" s="146" t="n"/>
      <c r="G458" s="164">
        <f t="array" ref="G458">IF($F458="","",IFERROR(INDEX(Disponibilidad!$O$6:$O$18,MATCH($F458,Disponibilidad!$B$6:$B$18,0)),"Hogar"))</f>
        <v/>
      </c>
      <c r="H458" s="76" t="n"/>
      <c r="I458" s="57">
        <f>IF($D458="","",IF($C458="Cobro",N($H458),-N($H458)))</f>
        <v/>
      </c>
      <c r="J458" s="141" t="n"/>
      <c r="K458" s="64">
        <f>IF($B458="","",TEXT($B458,"YYYY-MM"))</f>
        <v/>
      </c>
      <c r="L458" s="145" t="n"/>
      <c r="M458" s="1" t="n"/>
      <c r="N458" s="1" t="n"/>
      <c r="O458" s="1" t="n"/>
      <c r="P458" s="1" t="n"/>
      <c r="Q458" s="1" t="n"/>
      <c r="R458" s="1" t="n"/>
      <c r="S458" s="1" t="n"/>
      <c r="T458" s="1" t="n"/>
      <c r="U458" s="1" t="n"/>
      <c r="V458" s="1" t="n"/>
      <c r="W458" s="1" t="n"/>
      <c r="X458" s="1" t="n"/>
      <c r="Y458" s="1" t="n"/>
      <c r="Z458" s="1" t="n"/>
    </row>
    <row r="459" ht="15" customHeight="1" s="311">
      <c r="A459" s="41">
        <f>IF($D459="","",ROW()-5)</f>
        <v/>
      </c>
      <c r="B459" s="144" t="n"/>
      <c r="C459" s="83" t="n"/>
      <c r="D459" s="146" t="n"/>
      <c r="E459" s="146" t="n"/>
      <c r="F459" s="146" t="n"/>
      <c r="G459" s="164">
        <f t="array" ref="G459">IF($F459="","",IFERROR(INDEX(Disponibilidad!$O$6:$O$18,MATCH($F459,Disponibilidad!$B$6:$B$18,0)),"Hogar"))</f>
        <v/>
      </c>
      <c r="H459" s="76" t="n"/>
      <c r="I459" s="57">
        <f>IF($D459="","",IF($C459="Cobro",N($H459),-N($H459)))</f>
        <v/>
      </c>
      <c r="J459" s="141" t="n"/>
      <c r="K459" s="64">
        <f>IF($B459="","",TEXT($B459,"YYYY-MM"))</f>
        <v/>
      </c>
      <c r="L459" s="145" t="n"/>
      <c r="M459" s="1" t="n"/>
      <c r="N459" s="1" t="n"/>
      <c r="O459" s="1" t="n"/>
      <c r="P459" s="1" t="n"/>
      <c r="Q459" s="1" t="n"/>
      <c r="R459" s="1" t="n"/>
      <c r="S459" s="1" t="n"/>
      <c r="T459" s="1" t="n"/>
      <c r="U459" s="1" t="n"/>
      <c r="V459" s="1" t="n"/>
      <c r="W459" s="1" t="n"/>
      <c r="X459" s="1" t="n"/>
      <c r="Y459" s="1" t="n"/>
      <c r="Z459" s="1" t="n"/>
    </row>
    <row r="460" ht="15" customHeight="1" s="311">
      <c r="A460" s="41">
        <f>IF($D460="","",ROW()-5)</f>
        <v/>
      </c>
      <c r="B460" s="144" t="n"/>
      <c r="C460" s="83" t="n"/>
      <c r="D460" s="146" t="n"/>
      <c r="E460" s="146" t="n"/>
      <c r="F460" s="146" t="n"/>
      <c r="G460" s="164">
        <f t="array" ref="G460">IF($F460="","",IFERROR(INDEX(Disponibilidad!$O$6:$O$18,MATCH($F460,Disponibilidad!$B$6:$B$18,0)),"Hogar"))</f>
        <v/>
      </c>
      <c r="H460" s="76" t="n"/>
      <c r="I460" s="57">
        <f>IF($D460="","",IF($C460="Cobro",N($H460),-N($H460)))</f>
        <v/>
      </c>
      <c r="J460" s="141" t="n"/>
      <c r="K460" s="64">
        <f>IF($B460="","",TEXT($B460,"YYYY-MM"))</f>
        <v/>
      </c>
      <c r="L460" s="145" t="n"/>
      <c r="M460" s="1" t="n"/>
      <c r="N460" s="1" t="n"/>
      <c r="O460" s="1" t="n"/>
      <c r="P460" s="1" t="n"/>
      <c r="Q460" s="1" t="n"/>
      <c r="R460" s="1" t="n"/>
      <c r="S460" s="1" t="n"/>
      <c r="T460" s="1" t="n"/>
      <c r="U460" s="1" t="n"/>
      <c r="V460" s="1" t="n"/>
      <c r="W460" s="1" t="n"/>
      <c r="X460" s="1" t="n"/>
      <c r="Y460" s="1" t="n"/>
      <c r="Z460" s="1" t="n"/>
    </row>
    <row r="461" ht="15" customHeight="1" s="311">
      <c r="A461" s="41">
        <f>IF($D461="","",ROW()-5)</f>
        <v/>
      </c>
      <c r="B461" s="144" t="n"/>
      <c r="C461" s="83" t="n"/>
      <c r="D461" s="146" t="n"/>
      <c r="E461" s="146" t="n"/>
      <c r="F461" s="146" t="n"/>
      <c r="G461" s="164">
        <f t="array" ref="G461">IF($F461="","",IFERROR(INDEX(Disponibilidad!$O$6:$O$18,MATCH($F461,Disponibilidad!$B$6:$B$18,0)),"Hogar"))</f>
        <v/>
      </c>
      <c r="H461" s="76" t="n"/>
      <c r="I461" s="57">
        <f>IF($D461="","",IF($C461="Cobro",N($H461),-N($H461)))</f>
        <v/>
      </c>
      <c r="J461" s="141" t="n"/>
      <c r="K461" s="64">
        <f>IF($B461="","",TEXT($B461,"YYYY-MM"))</f>
        <v/>
      </c>
      <c r="L461" s="145" t="n"/>
      <c r="M461" s="1" t="n"/>
      <c r="N461" s="1" t="n"/>
      <c r="O461" s="1" t="n"/>
      <c r="P461" s="1" t="n"/>
      <c r="Q461" s="1" t="n"/>
      <c r="R461" s="1" t="n"/>
      <c r="S461" s="1" t="n"/>
      <c r="T461" s="1" t="n"/>
      <c r="U461" s="1" t="n"/>
      <c r="V461" s="1" t="n"/>
      <c r="W461" s="1" t="n"/>
      <c r="X461" s="1" t="n"/>
      <c r="Y461" s="1" t="n"/>
      <c r="Z461" s="1" t="n"/>
    </row>
    <row r="462" ht="15" customHeight="1" s="311">
      <c r="A462" s="41">
        <f>IF($D462="","",ROW()-5)</f>
        <v/>
      </c>
      <c r="B462" s="144" t="n"/>
      <c r="C462" s="83" t="n"/>
      <c r="D462" s="146" t="n"/>
      <c r="E462" s="146" t="n"/>
      <c r="F462" s="146" t="n"/>
      <c r="G462" s="164">
        <f t="array" ref="G462">IF($F462="","",IFERROR(INDEX(Disponibilidad!$O$6:$O$18,MATCH($F462,Disponibilidad!$B$6:$B$18,0)),"Hogar"))</f>
        <v/>
      </c>
      <c r="H462" s="76" t="n"/>
      <c r="I462" s="57">
        <f>IF($D462="","",IF($C462="Cobro",N($H462),-N($H462)))</f>
        <v/>
      </c>
      <c r="J462" s="141" t="n"/>
      <c r="K462" s="64">
        <f>IF($B462="","",TEXT($B462,"YYYY-MM"))</f>
        <v/>
      </c>
      <c r="L462" s="145" t="n"/>
      <c r="M462" s="1" t="n"/>
      <c r="N462" s="1" t="n"/>
      <c r="O462" s="1" t="n"/>
      <c r="P462" s="1" t="n"/>
      <c r="Q462" s="1" t="n"/>
      <c r="R462" s="1" t="n"/>
      <c r="S462" s="1" t="n"/>
      <c r="T462" s="1" t="n"/>
      <c r="U462" s="1" t="n"/>
      <c r="V462" s="1" t="n"/>
      <c r="W462" s="1" t="n"/>
      <c r="X462" s="1" t="n"/>
      <c r="Y462" s="1" t="n"/>
      <c r="Z462" s="1" t="n"/>
    </row>
    <row r="463" ht="15" customHeight="1" s="311">
      <c r="A463" s="41">
        <f>IF($D463="","",ROW()-5)</f>
        <v/>
      </c>
      <c r="B463" s="144" t="n"/>
      <c r="C463" s="83" t="n"/>
      <c r="D463" s="146" t="n"/>
      <c r="E463" s="146" t="n"/>
      <c r="F463" s="146" t="n"/>
      <c r="G463" s="164">
        <f t="array" ref="G463">IF($F463="","",IFERROR(INDEX(Disponibilidad!$O$6:$O$18,MATCH($F463,Disponibilidad!$B$6:$B$18,0)),"Hogar"))</f>
        <v/>
      </c>
      <c r="H463" s="76" t="n"/>
      <c r="I463" s="57">
        <f>IF($D463="","",IF($C463="Cobro",N($H463),-N($H463)))</f>
        <v/>
      </c>
      <c r="J463" s="141" t="n"/>
      <c r="K463" s="64">
        <f>IF($B463="","",TEXT($B463,"YYYY-MM"))</f>
        <v/>
      </c>
      <c r="L463" s="145" t="n"/>
      <c r="M463" s="1" t="n"/>
      <c r="N463" s="1" t="n"/>
      <c r="O463" s="1" t="n"/>
      <c r="P463" s="1" t="n"/>
      <c r="Q463" s="1" t="n"/>
      <c r="R463" s="1" t="n"/>
      <c r="S463" s="1" t="n"/>
      <c r="T463" s="1" t="n"/>
      <c r="U463" s="1" t="n"/>
      <c r="V463" s="1" t="n"/>
      <c r="W463" s="1" t="n"/>
      <c r="X463" s="1" t="n"/>
      <c r="Y463" s="1" t="n"/>
      <c r="Z463" s="1" t="n"/>
    </row>
    <row r="464" ht="15" customHeight="1" s="311">
      <c r="A464" s="41">
        <f>IF($D464="","",ROW()-5)</f>
        <v/>
      </c>
      <c r="B464" s="144" t="n"/>
      <c r="C464" s="83" t="n"/>
      <c r="D464" s="146" t="n"/>
      <c r="E464" s="146" t="n"/>
      <c r="F464" s="146" t="n"/>
      <c r="G464" s="164">
        <f t="array" ref="G464">IF($F464="","",IFERROR(INDEX(Disponibilidad!$O$6:$O$18,MATCH($F464,Disponibilidad!$B$6:$B$18,0)),"Hogar"))</f>
        <v/>
      </c>
      <c r="H464" s="76" t="n"/>
      <c r="I464" s="57">
        <f>IF($D464="","",IF($C464="Cobro",N($H464),-N($H464)))</f>
        <v/>
      </c>
      <c r="J464" s="141" t="n"/>
      <c r="K464" s="64">
        <f>IF($B464="","",TEXT($B464,"YYYY-MM"))</f>
        <v/>
      </c>
      <c r="L464" s="145" t="n"/>
      <c r="M464" s="1" t="n"/>
      <c r="N464" s="1" t="n"/>
      <c r="O464" s="1" t="n"/>
      <c r="P464" s="1" t="n"/>
      <c r="Q464" s="1" t="n"/>
      <c r="R464" s="1" t="n"/>
      <c r="S464" s="1" t="n"/>
      <c r="T464" s="1" t="n"/>
      <c r="U464" s="1" t="n"/>
      <c r="V464" s="1" t="n"/>
      <c r="W464" s="1" t="n"/>
      <c r="X464" s="1" t="n"/>
      <c r="Y464" s="1" t="n"/>
      <c r="Z464" s="1" t="n"/>
    </row>
    <row r="465" ht="15" customHeight="1" s="311">
      <c r="A465" s="41">
        <f>IF($D465="","",ROW()-5)</f>
        <v/>
      </c>
      <c r="B465" s="144" t="n"/>
      <c r="C465" s="83" t="n"/>
      <c r="D465" s="146" t="n"/>
      <c r="E465" s="146" t="n"/>
      <c r="F465" s="146" t="n"/>
      <c r="G465" s="164">
        <f t="array" ref="G465">IF($F465="","",IFERROR(INDEX(Disponibilidad!$O$6:$O$18,MATCH($F465,Disponibilidad!$B$6:$B$18,0)),"Hogar"))</f>
        <v/>
      </c>
      <c r="H465" s="76" t="n"/>
      <c r="I465" s="57">
        <f>IF($D465="","",IF($C465="Cobro",N($H465),-N($H465)))</f>
        <v/>
      </c>
      <c r="J465" s="141" t="n"/>
      <c r="K465" s="64">
        <f>IF($B465="","",TEXT($B465,"YYYY-MM"))</f>
        <v/>
      </c>
      <c r="L465" s="145" t="n"/>
      <c r="M465" s="1" t="n"/>
      <c r="N465" s="1" t="n"/>
      <c r="O465" s="1" t="n"/>
      <c r="P465" s="1" t="n"/>
      <c r="Q465" s="1" t="n"/>
      <c r="R465" s="1" t="n"/>
      <c r="S465" s="1" t="n"/>
      <c r="T465" s="1" t="n"/>
      <c r="U465" s="1" t="n"/>
      <c r="V465" s="1" t="n"/>
      <c r="W465" s="1" t="n"/>
      <c r="X465" s="1" t="n"/>
      <c r="Y465" s="1" t="n"/>
      <c r="Z465" s="1" t="n"/>
    </row>
    <row r="466" ht="15" customHeight="1" s="311">
      <c r="A466" s="41">
        <f>IF($D466="","",ROW()-5)</f>
        <v/>
      </c>
      <c r="B466" s="144" t="n"/>
      <c r="C466" s="83" t="n"/>
      <c r="D466" s="146" t="n"/>
      <c r="E466" s="146" t="n"/>
      <c r="F466" s="146" t="n"/>
      <c r="G466" s="164">
        <f t="array" ref="G466">IF($F466="","",IFERROR(INDEX(Disponibilidad!$O$6:$O$18,MATCH($F466,Disponibilidad!$B$6:$B$18,0)),"Hogar"))</f>
        <v/>
      </c>
      <c r="H466" s="76" t="n"/>
      <c r="I466" s="57">
        <f>IF($D466="","",IF($C466="Cobro",N($H466),-N($H466)))</f>
        <v/>
      </c>
      <c r="J466" s="141" t="n"/>
      <c r="K466" s="64">
        <f>IF($B466="","",TEXT($B466,"YYYY-MM"))</f>
        <v/>
      </c>
      <c r="L466" s="145" t="n"/>
      <c r="M466" s="1" t="n"/>
      <c r="N466" s="1" t="n"/>
      <c r="O466" s="1" t="n"/>
      <c r="P466" s="1" t="n"/>
      <c r="Q466" s="1" t="n"/>
      <c r="R466" s="1" t="n"/>
      <c r="S466" s="1" t="n"/>
      <c r="T466" s="1" t="n"/>
      <c r="U466" s="1" t="n"/>
      <c r="V466" s="1" t="n"/>
      <c r="W466" s="1" t="n"/>
      <c r="X466" s="1" t="n"/>
      <c r="Y466" s="1" t="n"/>
      <c r="Z466" s="1" t="n"/>
    </row>
    <row r="467" ht="15" customHeight="1" s="311">
      <c r="A467" s="41">
        <f>IF($D467="","",ROW()-5)</f>
        <v/>
      </c>
      <c r="B467" s="144" t="n"/>
      <c r="C467" s="83" t="n"/>
      <c r="D467" s="146" t="n"/>
      <c r="E467" s="146" t="n"/>
      <c r="F467" s="146" t="n"/>
      <c r="G467" s="164">
        <f t="array" ref="G467">IF($F467="","",IFERROR(INDEX(Disponibilidad!$O$6:$O$18,MATCH($F467,Disponibilidad!$B$6:$B$18,0)),"Hogar"))</f>
        <v/>
      </c>
      <c r="H467" s="76" t="n"/>
      <c r="I467" s="57">
        <f>IF($D467="","",IF($C467="Cobro",N($H467),-N($H467)))</f>
        <v/>
      </c>
      <c r="J467" s="141" t="n"/>
      <c r="K467" s="64">
        <f>IF($B467="","",TEXT($B467,"YYYY-MM"))</f>
        <v/>
      </c>
      <c r="L467" s="145" t="n"/>
      <c r="M467" s="1" t="n"/>
      <c r="N467" s="1" t="n"/>
      <c r="O467" s="1" t="n"/>
      <c r="P467" s="1" t="n"/>
      <c r="Q467" s="1" t="n"/>
      <c r="R467" s="1" t="n"/>
      <c r="S467" s="1" t="n"/>
      <c r="T467" s="1" t="n"/>
      <c r="U467" s="1" t="n"/>
      <c r="V467" s="1" t="n"/>
      <c r="W467" s="1" t="n"/>
      <c r="X467" s="1" t="n"/>
      <c r="Y467" s="1" t="n"/>
      <c r="Z467" s="1" t="n"/>
    </row>
    <row r="468" ht="15" customHeight="1" s="311">
      <c r="A468" s="41">
        <f>IF($D468="","",ROW()-5)</f>
        <v/>
      </c>
      <c r="B468" s="144" t="n"/>
      <c r="C468" s="83" t="n"/>
      <c r="D468" s="146" t="n"/>
      <c r="E468" s="146" t="n"/>
      <c r="F468" s="146" t="n"/>
      <c r="G468" s="164">
        <f t="array" ref="G468">IF($F468="","",IFERROR(INDEX(Disponibilidad!$O$6:$O$18,MATCH($F468,Disponibilidad!$B$6:$B$18,0)),"Hogar"))</f>
        <v/>
      </c>
      <c r="H468" s="76" t="n"/>
      <c r="I468" s="57">
        <f>IF($D468="","",IF($C468="Cobro",N($H468),-N($H468)))</f>
        <v/>
      </c>
      <c r="J468" s="141" t="n"/>
      <c r="K468" s="64">
        <f>IF($B468="","",TEXT($B468,"YYYY-MM"))</f>
        <v/>
      </c>
      <c r="L468" s="145" t="n"/>
      <c r="M468" s="1" t="n"/>
      <c r="N468" s="1" t="n"/>
      <c r="O468" s="1" t="n"/>
      <c r="P468" s="1" t="n"/>
      <c r="Q468" s="1" t="n"/>
      <c r="R468" s="1" t="n"/>
      <c r="S468" s="1" t="n"/>
      <c r="T468" s="1" t="n"/>
      <c r="U468" s="1" t="n"/>
      <c r="V468" s="1" t="n"/>
      <c r="W468" s="1" t="n"/>
      <c r="X468" s="1" t="n"/>
      <c r="Y468" s="1" t="n"/>
      <c r="Z468" s="1" t="n"/>
    </row>
    <row r="469" ht="15" customHeight="1" s="311">
      <c r="A469" s="41">
        <f>IF($D469="","",ROW()-5)</f>
        <v/>
      </c>
      <c r="B469" s="144" t="n"/>
      <c r="C469" s="83" t="n"/>
      <c r="D469" s="146" t="n"/>
      <c r="E469" s="146" t="n"/>
      <c r="F469" s="146" t="n"/>
      <c r="G469" s="164">
        <f t="array" ref="G469">IF($F469="","",IFERROR(INDEX(Disponibilidad!$O$6:$O$18,MATCH($F469,Disponibilidad!$B$6:$B$18,0)),"Hogar"))</f>
        <v/>
      </c>
      <c r="H469" s="76" t="n"/>
      <c r="I469" s="57">
        <f>IF($D469="","",IF($C469="Cobro",N($H469),-N($H469)))</f>
        <v/>
      </c>
      <c r="J469" s="141" t="n"/>
      <c r="K469" s="64">
        <f>IF($B469="","",TEXT($B469,"YYYY-MM"))</f>
        <v/>
      </c>
      <c r="L469" s="145" t="n"/>
      <c r="M469" s="1" t="n"/>
      <c r="N469" s="1" t="n"/>
      <c r="O469" s="1" t="n"/>
      <c r="P469" s="1" t="n"/>
      <c r="Q469" s="1" t="n"/>
      <c r="R469" s="1" t="n"/>
      <c r="S469" s="1" t="n"/>
      <c r="T469" s="1" t="n"/>
      <c r="U469" s="1" t="n"/>
      <c r="V469" s="1" t="n"/>
      <c r="W469" s="1" t="n"/>
      <c r="X469" s="1" t="n"/>
      <c r="Y469" s="1" t="n"/>
      <c r="Z469" s="1" t="n"/>
    </row>
    <row r="470" ht="15" customHeight="1" s="311">
      <c r="A470" s="41">
        <f>IF($D470="","",ROW()-5)</f>
        <v/>
      </c>
      <c r="B470" s="144" t="n"/>
      <c r="C470" s="83" t="n"/>
      <c r="D470" s="146" t="n"/>
      <c r="E470" s="146" t="n"/>
      <c r="F470" s="146" t="n"/>
      <c r="G470" s="164">
        <f t="array" ref="G470">IF($F470="","",IFERROR(INDEX(Disponibilidad!$O$6:$O$18,MATCH($F470,Disponibilidad!$B$6:$B$18,0)),"Hogar"))</f>
        <v/>
      </c>
      <c r="H470" s="76" t="n"/>
      <c r="I470" s="57">
        <f>IF($D470="","",IF($C470="Cobro",N($H470),-N($H470)))</f>
        <v/>
      </c>
      <c r="J470" s="141" t="n"/>
      <c r="K470" s="64">
        <f>IF($B470="","",TEXT($B470,"YYYY-MM"))</f>
        <v/>
      </c>
      <c r="L470" s="145" t="n"/>
      <c r="M470" s="1" t="n"/>
      <c r="N470" s="1" t="n"/>
      <c r="O470" s="1" t="n"/>
      <c r="P470" s="1" t="n"/>
      <c r="Q470" s="1" t="n"/>
      <c r="R470" s="1" t="n"/>
      <c r="S470" s="1" t="n"/>
      <c r="T470" s="1" t="n"/>
      <c r="U470" s="1" t="n"/>
      <c r="V470" s="1" t="n"/>
      <c r="W470" s="1" t="n"/>
      <c r="X470" s="1" t="n"/>
      <c r="Y470" s="1" t="n"/>
      <c r="Z470" s="1" t="n"/>
    </row>
    <row r="471" ht="15" customHeight="1" s="311">
      <c r="A471" s="41">
        <f>IF($D471="","",ROW()-5)</f>
        <v/>
      </c>
      <c r="B471" s="144" t="n"/>
      <c r="C471" s="83" t="n"/>
      <c r="D471" s="146" t="n"/>
      <c r="E471" s="146" t="n"/>
      <c r="F471" s="146" t="n"/>
      <c r="G471" s="164">
        <f t="array" ref="G471">IF($F471="","",IFERROR(INDEX(Disponibilidad!$O$6:$O$18,MATCH($F471,Disponibilidad!$B$6:$B$18,0)),"Hogar"))</f>
        <v/>
      </c>
      <c r="H471" s="76" t="n"/>
      <c r="I471" s="57">
        <f>IF($D471="","",IF($C471="Cobro",N($H471),-N($H471)))</f>
        <v/>
      </c>
      <c r="J471" s="141" t="n"/>
      <c r="K471" s="64">
        <f>IF($B471="","",TEXT($B471,"YYYY-MM"))</f>
        <v/>
      </c>
      <c r="L471" s="145" t="n"/>
      <c r="M471" s="1" t="n"/>
      <c r="N471" s="1" t="n"/>
      <c r="O471" s="1" t="n"/>
      <c r="P471" s="1" t="n"/>
      <c r="Q471" s="1" t="n"/>
      <c r="R471" s="1" t="n"/>
      <c r="S471" s="1" t="n"/>
      <c r="T471" s="1" t="n"/>
      <c r="U471" s="1" t="n"/>
      <c r="V471" s="1" t="n"/>
      <c r="W471" s="1" t="n"/>
      <c r="X471" s="1" t="n"/>
      <c r="Y471" s="1" t="n"/>
      <c r="Z471" s="1" t="n"/>
    </row>
    <row r="472" ht="15" customHeight="1" s="311">
      <c r="A472" s="41">
        <f>IF($D472="","",ROW()-5)</f>
        <v/>
      </c>
      <c r="B472" s="144" t="n"/>
      <c r="C472" s="83" t="n"/>
      <c r="D472" s="146" t="n"/>
      <c r="E472" s="146" t="n"/>
      <c r="F472" s="146" t="n"/>
      <c r="G472" s="164">
        <f t="array" ref="G472">IF($F472="","",IFERROR(INDEX(Disponibilidad!$O$6:$O$18,MATCH($F472,Disponibilidad!$B$6:$B$18,0)),"Hogar"))</f>
        <v/>
      </c>
      <c r="H472" s="76" t="n"/>
      <c r="I472" s="57">
        <f>IF($D472="","",IF($C472="Cobro",N($H472),-N($H472)))</f>
        <v/>
      </c>
      <c r="J472" s="141" t="n"/>
      <c r="K472" s="64">
        <f>IF($B472="","",TEXT($B472,"YYYY-MM"))</f>
        <v/>
      </c>
      <c r="L472" s="145" t="n"/>
      <c r="M472" s="1" t="n"/>
      <c r="N472" s="1" t="n"/>
      <c r="O472" s="1" t="n"/>
      <c r="P472" s="1" t="n"/>
      <c r="Q472" s="1" t="n"/>
      <c r="R472" s="1" t="n"/>
      <c r="S472" s="1" t="n"/>
      <c r="T472" s="1" t="n"/>
      <c r="U472" s="1" t="n"/>
      <c r="V472" s="1" t="n"/>
      <c r="W472" s="1" t="n"/>
      <c r="X472" s="1" t="n"/>
      <c r="Y472" s="1" t="n"/>
      <c r="Z472" s="1" t="n"/>
    </row>
    <row r="473" ht="15" customHeight="1" s="311">
      <c r="A473" s="41">
        <f>IF($D473="","",ROW()-5)</f>
        <v/>
      </c>
      <c r="B473" s="144" t="n"/>
      <c r="C473" s="83" t="n"/>
      <c r="D473" s="146" t="n"/>
      <c r="E473" s="146" t="n"/>
      <c r="F473" s="146" t="n"/>
      <c r="G473" s="164">
        <f t="array" ref="G473">IF($F473="","",IFERROR(INDEX(Disponibilidad!$O$6:$O$18,MATCH($F473,Disponibilidad!$B$6:$B$18,0)),"Hogar"))</f>
        <v/>
      </c>
      <c r="H473" s="76" t="n"/>
      <c r="I473" s="57">
        <f>IF($D473="","",IF($C473="Cobro",N($H473),-N($H473)))</f>
        <v/>
      </c>
      <c r="J473" s="141" t="n"/>
      <c r="K473" s="64">
        <f>IF($B473="","",TEXT($B473,"YYYY-MM"))</f>
        <v/>
      </c>
      <c r="L473" s="145" t="n"/>
      <c r="M473" s="1" t="n"/>
      <c r="N473" s="1" t="n"/>
      <c r="O473" s="1" t="n"/>
      <c r="P473" s="1" t="n"/>
      <c r="Q473" s="1" t="n"/>
      <c r="R473" s="1" t="n"/>
      <c r="S473" s="1" t="n"/>
      <c r="T473" s="1" t="n"/>
      <c r="U473" s="1" t="n"/>
      <c r="V473" s="1" t="n"/>
      <c r="W473" s="1" t="n"/>
      <c r="X473" s="1" t="n"/>
      <c r="Y473" s="1" t="n"/>
      <c r="Z473" s="1" t="n"/>
    </row>
    <row r="474" ht="15" customHeight="1" s="311">
      <c r="A474" s="41">
        <f>IF($D474="","",ROW()-5)</f>
        <v/>
      </c>
      <c r="B474" s="144" t="n"/>
      <c r="C474" s="83" t="n"/>
      <c r="D474" s="146" t="n"/>
      <c r="E474" s="146" t="n"/>
      <c r="F474" s="146" t="n"/>
      <c r="G474" s="164">
        <f t="array" ref="G474">IF($F474="","",IFERROR(INDEX(Disponibilidad!$O$6:$O$18,MATCH($F474,Disponibilidad!$B$6:$B$18,0)),"Hogar"))</f>
        <v/>
      </c>
      <c r="H474" s="76" t="n"/>
      <c r="I474" s="57">
        <f>IF($D474="","",IF($C474="Cobro",N($H474),-N($H474)))</f>
        <v/>
      </c>
      <c r="J474" s="141" t="n"/>
      <c r="K474" s="64">
        <f>IF($B474="","",TEXT($B474,"YYYY-MM"))</f>
        <v/>
      </c>
      <c r="L474" s="145" t="n"/>
      <c r="M474" s="1" t="n"/>
      <c r="N474" s="1" t="n"/>
      <c r="O474" s="1" t="n"/>
      <c r="P474" s="1" t="n"/>
      <c r="Q474" s="1" t="n"/>
      <c r="R474" s="1" t="n"/>
      <c r="S474" s="1" t="n"/>
      <c r="T474" s="1" t="n"/>
      <c r="U474" s="1" t="n"/>
      <c r="V474" s="1" t="n"/>
      <c r="W474" s="1" t="n"/>
      <c r="X474" s="1" t="n"/>
      <c r="Y474" s="1" t="n"/>
      <c r="Z474" s="1" t="n"/>
    </row>
    <row r="475" ht="15" customHeight="1" s="311">
      <c r="A475" s="41">
        <f>IF($D475="","",ROW()-5)</f>
        <v/>
      </c>
      <c r="B475" s="144" t="n"/>
      <c r="C475" s="83" t="n"/>
      <c r="D475" s="146" t="n"/>
      <c r="E475" s="146" t="n"/>
      <c r="F475" s="146" t="n"/>
      <c r="G475" s="164">
        <f t="array" ref="G475">IF($F475="","",IFERROR(INDEX(Disponibilidad!$O$6:$O$18,MATCH($F475,Disponibilidad!$B$6:$B$18,0)),"Hogar"))</f>
        <v/>
      </c>
      <c r="H475" s="76" t="n"/>
      <c r="I475" s="57">
        <f>IF($D475="","",IF($C475="Cobro",N($H475),-N($H475)))</f>
        <v/>
      </c>
      <c r="J475" s="141" t="n"/>
      <c r="K475" s="64">
        <f>IF($B475="","",TEXT($B475,"YYYY-MM"))</f>
        <v/>
      </c>
      <c r="L475" s="145" t="n"/>
      <c r="M475" s="1" t="n"/>
      <c r="N475" s="1" t="n"/>
      <c r="O475" s="1" t="n"/>
      <c r="P475" s="1" t="n"/>
      <c r="Q475" s="1" t="n"/>
      <c r="R475" s="1" t="n"/>
      <c r="S475" s="1" t="n"/>
      <c r="T475" s="1" t="n"/>
      <c r="U475" s="1" t="n"/>
      <c r="V475" s="1" t="n"/>
      <c r="W475" s="1" t="n"/>
      <c r="X475" s="1" t="n"/>
      <c r="Y475" s="1" t="n"/>
      <c r="Z475" s="1" t="n"/>
    </row>
    <row r="476" ht="15" customHeight="1" s="311">
      <c r="A476" s="41">
        <f>IF($D476="","",ROW()-5)</f>
        <v/>
      </c>
      <c r="B476" s="144" t="n"/>
      <c r="C476" s="83" t="n"/>
      <c r="D476" s="146" t="n"/>
      <c r="E476" s="146" t="n"/>
      <c r="F476" s="146" t="n"/>
      <c r="G476" s="164">
        <f t="array" ref="G476">IF($F476="","",IFERROR(INDEX(Disponibilidad!$O$6:$O$18,MATCH($F476,Disponibilidad!$B$6:$B$18,0)),"Hogar"))</f>
        <v/>
      </c>
      <c r="H476" s="76" t="n"/>
      <c r="I476" s="57">
        <f>IF($D476="","",IF($C476="Cobro",N($H476),-N($H476)))</f>
        <v/>
      </c>
      <c r="J476" s="141" t="n"/>
      <c r="K476" s="64">
        <f>IF($B476="","",TEXT($B476,"YYYY-MM"))</f>
        <v/>
      </c>
      <c r="L476" s="145" t="n"/>
      <c r="M476" s="1" t="n"/>
      <c r="N476" s="1" t="n"/>
      <c r="O476" s="1" t="n"/>
      <c r="P476" s="1" t="n"/>
      <c r="Q476" s="1" t="n"/>
      <c r="R476" s="1" t="n"/>
      <c r="S476" s="1" t="n"/>
      <c r="T476" s="1" t="n"/>
      <c r="U476" s="1" t="n"/>
      <c r="V476" s="1" t="n"/>
      <c r="W476" s="1" t="n"/>
      <c r="X476" s="1" t="n"/>
      <c r="Y476" s="1" t="n"/>
      <c r="Z476" s="1" t="n"/>
    </row>
    <row r="477" ht="15" customHeight="1" s="311">
      <c r="A477" s="41">
        <f>IF($D477="","",ROW()-5)</f>
        <v/>
      </c>
      <c r="B477" s="144" t="n"/>
      <c r="C477" s="83" t="n"/>
      <c r="D477" s="146" t="n"/>
      <c r="E477" s="146" t="n"/>
      <c r="F477" s="146" t="n"/>
      <c r="G477" s="164">
        <f t="array" ref="G477">IF($F477="","",IFERROR(INDEX(Disponibilidad!$O$6:$O$18,MATCH($F477,Disponibilidad!$B$6:$B$18,0)),"Hogar"))</f>
        <v/>
      </c>
      <c r="H477" s="76" t="n"/>
      <c r="I477" s="57">
        <f>IF($D477="","",IF($C477="Cobro",N($H477),-N($H477)))</f>
        <v/>
      </c>
      <c r="J477" s="141" t="n"/>
      <c r="K477" s="64">
        <f>IF($B477="","",TEXT($B477,"YYYY-MM"))</f>
        <v/>
      </c>
      <c r="L477" s="145" t="n"/>
      <c r="M477" s="1" t="n"/>
      <c r="N477" s="1" t="n"/>
      <c r="O477" s="1" t="n"/>
      <c r="P477" s="1" t="n"/>
      <c r="Q477" s="1" t="n"/>
      <c r="R477" s="1" t="n"/>
      <c r="S477" s="1" t="n"/>
      <c r="T477" s="1" t="n"/>
      <c r="U477" s="1" t="n"/>
      <c r="V477" s="1" t="n"/>
      <c r="W477" s="1" t="n"/>
      <c r="X477" s="1" t="n"/>
      <c r="Y477" s="1" t="n"/>
      <c r="Z477" s="1" t="n"/>
    </row>
    <row r="478" ht="15" customHeight="1" s="311">
      <c r="A478" s="41">
        <f>IF($D478="","",ROW()-5)</f>
        <v/>
      </c>
      <c r="B478" s="144" t="n"/>
      <c r="C478" s="83" t="n"/>
      <c r="D478" s="146" t="n"/>
      <c r="E478" s="146" t="n"/>
      <c r="F478" s="146" t="n"/>
      <c r="G478" s="164">
        <f t="array" ref="G478">IF($F478="","",IFERROR(INDEX(Disponibilidad!$O$6:$O$18,MATCH($F478,Disponibilidad!$B$6:$B$18,0)),"Hogar"))</f>
        <v/>
      </c>
      <c r="H478" s="76" t="n"/>
      <c r="I478" s="57">
        <f>IF($D478="","",IF($C478="Cobro",N($H478),-N($H478)))</f>
        <v/>
      </c>
      <c r="J478" s="141" t="n"/>
      <c r="K478" s="64">
        <f>IF($B478="","",TEXT($B478,"YYYY-MM"))</f>
        <v/>
      </c>
      <c r="L478" s="145" t="n"/>
      <c r="M478" s="1" t="n"/>
      <c r="N478" s="1" t="n"/>
      <c r="O478" s="1" t="n"/>
      <c r="P478" s="1" t="n"/>
      <c r="Q478" s="1" t="n"/>
      <c r="R478" s="1" t="n"/>
      <c r="S478" s="1" t="n"/>
      <c r="T478" s="1" t="n"/>
      <c r="U478" s="1" t="n"/>
      <c r="V478" s="1" t="n"/>
      <c r="W478" s="1" t="n"/>
      <c r="X478" s="1" t="n"/>
      <c r="Y478" s="1" t="n"/>
      <c r="Z478" s="1" t="n"/>
    </row>
    <row r="479" ht="15" customHeight="1" s="311">
      <c r="A479" s="41">
        <f>IF($D479="","",ROW()-5)</f>
        <v/>
      </c>
      <c r="B479" s="144" t="n"/>
      <c r="C479" s="83" t="n"/>
      <c r="D479" s="146" t="n"/>
      <c r="E479" s="146" t="n"/>
      <c r="F479" s="146" t="n"/>
      <c r="G479" s="164">
        <f t="array" ref="G479">IF($F479="","",IFERROR(INDEX(Disponibilidad!$O$6:$O$18,MATCH($F479,Disponibilidad!$B$6:$B$18,0)),"Hogar"))</f>
        <v/>
      </c>
      <c r="H479" s="76" t="n"/>
      <c r="I479" s="57">
        <f>IF($D479="","",IF($C479="Cobro",N($H479),-N($H479)))</f>
        <v/>
      </c>
      <c r="J479" s="141" t="n"/>
      <c r="K479" s="64">
        <f>IF($B479="","",TEXT($B479,"YYYY-MM"))</f>
        <v/>
      </c>
      <c r="L479" s="145" t="n"/>
      <c r="M479" s="1" t="n"/>
      <c r="N479" s="1" t="n"/>
      <c r="O479" s="1" t="n"/>
      <c r="P479" s="1" t="n"/>
      <c r="Q479" s="1" t="n"/>
      <c r="R479" s="1" t="n"/>
      <c r="S479" s="1" t="n"/>
      <c r="T479" s="1" t="n"/>
      <c r="U479" s="1" t="n"/>
      <c r="V479" s="1" t="n"/>
      <c r="W479" s="1" t="n"/>
      <c r="X479" s="1" t="n"/>
      <c r="Y479" s="1" t="n"/>
      <c r="Z479" s="1" t="n"/>
    </row>
    <row r="480" ht="15" customHeight="1" s="311">
      <c r="A480" s="41">
        <f>IF($D480="","",ROW()-5)</f>
        <v/>
      </c>
      <c r="B480" s="144" t="n"/>
      <c r="C480" s="83" t="n"/>
      <c r="D480" s="146" t="n"/>
      <c r="E480" s="146" t="n"/>
      <c r="F480" s="146" t="n"/>
      <c r="G480" s="164">
        <f t="array" ref="G480">IF($F480="","",IFERROR(INDEX(Disponibilidad!$O$6:$O$18,MATCH($F480,Disponibilidad!$B$6:$B$18,0)),"Hogar"))</f>
        <v/>
      </c>
      <c r="H480" s="76" t="n"/>
      <c r="I480" s="57">
        <f>IF($D480="","",IF($C480="Cobro",N($H480),-N($H480)))</f>
        <v/>
      </c>
      <c r="J480" s="141" t="n"/>
      <c r="K480" s="64">
        <f>IF($B480="","",TEXT($B480,"YYYY-MM"))</f>
        <v/>
      </c>
      <c r="L480" s="145" t="n"/>
      <c r="M480" s="1" t="n"/>
      <c r="N480" s="1" t="n"/>
      <c r="O480" s="1" t="n"/>
      <c r="P480" s="1" t="n"/>
      <c r="Q480" s="1" t="n"/>
      <c r="R480" s="1" t="n"/>
      <c r="S480" s="1" t="n"/>
      <c r="T480" s="1" t="n"/>
      <c r="U480" s="1" t="n"/>
      <c r="V480" s="1" t="n"/>
      <c r="W480" s="1" t="n"/>
      <c r="X480" s="1" t="n"/>
      <c r="Y480" s="1" t="n"/>
      <c r="Z480" s="1" t="n"/>
    </row>
    <row r="481" ht="15" customHeight="1" s="311">
      <c r="A481" s="41">
        <f>IF($D481="","",ROW()-5)</f>
        <v/>
      </c>
      <c r="B481" s="144" t="n"/>
      <c r="C481" s="83" t="n"/>
      <c r="D481" s="146" t="n"/>
      <c r="E481" s="146" t="n"/>
      <c r="F481" s="146" t="n"/>
      <c r="G481" s="164">
        <f t="array" ref="G481">IF($F481="","",IFERROR(INDEX(Disponibilidad!$O$6:$O$18,MATCH($F481,Disponibilidad!$B$6:$B$18,0)),"Hogar"))</f>
        <v/>
      </c>
      <c r="H481" s="76" t="n"/>
      <c r="I481" s="57">
        <f>IF($D481="","",IF($C481="Cobro",N($H481),-N($H481)))</f>
        <v/>
      </c>
      <c r="J481" s="141" t="n"/>
      <c r="K481" s="64">
        <f>IF($B481="","",TEXT($B481,"YYYY-MM"))</f>
        <v/>
      </c>
      <c r="L481" s="145" t="n"/>
      <c r="M481" s="1" t="n"/>
      <c r="N481" s="1" t="n"/>
      <c r="O481" s="1" t="n"/>
      <c r="P481" s="1" t="n"/>
      <c r="Q481" s="1" t="n"/>
      <c r="R481" s="1" t="n"/>
      <c r="S481" s="1" t="n"/>
      <c r="T481" s="1" t="n"/>
      <c r="U481" s="1" t="n"/>
      <c r="V481" s="1" t="n"/>
      <c r="W481" s="1" t="n"/>
      <c r="X481" s="1" t="n"/>
      <c r="Y481" s="1" t="n"/>
      <c r="Z481" s="1" t="n"/>
    </row>
    <row r="482" ht="15" customHeight="1" s="311">
      <c r="A482" s="41">
        <f>IF($D482="","",ROW()-5)</f>
        <v/>
      </c>
      <c r="B482" s="144" t="n"/>
      <c r="C482" s="83" t="n"/>
      <c r="D482" s="146" t="n"/>
      <c r="E482" s="146" t="n"/>
      <c r="F482" s="146" t="n"/>
      <c r="G482" s="164">
        <f t="array" ref="G482">IF($F482="","",IFERROR(INDEX(Disponibilidad!$O$6:$O$18,MATCH($F482,Disponibilidad!$B$6:$B$18,0)),"Hogar"))</f>
        <v/>
      </c>
      <c r="H482" s="76" t="n"/>
      <c r="I482" s="57">
        <f>IF($D482="","",IF($C482="Cobro",N($H482),-N($H482)))</f>
        <v/>
      </c>
      <c r="J482" s="141" t="n"/>
      <c r="K482" s="64">
        <f>IF($B482="","",TEXT($B482,"YYYY-MM"))</f>
        <v/>
      </c>
      <c r="L482" s="145" t="n"/>
      <c r="M482" s="1" t="n"/>
      <c r="N482" s="1" t="n"/>
      <c r="O482" s="1" t="n"/>
      <c r="P482" s="1" t="n"/>
      <c r="Q482" s="1" t="n"/>
      <c r="R482" s="1" t="n"/>
      <c r="S482" s="1" t="n"/>
      <c r="T482" s="1" t="n"/>
      <c r="U482" s="1" t="n"/>
      <c r="V482" s="1" t="n"/>
      <c r="W482" s="1" t="n"/>
      <c r="X482" s="1" t="n"/>
      <c r="Y482" s="1" t="n"/>
      <c r="Z482" s="1" t="n"/>
    </row>
    <row r="483" ht="15" customHeight="1" s="311">
      <c r="A483" s="41">
        <f>IF($D483="","",ROW()-5)</f>
        <v/>
      </c>
      <c r="B483" s="144" t="n"/>
      <c r="C483" s="83" t="n"/>
      <c r="D483" s="146" t="n"/>
      <c r="E483" s="146" t="n"/>
      <c r="F483" s="146" t="n"/>
      <c r="G483" s="164">
        <f t="array" ref="G483">IF($F483="","",IFERROR(INDEX(Disponibilidad!$O$6:$O$18,MATCH($F483,Disponibilidad!$B$6:$B$18,0)),"Hogar"))</f>
        <v/>
      </c>
      <c r="H483" s="76" t="n"/>
      <c r="I483" s="57">
        <f>IF($D483="","",IF($C483="Cobro",N($H483),-N($H483)))</f>
        <v/>
      </c>
      <c r="J483" s="141" t="n"/>
      <c r="K483" s="64">
        <f>IF($B483="","",TEXT($B483,"YYYY-MM"))</f>
        <v/>
      </c>
      <c r="L483" s="145" t="n"/>
      <c r="M483" s="1" t="n"/>
      <c r="N483" s="1" t="n"/>
      <c r="O483" s="1" t="n"/>
      <c r="P483" s="1" t="n"/>
      <c r="Q483" s="1" t="n"/>
      <c r="R483" s="1" t="n"/>
      <c r="S483" s="1" t="n"/>
      <c r="T483" s="1" t="n"/>
      <c r="U483" s="1" t="n"/>
      <c r="V483" s="1" t="n"/>
      <c r="W483" s="1" t="n"/>
      <c r="X483" s="1" t="n"/>
      <c r="Y483" s="1" t="n"/>
      <c r="Z483" s="1" t="n"/>
    </row>
    <row r="484" ht="15" customHeight="1" s="311">
      <c r="A484" s="41">
        <f>IF($D484="","",ROW()-5)</f>
        <v/>
      </c>
      <c r="B484" s="144" t="n"/>
      <c r="C484" s="83" t="n"/>
      <c r="D484" s="146" t="n"/>
      <c r="E484" s="146" t="n"/>
      <c r="F484" s="146" t="n"/>
      <c r="G484" s="164">
        <f t="array" ref="G484">IF($F484="","",IFERROR(INDEX(Disponibilidad!$O$6:$O$18,MATCH($F484,Disponibilidad!$B$6:$B$18,0)),"Hogar"))</f>
        <v/>
      </c>
      <c r="H484" s="76" t="n"/>
      <c r="I484" s="57">
        <f>IF($D484="","",IF($C484="Cobro",N($H484),-N($H484)))</f>
        <v/>
      </c>
      <c r="J484" s="141" t="n"/>
      <c r="K484" s="64">
        <f>IF($B484="","",TEXT($B484,"YYYY-MM"))</f>
        <v/>
      </c>
      <c r="L484" s="145" t="n"/>
      <c r="M484" s="1" t="n"/>
      <c r="N484" s="1" t="n"/>
      <c r="O484" s="1" t="n"/>
      <c r="P484" s="1" t="n"/>
      <c r="Q484" s="1" t="n"/>
      <c r="R484" s="1" t="n"/>
      <c r="S484" s="1" t="n"/>
      <c r="T484" s="1" t="n"/>
      <c r="U484" s="1" t="n"/>
      <c r="V484" s="1" t="n"/>
      <c r="W484" s="1" t="n"/>
      <c r="X484" s="1" t="n"/>
      <c r="Y484" s="1" t="n"/>
      <c r="Z484" s="1" t="n"/>
    </row>
    <row r="485" ht="15" customHeight="1" s="311">
      <c r="A485" s="41">
        <f>IF($D485="","",ROW()-5)</f>
        <v/>
      </c>
      <c r="B485" s="144" t="n"/>
      <c r="C485" s="83" t="n"/>
      <c r="D485" s="146" t="n"/>
      <c r="E485" s="146" t="n"/>
      <c r="F485" s="146" t="n"/>
      <c r="G485" s="164">
        <f t="array" ref="G485">IF($F485="","",IFERROR(INDEX(Disponibilidad!$O$6:$O$18,MATCH($F485,Disponibilidad!$B$6:$B$18,0)),"Hogar"))</f>
        <v/>
      </c>
      <c r="H485" s="76" t="n"/>
      <c r="I485" s="57">
        <f>IF($D485="","",IF($C485="Cobro",N($H485),-N($H485)))</f>
        <v/>
      </c>
      <c r="J485" s="141" t="n"/>
      <c r="K485" s="64">
        <f>IF($B485="","",TEXT($B485,"YYYY-MM"))</f>
        <v/>
      </c>
      <c r="L485" s="145" t="n"/>
      <c r="M485" s="1" t="n"/>
      <c r="N485" s="1" t="n"/>
      <c r="O485" s="1" t="n"/>
      <c r="P485" s="1" t="n"/>
      <c r="Q485" s="1" t="n"/>
      <c r="R485" s="1" t="n"/>
      <c r="S485" s="1" t="n"/>
      <c r="T485" s="1" t="n"/>
      <c r="U485" s="1" t="n"/>
      <c r="V485" s="1" t="n"/>
      <c r="W485" s="1" t="n"/>
      <c r="X485" s="1" t="n"/>
      <c r="Y485" s="1" t="n"/>
      <c r="Z485" s="1" t="n"/>
    </row>
    <row r="486" ht="15" customHeight="1" s="311">
      <c r="A486" s="41">
        <f>IF($D486="","",ROW()-5)</f>
        <v/>
      </c>
      <c r="B486" s="144" t="n"/>
      <c r="C486" s="83" t="n"/>
      <c r="D486" s="146" t="n"/>
      <c r="E486" s="146" t="n"/>
      <c r="F486" s="146" t="n"/>
      <c r="G486" s="164">
        <f t="array" ref="G486">IF($F486="","",IFERROR(INDEX(Disponibilidad!$O$6:$O$18,MATCH($F486,Disponibilidad!$B$6:$B$18,0)),"Hogar"))</f>
        <v/>
      </c>
      <c r="H486" s="76" t="n"/>
      <c r="I486" s="57">
        <f>IF($D486="","",IF($C486="Cobro",N($H486),-N($H486)))</f>
        <v/>
      </c>
      <c r="J486" s="141" t="n"/>
      <c r="K486" s="64">
        <f>IF($B486="","",TEXT($B486,"YYYY-MM"))</f>
        <v/>
      </c>
      <c r="L486" s="145" t="n"/>
      <c r="M486" s="1" t="n"/>
      <c r="N486" s="1" t="n"/>
      <c r="O486" s="1" t="n"/>
      <c r="P486" s="1" t="n"/>
      <c r="Q486" s="1" t="n"/>
      <c r="R486" s="1" t="n"/>
      <c r="S486" s="1" t="n"/>
      <c r="T486" s="1" t="n"/>
      <c r="U486" s="1" t="n"/>
      <c r="V486" s="1" t="n"/>
      <c r="W486" s="1" t="n"/>
      <c r="X486" s="1" t="n"/>
      <c r="Y486" s="1" t="n"/>
      <c r="Z486" s="1" t="n"/>
    </row>
    <row r="487" ht="15" customHeight="1" s="311">
      <c r="A487" s="41">
        <f>IF($D487="","",ROW()-5)</f>
        <v/>
      </c>
      <c r="B487" s="144" t="n"/>
      <c r="C487" s="83" t="n"/>
      <c r="D487" s="146" t="n"/>
      <c r="E487" s="146" t="n"/>
      <c r="F487" s="146" t="n"/>
      <c r="G487" s="164">
        <f t="array" ref="G487">IF($F487="","",IFERROR(INDEX(Disponibilidad!$O$6:$O$18,MATCH($F487,Disponibilidad!$B$6:$B$18,0)),"Hogar"))</f>
        <v/>
      </c>
      <c r="H487" s="76" t="n"/>
      <c r="I487" s="57">
        <f>IF($D487="","",IF($C487="Cobro",N($H487),-N($H487)))</f>
        <v/>
      </c>
      <c r="J487" s="141" t="n"/>
      <c r="K487" s="64">
        <f>IF($B487="","",TEXT($B487,"YYYY-MM"))</f>
        <v/>
      </c>
      <c r="L487" s="145" t="n"/>
      <c r="M487" s="1" t="n"/>
      <c r="N487" s="1" t="n"/>
      <c r="O487" s="1" t="n"/>
      <c r="P487" s="1" t="n"/>
      <c r="Q487" s="1" t="n"/>
      <c r="R487" s="1" t="n"/>
      <c r="S487" s="1" t="n"/>
      <c r="T487" s="1" t="n"/>
      <c r="U487" s="1" t="n"/>
      <c r="V487" s="1" t="n"/>
      <c r="W487" s="1" t="n"/>
      <c r="X487" s="1" t="n"/>
      <c r="Y487" s="1" t="n"/>
      <c r="Z487" s="1" t="n"/>
    </row>
    <row r="488" ht="15" customHeight="1" s="311">
      <c r="A488" s="41">
        <f>IF($D488="","",ROW()-5)</f>
        <v/>
      </c>
      <c r="B488" s="144" t="n"/>
      <c r="C488" s="83" t="n"/>
      <c r="D488" s="146" t="n"/>
      <c r="E488" s="146" t="n"/>
      <c r="F488" s="146" t="n"/>
      <c r="G488" s="164">
        <f t="array" ref="G488">IF($F488="","",IFERROR(INDEX(Disponibilidad!$O$6:$O$18,MATCH($F488,Disponibilidad!$B$6:$B$18,0)),"Hogar"))</f>
        <v/>
      </c>
      <c r="H488" s="76" t="n"/>
      <c r="I488" s="57">
        <f>IF($D488="","",IF($C488="Cobro",N($H488),-N($H488)))</f>
        <v/>
      </c>
      <c r="J488" s="141" t="n"/>
      <c r="K488" s="64">
        <f>IF($B488="","",TEXT($B488,"YYYY-MM"))</f>
        <v/>
      </c>
      <c r="L488" s="145" t="n"/>
      <c r="M488" s="1" t="n"/>
      <c r="N488" s="1" t="n"/>
      <c r="O488" s="1" t="n"/>
      <c r="P488" s="1" t="n"/>
      <c r="Q488" s="1" t="n"/>
      <c r="R488" s="1" t="n"/>
      <c r="S488" s="1" t="n"/>
      <c r="T488" s="1" t="n"/>
      <c r="U488" s="1" t="n"/>
      <c r="V488" s="1" t="n"/>
      <c r="W488" s="1" t="n"/>
      <c r="X488" s="1" t="n"/>
      <c r="Y488" s="1" t="n"/>
      <c r="Z488" s="1" t="n"/>
    </row>
    <row r="489" ht="15" customHeight="1" s="311">
      <c r="A489" s="41">
        <f>IF($D489="","",ROW()-5)</f>
        <v/>
      </c>
      <c r="B489" s="144" t="n"/>
      <c r="C489" s="83" t="n"/>
      <c r="D489" s="146" t="n"/>
      <c r="E489" s="146" t="n"/>
      <c r="F489" s="146" t="n"/>
      <c r="G489" s="164">
        <f t="array" ref="G489">IF($F489="","",IFERROR(INDEX(Disponibilidad!$O$6:$O$18,MATCH($F489,Disponibilidad!$B$6:$B$18,0)),"Hogar"))</f>
        <v/>
      </c>
      <c r="H489" s="76" t="n"/>
      <c r="I489" s="57">
        <f>IF($D489="","",IF($C489="Cobro",N($H489),-N($H489)))</f>
        <v/>
      </c>
      <c r="J489" s="141" t="n"/>
      <c r="K489" s="64">
        <f>IF($B489="","",TEXT($B489,"YYYY-MM"))</f>
        <v/>
      </c>
      <c r="L489" s="145" t="n"/>
      <c r="M489" s="1" t="n"/>
      <c r="N489" s="1" t="n"/>
      <c r="O489" s="1" t="n"/>
      <c r="P489" s="1" t="n"/>
      <c r="Q489" s="1" t="n"/>
      <c r="R489" s="1" t="n"/>
      <c r="S489" s="1" t="n"/>
      <c r="T489" s="1" t="n"/>
      <c r="U489" s="1" t="n"/>
      <c r="V489" s="1" t="n"/>
      <c r="W489" s="1" t="n"/>
      <c r="X489" s="1" t="n"/>
      <c r="Y489" s="1" t="n"/>
      <c r="Z489" s="1" t="n"/>
    </row>
    <row r="490" ht="15" customHeight="1" s="311">
      <c r="A490" s="41">
        <f>IF($D490="","",ROW()-5)</f>
        <v/>
      </c>
      <c r="B490" s="144" t="n"/>
      <c r="C490" s="83" t="n"/>
      <c r="D490" s="146" t="n"/>
      <c r="E490" s="146" t="n"/>
      <c r="F490" s="146" t="n"/>
      <c r="G490" s="164">
        <f t="array" ref="G490">IF($F490="","",IFERROR(INDEX(Disponibilidad!$O$6:$O$18,MATCH($F490,Disponibilidad!$B$6:$B$18,0)),"Hogar"))</f>
        <v/>
      </c>
      <c r="H490" s="76" t="n"/>
      <c r="I490" s="57">
        <f>IF($D490="","",IF($C490="Cobro",N($H490),-N($H490)))</f>
        <v/>
      </c>
      <c r="J490" s="141" t="n"/>
      <c r="K490" s="64">
        <f>IF($B490="","",TEXT($B490,"YYYY-MM"))</f>
        <v/>
      </c>
      <c r="L490" s="145" t="n"/>
      <c r="M490" s="1" t="n"/>
      <c r="N490" s="1" t="n"/>
      <c r="O490" s="1" t="n"/>
      <c r="P490" s="1" t="n"/>
      <c r="Q490" s="1" t="n"/>
      <c r="R490" s="1" t="n"/>
      <c r="S490" s="1" t="n"/>
      <c r="T490" s="1" t="n"/>
      <c r="U490" s="1" t="n"/>
      <c r="V490" s="1" t="n"/>
      <c r="W490" s="1" t="n"/>
      <c r="X490" s="1" t="n"/>
      <c r="Y490" s="1" t="n"/>
      <c r="Z490" s="1" t="n"/>
    </row>
    <row r="491" ht="15" customHeight="1" s="311">
      <c r="A491" s="41">
        <f>IF($D491="","",ROW()-5)</f>
        <v/>
      </c>
      <c r="B491" s="144" t="n"/>
      <c r="C491" s="83" t="n"/>
      <c r="D491" s="146" t="n"/>
      <c r="E491" s="146" t="n"/>
      <c r="F491" s="146" t="n"/>
      <c r="G491" s="164">
        <f t="array" ref="G491">IF($F491="","",IFERROR(INDEX(Disponibilidad!$O$6:$O$18,MATCH($F491,Disponibilidad!$B$6:$B$18,0)),"Hogar"))</f>
        <v/>
      </c>
      <c r="H491" s="76" t="n"/>
      <c r="I491" s="57">
        <f>IF($D491="","",IF($C491="Cobro",N($H491),-N($H491)))</f>
        <v/>
      </c>
      <c r="J491" s="141" t="n"/>
      <c r="K491" s="64">
        <f>IF($B491="","",TEXT($B491,"YYYY-MM"))</f>
        <v/>
      </c>
      <c r="L491" s="145" t="n"/>
      <c r="M491" s="1" t="n"/>
      <c r="N491" s="1" t="n"/>
      <c r="O491" s="1" t="n"/>
      <c r="P491" s="1" t="n"/>
      <c r="Q491" s="1" t="n"/>
      <c r="R491" s="1" t="n"/>
      <c r="S491" s="1" t="n"/>
      <c r="T491" s="1" t="n"/>
      <c r="U491" s="1" t="n"/>
      <c r="V491" s="1" t="n"/>
      <c r="W491" s="1" t="n"/>
      <c r="X491" s="1" t="n"/>
      <c r="Y491" s="1" t="n"/>
      <c r="Z491" s="1" t="n"/>
    </row>
    <row r="492" ht="15" customHeight="1" s="311">
      <c r="A492" s="41">
        <f>IF($D492="","",ROW()-5)</f>
        <v/>
      </c>
      <c r="B492" s="144" t="n"/>
      <c r="C492" s="83" t="n"/>
      <c r="D492" s="146" t="n"/>
      <c r="E492" s="146" t="n"/>
      <c r="F492" s="146" t="n"/>
      <c r="G492" s="164">
        <f t="array" ref="G492">IF($F492="","",IFERROR(INDEX(Disponibilidad!$O$6:$O$18,MATCH($F492,Disponibilidad!$B$6:$B$18,0)),"Hogar"))</f>
        <v/>
      </c>
      <c r="H492" s="76" t="n"/>
      <c r="I492" s="57">
        <f>IF($D492="","",IF($C492="Cobro",N($H492),-N($H492)))</f>
        <v/>
      </c>
      <c r="J492" s="141" t="n"/>
      <c r="K492" s="64">
        <f>IF($B492="","",TEXT($B492,"YYYY-MM"))</f>
        <v/>
      </c>
      <c r="L492" s="145" t="n"/>
      <c r="M492" s="1" t="n"/>
      <c r="N492" s="1" t="n"/>
      <c r="O492" s="1" t="n"/>
      <c r="P492" s="1" t="n"/>
      <c r="Q492" s="1" t="n"/>
      <c r="R492" s="1" t="n"/>
      <c r="S492" s="1" t="n"/>
      <c r="T492" s="1" t="n"/>
      <c r="U492" s="1" t="n"/>
      <c r="V492" s="1" t="n"/>
      <c r="W492" s="1" t="n"/>
      <c r="X492" s="1" t="n"/>
      <c r="Y492" s="1" t="n"/>
      <c r="Z492" s="1" t="n"/>
    </row>
    <row r="493" ht="15" customHeight="1" s="311">
      <c r="A493" s="41">
        <f>IF($D493="","",ROW()-5)</f>
        <v/>
      </c>
      <c r="B493" s="144" t="n"/>
      <c r="C493" s="83" t="n"/>
      <c r="D493" s="146" t="n"/>
      <c r="E493" s="146" t="n"/>
      <c r="F493" s="146" t="n"/>
      <c r="G493" s="164">
        <f t="array" ref="G493">IF($F493="","",IFERROR(INDEX(Disponibilidad!$O$6:$O$18,MATCH($F493,Disponibilidad!$B$6:$B$18,0)),"Hogar"))</f>
        <v/>
      </c>
      <c r="H493" s="76" t="n"/>
      <c r="I493" s="57">
        <f>IF($D493="","",IF($C493="Cobro",N($H493),-N($H493)))</f>
        <v/>
      </c>
      <c r="J493" s="141" t="n"/>
      <c r="K493" s="64">
        <f>IF($B493="","",TEXT($B493,"YYYY-MM"))</f>
        <v/>
      </c>
      <c r="L493" s="145" t="n"/>
      <c r="M493" s="1" t="n"/>
      <c r="N493" s="1" t="n"/>
      <c r="O493" s="1" t="n"/>
      <c r="P493" s="1" t="n"/>
      <c r="Q493" s="1" t="n"/>
      <c r="R493" s="1" t="n"/>
      <c r="S493" s="1" t="n"/>
      <c r="T493" s="1" t="n"/>
      <c r="U493" s="1" t="n"/>
      <c r="V493" s="1" t="n"/>
      <c r="W493" s="1" t="n"/>
      <c r="X493" s="1" t="n"/>
      <c r="Y493" s="1" t="n"/>
      <c r="Z493" s="1" t="n"/>
    </row>
    <row r="494" ht="15" customHeight="1" s="311">
      <c r="A494" s="41">
        <f>IF($D494="","",ROW()-5)</f>
        <v/>
      </c>
      <c r="B494" s="144" t="n"/>
      <c r="C494" s="83" t="n"/>
      <c r="D494" s="146" t="n"/>
      <c r="E494" s="146" t="n"/>
      <c r="F494" s="146" t="n"/>
      <c r="G494" s="164">
        <f t="array" ref="G494">IF($F494="","",IFERROR(INDEX(Disponibilidad!$O$6:$O$18,MATCH($F494,Disponibilidad!$B$6:$B$18,0)),"Hogar"))</f>
        <v/>
      </c>
      <c r="H494" s="76" t="n"/>
      <c r="I494" s="57">
        <f>IF($D494="","",IF($C494="Cobro",N($H494),-N($H494)))</f>
        <v/>
      </c>
      <c r="J494" s="141" t="n"/>
      <c r="K494" s="64">
        <f>IF($B494="","",TEXT($B494,"YYYY-MM"))</f>
        <v/>
      </c>
      <c r="L494" s="145" t="n"/>
      <c r="M494" s="1" t="n"/>
      <c r="N494" s="1" t="n"/>
      <c r="O494" s="1" t="n"/>
      <c r="P494" s="1" t="n"/>
      <c r="Q494" s="1" t="n"/>
      <c r="R494" s="1" t="n"/>
      <c r="S494" s="1" t="n"/>
      <c r="T494" s="1" t="n"/>
      <c r="U494" s="1" t="n"/>
      <c r="V494" s="1" t="n"/>
      <c r="W494" s="1" t="n"/>
      <c r="X494" s="1" t="n"/>
      <c r="Y494" s="1" t="n"/>
      <c r="Z494" s="1" t="n"/>
    </row>
    <row r="495" ht="15" customHeight="1" s="311">
      <c r="A495" s="41">
        <f>IF($D495="","",ROW()-5)</f>
        <v/>
      </c>
      <c r="B495" s="144" t="n"/>
      <c r="C495" s="83" t="n"/>
      <c r="D495" s="146" t="n"/>
      <c r="E495" s="146" t="n"/>
      <c r="F495" s="146" t="n"/>
      <c r="G495" s="164">
        <f t="array" ref="G495">IF($F495="","",IFERROR(INDEX(Disponibilidad!$O$6:$O$18,MATCH($F495,Disponibilidad!$B$6:$B$18,0)),"Hogar"))</f>
        <v/>
      </c>
      <c r="H495" s="76" t="n"/>
      <c r="I495" s="57">
        <f>IF($D495="","",IF($C495="Cobro",N($H495),-N($H495)))</f>
        <v/>
      </c>
      <c r="J495" s="141" t="n"/>
      <c r="K495" s="64">
        <f>IF($B495="","",TEXT($B495,"YYYY-MM"))</f>
        <v/>
      </c>
      <c r="L495" s="145" t="n"/>
      <c r="M495" s="1" t="n"/>
      <c r="N495" s="1" t="n"/>
      <c r="O495" s="1" t="n"/>
      <c r="P495" s="1" t="n"/>
      <c r="Q495" s="1" t="n"/>
      <c r="R495" s="1" t="n"/>
      <c r="S495" s="1" t="n"/>
      <c r="T495" s="1" t="n"/>
      <c r="U495" s="1" t="n"/>
      <c r="V495" s="1" t="n"/>
      <c r="W495" s="1" t="n"/>
      <c r="X495" s="1" t="n"/>
      <c r="Y495" s="1" t="n"/>
      <c r="Z495" s="1" t="n"/>
    </row>
    <row r="496" ht="15" customHeight="1" s="311">
      <c r="A496" s="41">
        <f>IF($D496="","",ROW()-5)</f>
        <v/>
      </c>
      <c r="B496" s="144" t="n"/>
      <c r="C496" s="83" t="n"/>
      <c r="D496" s="146" t="n"/>
      <c r="E496" s="146" t="n"/>
      <c r="F496" s="146" t="n"/>
      <c r="G496" s="164">
        <f t="array" ref="G496">IF($F496="","",IFERROR(INDEX(Disponibilidad!$O$6:$O$18,MATCH($F496,Disponibilidad!$B$6:$B$18,0)),"Hogar"))</f>
        <v/>
      </c>
      <c r="H496" s="76" t="n"/>
      <c r="I496" s="57">
        <f>IF($D496="","",IF($C496="Cobro",N($H496),-N($H496)))</f>
        <v/>
      </c>
      <c r="J496" s="141" t="n"/>
      <c r="K496" s="64">
        <f>IF($B496="","",TEXT($B496,"YYYY-MM"))</f>
        <v/>
      </c>
      <c r="L496" s="145" t="n"/>
      <c r="M496" s="1" t="n"/>
      <c r="N496" s="1" t="n"/>
      <c r="O496" s="1" t="n"/>
      <c r="P496" s="1" t="n"/>
      <c r="Q496" s="1" t="n"/>
      <c r="R496" s="1" t="n"/>
      <c r="S496" s="1" t="n"/>
      <c r="T496" s="1" t="n"/>
      <c r="U496" s="1" t="n"/>
      <c r="V496" s="1" t="n"/>
      <c r="W496" s="1" t="n"/>
      <c r="X496" s="1" t="n"/>
      <c r="Y496" s="1" t="n"/>
      <c r="Z496" s="1" t="n"/>
    </row>
    <row r="497" ht="15" customHeight="1" s="311">
      <c r="A497" s="41">
        <f>IF($D497="","",ROW()-5)</f>
        <v/>
      </c>
      <c r="B497" s="144" t="n"/>
      <c r="C497" s="83" t="n"/>
      <c r="D497" s="146" t="n"/>
      <c r="E497" s="146" t="n"/>
      <c r="F497" s="146" t="n"/>
      <c r="G497" s="164">
        <f t="array" ref="G497">IF($F497="","",IFERROR(INDEX(Disponibilidad!$O$6:$O$18,MATCH($F497,Disponibilidad!$B$6:$B$18,0)),"Hogar"))</f>
        <v/>
      </c>
      <c r="H497" s="76" t="n"/>
      <c r="I497" s="57">
        <f>IF($D497="","",IF($C497="Cobro",N($H497),-N($H497)))</f>
        <v/>
      </c>
      <c r="J497" s="141" t="n"/>
      <c r="K497" s="64">
        <f>IF($B497="","",TEXT($B497,"YYYY-MM"))</f>
        <v/>
      </c>
      <c r="L497" s="145" t="n"/>
      <c r="M497" s="1" t="n"/>
      <c r="N497" s="1" t="n"/>
      <c r="O497" s="1" t="n"/>
      <c r="P497" s="1" t="n"/>
      <c r="Q497" s="1" t="n"/>
      <c r="R497" s="1" t="n"/>
      <c r="S497" s="1" t="n"/>
      <c r="T497" s="1" t="n"/>
      <c r="U497" s="1" t="n"/>
      <c r="V497" s="1" t="n"/>
      <c r="W497" s="1" t="n"/>
      <c r="X497" s="1" t="n"/>
      <c r="Y497" s="1" t="n"/>
      <c r="Z497" s="1" t="n"/>
    </row>
    <row r="498" ht="15" customHeight="1" s="311">
      <c r="A498" s="41">
        <f>IF($D498="","",ROW()-5)</f>
        <v/>
      </c>
      <c r="B498" s="144" t="n"/>
      <c r="C498" s="83" t="n"/>
      <c r="D498" s="146" t="n"/>
      <c r="E498" s="146" t="n"/>
      <c r="F498" s="146" t="n"/>
      <c r="G498" s="164">
        <f t="array" ref="G498">IF($F498="","",IFERROR(INDEX(Disponibilidad!$O$6:$O$18,MATCH($F498,Disponibilidad!$B$6:$B$18,0)),"Hogar"))</f>
        <v/>
      </c>
      <c r="H498" s="76" t="n"/>
      <c r="I498" s="57">
        <f>IF($D498="","",IF($C498="Cobro",N($H498),-N($H498)))</f>
        <v/>
      </c>
      <c r="J498" s="141" t="n"/>
      <c r="K498" s="64">
        <f>IF($B498="","",TEXT($B498,"YYYY-MM"))</f>
        <v/>
      </c>
      <c r="L498" s="145" t="n"/>
      <c r="M498" s="1" t="n"/>
      <c r="N498" s="1" t="n"/>
      <c r="O498" s="1" t="n"/>
      <c r="P498" s="1" t="n"/>
      <c r="Q498" s="1" t="n"/>
      <c r="R498" s="1" t="n"/>
      <c r="S498" s="1" t="n"/>
      <c r="T498" s="1" t="n"/>
      <c r="U498" s="1" t="n"/>
      <c r="V498" s="1" t="n"/>
      <c r="W498" s="1" t="n"/>
      <c r="X498" s="1" t="n"/>
      <c r="Y498" s="1" t="n"/>
      <c r="Z498" s="1" t="n"/>
    </row>
    <row r="499" ht="15" customHeight="1" s="311">
      <c r="A499" s="41">
        <f>IF($D499="","",ROW()-5)</f>
        <v/>
      </c>
      <c r="B499" s="144" t="n"/>
      <c r="C499" s="83" t="n"/>
      <c r="D499" s="146" t="n"/>
      <c r="E499" s="146" t="n"/>
      <c r="F499" s="146" t="n"/>
      <c r="G499" s="164">
        <f t="array" ref="G499">IF($F499="","",IFERROR(INDEX(Disponibilidad!$O$6:$O$18,MATCH($F499,Disponibilidad!$B$6:$B$18,0)),"Hogar"))</f>
        <v/>
      </c>
      <c r="H499" s="76" t="n"/>
      <c r="I499" s="57">
        <f>IF($D499="","",IF($C499="Cobro",N($H499),-N($H499)))</f>
        <v/>
      </c>
      <c r="J499" s="141" t="n"/>
      <c r="K499" s="64">
        <f>IF($B499="","",TEXT($B499,"YYYY-MM"))</f>
        <v/>
      </c>
      <c r="L499" s="145" t="n"/>
      <c r="M499" s="1" t="n"/>
      <c r="N499" s="1" t="n"/>
      <c r="O499" s="1" t="n"/>
      <c r="P499" s="1" t="n"/>
      <c r="Q499" s="1" t="n"/>
      <c r="R499" s="1" t="n"/>
      <c r="S499" s="1" t="n"/>
      <c r="T499" s="1" t="n"/>
      <c r="U499" s="1" t="n"/>
      <c r="V499" s="1" t="n"/>
      <c r="W499" s="1" t="n"/>
      <c r="X499" s="1" t="n"/>
      <c r="Y499" s="1" t="n"/>
      <c r="Z499" s="1" t="n"/>
    </row>
    <row r="500" ht="15" customHeight="1" s="311">
      <c r="A500" s="41">
        <f>IF($D500="","",ROW()-5)</f>
        <v/>
      </c>
      <c r="B500" s="144" t="n"/>
      <c r="C500" s="83" t="n"/>
      <c r="D500" s="146" t="n"/>
      <c r="E500" s="146" t="n"/>
      <c r="F500" s="146" t="n"/>
      <c r="G500" s="164">
        <f t="array" ref="G500">IF($F500="","",IFERROR(INDEX(Disponibilidad!$O$6:$O$18,MATCH($F500,Disponibilidad!$B$6:$B$18,0)),"Hogar"))</f>
        <v/>
      </c>
      <c r="H500" s="76" t="n"/>
      <c r="I500" s="57">
        <f>IF($D500="","",IF($C500="Cobro",N($H500),-N($H500)))</f>
        <v/>
      </c>
      <c r="J500" s="141" t="n"/>
      <c r="K500" s="64">
        <f>IF($B500="","",TEXT($B500,"YYYY-MM"))</f>
        <v/>
      </c>
      <c r="L500" s="145" t="n"/>
      <c r="M500" s="1" t="n"/>
      <c r="N500" s="1" t="n"/>
      <c r="O500" s="1" t="n"/>
      <c r="P500" s="1" t="n"/>
      <c r="Q500" s="1" t="n"/>
      <c r="R500" s="1" t="n"/>
      <c r="S500" s="1" t="n"/>
      <c r="T500" s="1" t="n"/>
      <c r="U500" s="1" t="n"/>
      <c r="V500" s="1" t="n"/>
      <c r="W500" s="1" t="n"/>
      <c r="X500" s="1" t="n"/>
      <c r="Y500" s="1" t="n"/>
      <c r="Z500" s="1" t="n"/>
    </row>
    <row r="501" ht="15" customHeight="1" s="311">
      <c r="A501" s="41">
        <f>IF($D501="","",ROW()-5)</f>
        <v/>
      </c>
      <c r="B501" s="144" t="n"/>
      <c r="C501" s="83" t="n"/>
      <c r="D501" s="146" t="n"/>
      <c r="E501" s="146" t="n"/>
      <c r="F501" s="146" t="n"/>
      <c r="G501" s="164">
        <f t="array" ref="G501">IF($F501="","",IFERROR(INDEX(Disponibilidad!$O$6:$O$18,MATCH($F501,Disponibilidad!$B$6:$B$18,0)),"Hogar"))</f>
        <v/>
      </c>
      <c r="H501" s="76" t="n"/>
      <c r="I501" s="57">
        <f>IF($D501="","",IF($C501="Cobro",N($H501),-N($H501)))</f>
        <v/>
      </c>
      <c r="J501" s="141" t="n"/>
      <c r="K501" s="64">
        <f>IF($B501="","",TEXT($B501,"YYYY-MM"))</f>
        <v/>
      </c>
      <c r="L501" s="145" t="n"/>
      <c r="M501" s="1" t="n"/>
      <c r="N501" s="1" t="n"/>
      <c r="O501" s="1" t="n"/>
      <c r="P501" s="1" t="n"/>
      <c r="Q501" s="1" t="n"/>
      <c r="R501" s="1" t="n"/>
      <c r="S501" s="1" t="n"/>
      <c r="T501" s="1" t="n"/>
      <c r="U501" s="1" t="n"/>
      <c r="V501" s="1" t="n"/>
      <c r="W501" s="1" t="n"/>
      <c r="X501" s="1" t="n"/>
      <c r="Y501" s="1" t="n"/>
      <c r="Z501" s="1" t="n"/>
    </row>
    <row r="502" ht="15" customHeight="1" s="311">
      <c r="A502" s="41">
        <f>IF($D502="","",ROW()-5)</f>
        <v/>
      </c>
      <c r="B502" s="144" t="n"/>
      <c r="C502" s="83" t="n"/>
      <c r="D502" s="146" t="n"/>
      <c r="E502" s="146" t="n"/>
      <c r="F502" s="146" t="n"/>
      <c r="G502" s="164">
        <f t="array" ref="G502">IF($F502="","",IFERROR(INDEX(Disponibilidad!$O$6:$O$18,MATCH($F502,Disponibilidad!$B$6:$B$18,0)),"Hogar"))</f>
        <v/>
      </c>
      <c r="H502" s="76" t="n"/>
      <c r="I502" s="57">
        <f>IF($D502="","",IF($C502="Cobro",N($H502),-N($H502)))</f>
        <v/>
      </c>
      <c r="J502" s="141" t="n"/>
      <c r="K502" s="64">
        <f>IF($B502="","",TEXT($B502,"YYYY-MM"))</f>
        <v/>
      </c>
      <c r="L502" s="145" t="n"/>
      <c r="M502" s="1" t="n"/>
      <c r="N502" s="1" t="n"/>
      <c r="O502" s="1" t="n"/>
      <c r="P502" s="1" t="n"/>
      <c r="Q502" s="1" t="n"/>
      <c r="R502" s="1" t="n"/>
      <c r="S502" s="1" t="n"/>
      <c r="T502" s="1" t="n"/>
      <c r="U502" s="1" t="n"/>
      <c r="V502" s="1" t="n"/>
      <c r="W502" s="1" t="n"/>
      <c r="X502" s="1" t="n"/>
      <c r="Y502" s="1" t="n"/>
      <c r="Z502" s="1" t="n"/>
    </row>
    <row r="503" ht="15" customHeight="1" s="311">
      <c r="A503" s="41">
        <f>IF($D503="","",ROW()-5)</f>
        <v/>
      </c>
      <c r="B503" s="144" t="n"/>
      <c r="C503" s="83" t="n"/>
      <c r="D503" s="146" t="n"/>
      <c r="E503" s="146" t="n"/>
      <c r="F503" s="146" t="n"/>
      <c r="G503" s="164">
        <f t="array" ref="G503">IF($F503="","",IFERROR(INDEX(Disponibilidad!$O$6:$O$18,MATCH($F503,Disponibilidad!$B$6:$B$18,0)),"Hogar"))</f>
        <v/>
      </c>
      <c r="H503" s="76" t="n"/>
      <c r="I503" s="57">
        <f>IF($D503="","",IF($C503="Cobro",N($H503),-N($H503)))</f>
        <v/>
      </c>
      <c r="J503" s="141" t="n"/>
      <c r="K503" s="64">
        <f>IF($B503="","",TEXT($B503,"YYYY-MM"))</f>
        <v/>
      </c>
      <c r="L503" s="145" t="n"/>
      <c r="M503" s="1" t="n"/>
      <c r="N503" s="1" t="n"/>
      <c r="O503" s="1" t="n"/>
      <c r="P503" s="1" t="n"/>
      <c r="Q503" s="1" t="n"/>
      <c r="R503" s="1" t="n"/>
      <c r="S503" s="1" t="n"/>
      <c r="T503" s="1" t="n"/>
      <c r="U503" s="1" t="n"/>
      <c r="V503" s="1" t="n"/>
      <c r="W503" s="1" t="n"/>
      <c r="X503" s="1" t="n"/>
      <c r="Y503" s="1" t="n"/>
      <c r="Z503" s="1" t="n"/>
    </row>
    <row r="504" ht="15" customHeight="1" s="311">
      <c r="A504" s="41">
        <f>IF($D504="","",ROW()-5)</f>
        <v/>
      </c>
      <c r="B504" s="144" t="n"/>
      <c r="C504" s="83" t="n"/>
      <c r="D504" s="146" t="n"/>
      <c r="E504" s="146" t="n"/>
      <c r="F504" s="146" t="n"/>
      <c r="G504" s="164">
        <f t="array" ref="G504">IF($F504="","",IFERROR(INDEX(Disponibilidad!$O$6:$O$18,MATCH($F504,Disponibilidad!$B$6:$B$18,0)),"Hogar"))</f>
        <v/>
      </c>
      <c r="H504" s="76" t="n"/>
      <c r="I504" s="57">
        <f>IF($D504="","",IF($C504="Cobro",N($H504),-N($H504)))</f>
        <v/>
      </c>
      <c r="J504" s="141" t="n"/>
      <c r="K504" s="64">
        <f>IF($B504="","",TEXT($B504,"YYYY-MM"))</f>
        <v/>
      </c>
      <c r="L504" s="145" t="n"/>
      <c r="M504" s="1" t="n"/>
      <c r="N504" s="1" t="n"/>
      <c r="O504" s="1" t="n"/>
      <c r="P504" s="1" t="n"/>
      <c r="Q504" s="1" t="n"/>
      <c r="R504" s="1" t="n"/>
      <c r="S504" s="1" t="n"/>
      <c r="T504" s="1" t="n"/>
      <c r="U504" s="1" t="n"/>
      <c r="V504" s="1" t="n"/>
      <c r="W504" s="1" t="n"/>
      <c r="X504" s="1" t="n"/>
      <c r="Y504" s="1" t="n"/>
      <c r="Z504" s="1" t="n"/>
    </row>
    <row r="505" ht="15" customHeight="1" s="311">
      <c r="A505" s="41">
        <f>IF($D505="","",ROW()-5)</f>
        <v/>
      </c>
      <c r="B505" s="144" t="n"/>
      <c r="C505" s="83" t="n"/>
      <c r="D505" s="146" t="n"/>
      <c r="E505" s="146" t="n"/>
      <c r="F505" s="146" t="n"/>
      <c r="G505" s="164">
        <f t="array" ref="G505">IF($F505="","",IFERROR(INDEX(Disponibilidad!$O$6:$O$18,MATCH($F505,Disponibilidad!$B$6:$B$18,0)),"Hogar"))</f>
        <v/>
      </c>
      <c r="H505" s="76" t="n"/>
      <c r="I505" s="57">
        <f>IF($D505="","",IF($C505="Cobro",N($H505),-N($H505)))</f>
        <v/>
      </c>
      <c r="J505" s="141" t="n"/>
      <c r="K505" s="64">
        <f>IF($B505="","",TEXT($B505,"YYYY-MM"))</f>
        <v/>
      </c>
      <c r="L505" s="145" t="n"/>
      <c r="M505" s="1" t="n"/>
      <c r="N505" s="1" t="n"/>
      <c r="O505" s="1" t="n"/>
      <c r="P505" s="1" t="n"/>
      <c r="Q505" s="1" t="n"/>
      <c r="R505" s="1" t="n"/>
      <c r="S505" s="1" t="n"/>
      <c r="T505" s="1" t="n"/>
      <c r="U505" s="1" t="n"/>
      <c r="V505" s="1" t="n"/>
      <c r="W505" s="1" t="n"/>
      <c r="X505" s="1" t="n"/>
      <c r="Y505" s="1" t="n"/>
      <c r="Z505" s="1" t="n"/>
    </row>
    <row r="506" ht="15" customHeight="1" s="311">
      <c r="A506" s="39" t="n"/>
      <c r="B506" s="39" t="n"/>
      <c r="C506" s="39" t="n"/>
      <c r="D506" s="38" t="inlineStr">
        <is>
          <t>TOTALES</t>
        </is>
      </c>
      <c r="E506" s="39" t="n"/>
      <c r="F506" s="39" t="n"/>
      <c r="G506" s="39" t="n"/>
      <c r="H506" s="86">
        <f>SUM(H$6:H$505)</f>
        <v/>
      </c>
      <c r="I506" s="86">
        <f>SUM(I$6:I$505)</f>
        <v/>
      </c>
      <c r="J506" s="39" t="n"/>
      <c r="K506" s="39" t="n"/>
      <c r="L506" s="145" t="n"/>
      <c r="M506" s="145" t="n"/>
      <c r="N506" s="145" t="n"/>
      <c r="O506" s="1" t="n"/>
      <c r="P506" s="1" t="n"/>
      <c r="Q506" s="1" t="n"/>
      <c r="R506" s="1" t="n"/>
      <c r="S506" s="1" t="n"/>
      <c r="T506" s="1" t="n"/>
      <c r="U506" s="1" t="n"/>
      <c r="V506" s="1" t="n"/>
      <c r="W506" s="1" t="n"/>
      <c r="X506" s="1" t="n"/>
      <c r="Y506" s="1" t="n"/>
      <c r="Z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row>
  </sheetData>
  <mergeCells count="1">
    <mergeCell ref="B2:H2"/>
  </mergeCells>
  <conditionalFormatting sqref="I6:I505">
    <cfRule type="cellIs" priority="1" operator="lessThan" dxfId="9">
      <formula>0</formula>
    </cfRule>
  </conditionalFormatting>
  <conditionalFormatting sqref="S6:S19">
    <cfRule type="cellIs" priority="2" operator="lessThan" dxfId="3">
      <formula>0</formula>
    </cfRule>
  </conditionalFormatting>
  <dataValidations count="3">
    <dataValidation sqref="E6:E505" showDropDown="0" showInputMessage="0" showErrorMessage="0" allowBlank="1" type="list">
      <formula1>$N$5:$N$36</formula1>
    </dataValidation>
    <dataValidation sqref="F6:F505" showDropDown="0" showInputMessage="0" showErrorMessage="0" allowBlank="1" type="list">
      <formula1>Disponibilidad!$B$6:$B$18</formula1>
    </dataValidation>
    <dataValidation sqref="C6:C505" showDropDown="0" showInputMessage="0" showErrorMessage="0" allowBlank="1" type="list">
      <formula1>"Cobro,Pago"</formula1>
    </dataValidation>
  </dataValidations>
  <hyperlinks>
    <hyperlink xmlns:r="http://schemas.openxmlformats.org/officeDocument/2006/relationships" ref="D15" r:id="rId1"/>
  </hyperlinks>
  <pageMargins left="0.75" right="0.75" top="1" bottom="1" header="0" footer="0"/>
  <pageSetup orientation="portrait" paperSize="9"/>
</worksheet>
</file>

<file path=xl/worksheets/sheet9.xml><?xml version="1.0" encoding="utf-8"?>
<worksheet xmlns="http://schemas.openxmlformats.org/spreadsheetml/2006/main">
  <sheetPr>
    <tabColor rgb="FFE5484D"/>
    <outlinePr summaryBelow="1" summaryRight="1"/>
    <pageSetUpPr/>
  </sheetPr>
  <dimension ref="A1:Z1000"/>
  <sheetViews>
    <sheetView showGridLines="0" workbookViewId="0">
      <selection activeCell="A1" sqref="A1"/>
    </sheetView>
  </sheetViews>
  <sheetFormatPr baseColWidth="8" defaultColWidth="14.43" defaultRowHeight="15" customHeight="1"/>
  <cols>
    <col width="5" customWidth="1" style="311" min="1" max="1"/>
    <col width="34" customWidth="1" style="311" min="2" max="2"/>
    <col width="29" customWidth="1" style="311" min="3" max="3"/>
    <col width="10" customWidth="1" style="311" min="4" max="4"/>
    <col width="16" customWidth="1" style="311" min="5" max="7"/>
    <col width="27" customWidth="1" style="311" min="8" max="8"/>
    <col width="3" customWidth="1" style="311" min="9" max="9"/>
    <col width="13" customWidth="1" style="311" min="10" max="10"/>
    <col width="15" customWidth="1" style="311" min="11" max="14"/>
    <col width="18" customWidth="1" style="311" min="15" max="15"/>
    <col width="15" customWidth="1" style="311" min="16" max="16"/>
    <col width="8.710000000000001" customWidth="1" style="311" min="17" max="17"/>
    <col width="9" customWidth="1" style="311" min="18" max="18"/>
  </cols>
  <sheetData>
    <row r="1" ht="21.75" customHeight="1" s="311">
      <c r="A1" s="145" t="n"/>
      <c r="B1" s="19" t="inlineStr">
        <is>
          <t>TESORERÍA  —  ¿me alcanza?</t>
        </is>
      </c>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row>
    <row r="2" ht="28.5" customHeight="1" s="311">
      <c r="A2" s="145" t="n"/>
      <c r="B2" s="20" t="inlineStr">
        <is>
          <t>Lee las facturas de la hoja Facturas y las cruza con el disponible real de la hoja Disponibilidad. No hay que introducir nada aquí salvo los ingresos que esperas cobrar.</t>
        </is>
      </c>
      <c r="G2" s="145" t="n"/>
      <c r="H2" s="145" t="n"/>
      <c r="I2" s="145" t="n"/>
      <c r="J2" s="145" t="n"/>
      <c r="K2" s="145" t="n"/>
      <c r="L2" s="145" t="n"/>
      <c r="M2" s="145" t="n"/>
      <c r="N2" s="145" t="n"/>
      <c r="O2" s="145" t="n"/>
      <c r="P2" s="145" t="n"/>
      <c r="Q2" s="145" t="n"/>
      <c r="R2" s="145" t="n"/>
      <c r="S2" s="145" t="n"/>
      <c r="T2" s="145" t="n"/>
      <c r="U2" s="145" t="n"/>
      <c r="V2" s="145" t="n"/>
      <c r="W2" s="145" t="n"/>
      <c r="X2" s="145" t="n"/>
      <c r="Y2" s="145" t="n"/>
      <c r="Z2" s="145" t="n"/>
    </row>
    <row r="3">
      <c r="A3" s="145" t="n"/>
      <c r="B3" s="145" t="n"/>
      <c r="C3" s="145" t="n"/>
      <c r="D3" s="145" t="n"/>
      <c r="E3" s="145" t="n"/>
      <c r="F3" s="145" t="n"/>
      <c r="G3" s="145" t="n"/>
      <c r="H3" s="145" t="n"/>
      <c r="I3" s="145" t="n"/>
      <c r="J3" s="145" t="n"/>
      <c r="K3" s="145" t="n"/>
      <c r="L3" s="145" t="n"/>
      <c r="M3" s="145" t="n"/>
      <c r="N3" s="145" t="n"/>
      <c r="O3" s="145" t="n"/>
      <c r="P3" s="145" t="n"/>
      <c r="Q3" s="145" t="n"/>
      <c r="R3" s="145" t="n"/>
      <c r="S3" s="145" t="n"/>
      <c r="T3" s="145" t="n"/>
      <c r="U3" s="145" t="n"/>
      <c r="V3" s="145" t="n"/>
      <c r="W3" s="145" t="n"/>
      <c r="X3" s="145" t="n"/>
      <c r="Y3" s="145" t="n"/>
      <c r="Z3" s="145" t="n"/>
    </row>
    <row r="4" ht="21.75" customHeight="1" s="311">
      <c r="A4" s="21" t="inlineStr">
        <is>
          <t>1.  SITUACIÓN DE HOY</t>
        </is>
      </c>
      <c r="B4" s="22" t="n"/>
      <c r="C4" s="22" t="n"/>
      <c r="D4" s="22" t="n"/>
      <c r="E4" s="22" t="n"/>
      <c r="F4" s="22" t="n"/>
      <c r="G4" s="22" t="n"/>
      <c r="H4" s="22" t="n"/>
      <c r="I4" s="145" t="n"/>
      <c r="J4" s="145" t="n"/>
      <c r="K4" s="145" t="n"/>
      <c r="L4" s="145" t="n"/>
      <c r="M4" s="145" t="n"/>
      <c r="N4" s="145" t="n"/>
      <c r="O4" s="145" t="n"/>
      <c r="P4" s="145" t="n"/>
      <c r="Q4" s="145" t="n"/>
      <c r="R4" s="145" t="n"/>
      <c r="S4" s="145" t="n"/>
      <c r="T4" s="145" t="n"/>
      <c r="U4" s="145" t="n"/>
      <c r="V4" s="145" t="n"/>
      <c r="W4" s="145" t="n"/>
      <c r="X4" s="145" t="n"/>
      <c r="Y4" s="145" t="n"/>
      <c r="Z4" s="145" t="n"/>
    </row>
    <row r="5" ht="15" customHeight="1" s="311">
      <c r="A5" s="145" t="n"/>
      <c r="B5" s="318" t="inlineStr">
        <is>
          <t>DISPONIBLE HOY</t>
        </is>
      </c>
      <c r="C5" s="314" t="n"/>
      <c r="D5" s="398" t="inlineStr">
        <is>
          <t>SALDO DE FACTURAS</t>
        </is>
      </c>
      <c r="E5" s="314" t="n"/>
      <c r="F5" s="397" t="inlineStr">
        <is>
          <t>VENCEN EN 7 DÍAS</t>
        </is>
      </c>
      <c r="G5" s="314" t="n"/>
      <c r="H5" s="317" t="inlineStr">
        <is>
          <t>TE QUEDARÍA</t>
        </is>
      </c>
      <c r="I5" s="314" t="n"/>
      <c r="J5" s="145" t="n"/>
      <c r="K5" s="145" t="n"/>
      <c r="L5" s="145" t="n"/>
      <c r="M5" s="145" t="n"/>
      <c r="N5" s="145" t="n"/>
      <c r="O5" s="145" t="n"/>
      <c r="P5" s="145" t="n"/>
      <c r="Q5" s="145" t="n"/>
      <c r="R5" s="145" t="n"/>
      <c r="S5" s="145" t="n"/>
      <c r="T5" s="145" t="n"/>
      <c r="U5" s="145" t="n"/>
      <c r="V5" s="145" t="n"/>
      <c r="W5" s="145" t="n"/>
      <c r="X5" s="145" t="n"/>
      <c r="Y5" s="145" t="n"/>
      <c r="Z5" s="145" t="n"/>
    </row>
    <row r="6" ht="25.5" customHeight="1" s="311">
      <c r="A6" s="145" t="n"/>
      <c r="B6" s="319">
        <f>Disponibilidad!$G$33</f>
        <v/>
      </c>
      <c r="C6" s="314" t="n"/>
      <c r="D6" s="319">
        <f>Facturas!$AG$20</f>
        <v/>
      </c>
      <c r="E6" s="314" t="n"/>
      <c r="F6" s="319">
        <f>Facturas!$AG$24+Facturas!$AG$25</f>
        <v/>
      </c>
      <c r="G6" s="314" t="n"/>
      <c r="H6" s="319">
        <f>Disponibilidad!$G$33-Facturas!$AG$20</f>
        <v/>
      </c>
      <c r="I6" s="314" t="n"/>
      <c r="J6" s="145" t="n"/>
      <c r="K6" s="145" t="n"/>
      <c r="L6" s="145" t="n"/>
      <c r="M6" s="145" t="n"/>
      <c r="N6" s="145" t="n"/>
      <c r="O6" s="145" t="n"/>
      <c r="P6" s="145" t="n"/>
      <c r="Q6" s="145" t="n"/>
      <c r="R6" s="145" t="n"/>
      <c r="S6" s="145" t="n"/>
      <c r="T6" s="145" t="n"/>
      <c r="U6" s="145" t="n"/>
      <c r="V6" s="145" t="n"/>
      <c r="W6" s="145" t="n"/>
      <c r="X6" s="145" t="n"/>
      <c r="Y6" s="145" t="n"/>
      <c r="Z6" s="145" t="n"/>
    </row>
    <row r="7" ht="15" customHeight="1" s="311">
      <c r="A7" s="145" t="n"/>
      <c r="B7" s="320" t="inlineStr">
        <is>
          <t>Dinero que puedes mover ya</t>
        </is>
      </c>
      <c r="C7" s="314" t="n"/>
      <c r="D7" s="320" t="inlineStr">
        <is>
          <t>Saldo vivo sin pagar</t>
        </is>
      </c>
      <c r="E7" s="314" t="n"/>
      <c r="F7" s="320" t="inlineStr">
        <is>
          <t>Vencidas + próximos 7 días</t>
        </is>
      </c>
      <c r="G7" s="314" t="n"/>
      <c r="H7" s="320" t="inlineStr">
        <is>
          <t>Después de pagarlo todo</t>
        </is>
      </c>
      <c r="I7" s="314" t="n"/>
      <c r="J7" s="145" t="n"/>
      <c r="K7" s="145" t="n"/>
      <c r="L7" s="145" t="n"/>
      <c r="M7" s="145" t="n"/>
      <c r="N7" s="145" t="n"/>
      <c r="O7" s="145" t="n"/>
      <c r="P7" s="145" t="n"/>
      <c r="Q7" s="145" t="n"/>
      <c r="R7" s="145" t="n"/>
      <c r="S7" s="145" t="n"/>
      <c r="T7" s="145" t="n"/>
      <c r="U7" s="145" t="n"/>
      <c r="V7" s="145" t="n"/>
      <c r="W7" s="145" t="n"/>
      <c r="X7" s="145" t="n"/>
      <c r="Y7" s="145" t="n"/>
      <c r="Z7" s="145" t="n"/>
    </row>
    <row r="8">
      <c r="A8" s="145" t="n"/>
      <c r="B8" s="145" t="n"/>
      <c r="C8" s="145" t="n"/>
      <c r="D8" s="145" t="n"/>
      <c r="E8" s="145" t="n"/>
      <c r="F8" s="145" t="n"/>
      <c r="G8" s="145" t="n"/>
      <c r="H8" s="145" t="n"/>
      <c r="I8" s="145" t="n"/>
      <c r="J8" s="145" t="n"/>
      <c r="K8" s="145" t="n"/>
      <c r="L8" s="145" t="n"/>
      <c r="M8" s="145" t="n"/>
      <c r="N8" s="145" t="n"/>
      <c r="O8" s="145" t="n"/>
      <c r="P8" s="145" t="n"/>
      <c r="Q8" s="145" t="n"/>
      <c r="R8" s="145" t="n"/>
      <c r="S8" s="145" t="n"/>
      <c r="T8" s="145" t="n"/>
      <c r="U8" s="145" t="n"/>
      <c r="V8" s="145" t="n"/>
      <c r="W8" s="145" t="n"/>
      <c r="X8" s="145" t="n"/>
      <c r="Y8" s="145" t="n"/>
      <c r="Z8" s="145" t="n"/>
    </row>
    <row r="9">
      <c r="A9" s="145" t="n"/>
      <c r="B9" s="145" t="n"/>
      <c r="C9" s="145" t="n"/>
      <c r="D9" s="145" t="n"/>
      <c r="E9" s="145" t="n"/>
      <c r="F9" s="145" t="n"/>
      <c r="G9" s="145" t="n"/>
      <c r="H9" s="145" t="n"/>
      <c r="I9" s="145" t="n"/>
      <c r="J9" s="145" t="n"/>
      <c r="K9" s="145" t="n"/>
      <c r="L9" s="145" t="n"/>
      <c r="M9" s="145" t="n"/>
      <c r="N9" s="145" t="n"/>
      <c r="O9" s="145" t="n"/>
      <c r="P9" s="145" t="n"/>
      <c r="Q9" s="145" t="n"/>
      <c r="R9" s="145" t="n"/>
      <c r="S9" s="145" t="n"/>
      <c r="T9" s="145" t="n"/>
      <c r="U9" s="145" t="n"/>
      <c r="V9" s="145" t="n"/>
      <c r="W9" s="145" t="n"/>
      <c r="X9" s="145" t="n"/>
      <c r="Y9" s="145" t="n"/>
      <c r="Z9" s="145" t="n"/>
    </row>
    <row r="10" ht="21.75" customHeight="1" s="311">
      <c r="A10" s="21" t="inlineStr">
        <is>
          <t>2.  URGENCIA DE LOS PAGOS</t>
        </is>
      </c>
      <c r="B10" s="22" t="n"/>
      <c r="C10" s="22" t="n"/>
      <c r="D10" s="22" t="n"/>
      <c r="E10" s="22" t="n"/>
      <c r="F10" s="22" t="n"/>
      <c r="G10" s="22" t="n"/>
      <c r="H10" s="22" t="n"/>
      <c r="I10" s="145" t="n"/>
      <c r="J10" s="145" t="n"/>
      <c r="K10" s="145" t="n"/>
      <c r="L10" s="145" t="n"/>
      <c r="M10" s="145" t="n"/>
      <c r="N10" s="145" t="n"/>
      <c r="O10" s="145" t="n"/>
      <c r="P10" s="145" t="n"/>
      <c r="Q10" s="145" t="n"/>
      <c r="R10" s="145" t="n"/>
      <c r="S10" s="145" t="n"/>
      <c r="T10" s="145" t="n"/>
      <c r="U10" s="145" t="n"/>
      <c r="V10" s="145" t="n"/>
      <c r="W10" s="145" t="n"/>
      <c r="X10" s="145" t="n"/>
      <c r="Y10" s="145" t="n"/>
      <c r="Z10" s="145" t="n"/>
    </row>
    <row r="11" ht="24" customHeight="1" s="311">
      <c r="A11" s="33" t="n"/>
      <c r="B11" s="33" t="inlineStr">
        <is>
          <t>Tramo</t>
        </is>
      </c>
      <c r="C11" s="33" t="inlineStr">
        <is>
          <t>Importe (€)</t>
        </is>
      </c>
      <c r="D11" s="33" t="inlineStr">
        <is>
          <t>Nº</t>
        </is>
      </c>
      <c r="E11" s="33" t="inlineStr">
        <is>
          <t>Visual</t>
        </is>
      </c>
      <c r="F11" s="33" t="n"/>
      <c r="G11" s="33" t="n"/>
      <c r="H11" s="33" t="n"/>
      <c r="I11" s="145" t="n"/>
      <c r="J11" s="145" t="n"/>
      <c r="K11" s="145" t="n"/>
      <c r="L11" s="145" t="n"/>
      <c r="M11" s="145" t="n"/>
      <c r="N11" s="145" t="n"/>
      <c r="O11" s="145" t="n"/>
      <c r="P11" s="145" t="n"/>
      <c r="Q11" s="145" t="n"/>
      <c r="R11" s="145" t="n"/>
      <c r="S11" s="145" t="n"/>
      <c r="T11" s="145" t="n"/>
      <c r="U11" s="145" t="n"/>
      <c r="V11" s="145" t="n"/>
      <c r="W11" s="145" t="n"/>
      <c r="X11" s="145" t="n"/>
      <c r="Y11" s="145" t="n"/>
      <c r="Z11" s="145" t="n"/>
    </row>
    <row r="12" ht="15" customHeight="1" s="311">
      <c r="A12" s="145" t="n"/>
      <c r="B12" s="46" t="inlineStr">
        <is>
          <t>🔴 Vencidas</t>
        </is>
      </c>
      <c r="C12" s="80">
        <f>Facturas!$AG$24</f>
        <v/>
      </c>
      <c r="D12" s="59">
        <f>Facturas!$AH$24</f>
        <v/>
      </c>
      <c r="E12" s="115">
        <f>IF($C12=0,"",REPT("█",MAX(1,ROUND($C12/MAX($C$12:$C$15)*16,0))))</f>
        <v/>
      </c>
      <c r="F12" s="145" t="n"/>
      <c r="G12" s="145" t="n"/>
      <c r="H12" s="145" t="n"/>
      <c r="I12" s="145" t="n"/>
      <c r="J12" s="145" t="n"/>
      <c r="K12" s="145" t="n"/>
      <c r="L12" s="145" t="n"/>
      <c r="M12" s="145" t="n"/>
      <c r="N12" s="145" t="n"/>
      <c r="O12" s="145" t="n"/>
      <c r="P12" s="145" t="n"/>
      <c r="Q12" s="145" t="n"/>
      <c r="R12" s="145" t="n"/>
      <c r="S12" s="145" t="n"/>
      <c r="T12" s="145" t="n"/>
      <c r="U12" s="145" t="n"/>
      <c r="V12" s="145" t="n"/>
      <c r="W12" s="145" t="n"/>
      <c r="X12" s="145" t="n"/>
      <c r="Y12" s="145" t="n"/>
      <c r="Z12" s="145" t="n"/>
    </row>
    <row r="13" ht="15" customHeight="1" s="311">
      <c r="A13" s="145" t="n"/>
      <c r="B13" s="46" t="inlineStr">
        <is>
          <t>🟠 Hoy y próximos 7 días</t>
        </is>
      </c>
      <c r="C13" s="80">
        <f>Facturas!$AG$25</f>
        <v/>
      </c>
      <c r="D13" s="59">
        <f>Facturas!$AH$25</f>
        <v/>
      </c>
      <c r="E13" s="115">
        <f>IF($C13=0,"",REPT("█",MAX(1,ROUND($C13/MAX($C$12:$C$15)*16,0))))</f>
        <v/>
      </c>
      <c r="F13" s="145" t="n"/>
      <c r="G13" s="145" t="n"/>
      <c r="H13" s="145" t="n"/>
      <c r="I13" s="145" t="n"/>
      <c r="J13" s="145" t="n"/>
      <c r="K13" s="145" t="n"/>
      <c r="L13" s="145" t="n"/>
      <c r="M13" s="145" t="n"/>
      <c r="N13" s="145" t="n"/>
      <c r="O13" s="145" t="n"/>
      <c r="P13" s="145" t="n"/>
      <c r="Q13" s="145" t="n"/>
      <c r="R13" s="145" t="n"/>
      <c r="S13" s="145" t="n"/>
      <c r="T13" s="145" t="n"/>
      <c r="U13" s="145" t="n"/>
      <c r="V13" s="145" t="n"/>
      <c r="W13" s="145" t="n"/>
      <c r="X13" s="145" t="n"/>
      <c r="Y13" s="145" t="n"/>
      <c r="Z13" s="145" t="n"/>
    </row>
    <row r="14" ht="15" customHeight="1" s="311">
      <c r="A14" s="145" t="n"/>
      <c r="B14" s="46" t="inlineStr">
        <is>
          <t>🔵 Entre 8 y 30 días</t>
        </is>
      </c>
      <c r="C14" s="80">
        <f>Facturas!$AG$26</f>
        <v/>
      </c>
      <c r="D14" s="59">
        <f>Facturas!$AH$26</f>
        <v/>
      </c>
      <c r="E14" s="115">
        <f>IF($C14=0,"",REPT("█",MAX(1,ROUND($C14/MAX($C$12:$C$15)*16,0))))</f>
        <v/>
      </c>
      <c r="F14" s="145" t="n"/>
      <c r="G14" s="145" t="n"/>
      <c r="H14" s="145" t="n"/>
      <c r="I14" s="145" t="n"/>
      <c r="J14" s="145" t="n"/>
      <c r="K14" s="145" t="n"/>
      <c r="L14" s="145" t="n"/>
      <c r="M14" s="145" t="n"/>
      <c r="N14" s="145" t="n"/>
      <c r="O14" s="145" t="n"/>
      <c r="P14" s="145" t="n"/>
      <c r="Q14" s="145" t="n"/>
      <c r="R14" s="145" t="n"/>
      <c r="S14" s="145" t="n"/>
      <c r="T14" s="145" t="n"/>
      <c r="U14" s="145" t="n"/>
      <c r="V14" s="145" t="n"/>
      <c r="W14" s="145" t="n"/>
      <c r="X14" s="145" t="n"/>
      <c r="Y14" s="145" t="n"/>
      <c r="Z14" s="145" t="n"/>
    </row>
    <row r="15" ht="15" customHeight="1" s="311">
      <c r="A15" s="145" t="n"/>
      <c r="B15" s="46" t="inlineStr">
        <is>
          <t>⚪ Más de 30 días</t>
        </is>
      </c>
      <c r="C15" s="80">
        <f>Facturas!$AG$27</f>
        <v/>
      </c>
      <c r="D15" s="59">
        <f>Facturas!$AH$27</f>
        <v/>
      </c>
      <c r="E15" s="115">
        <f>IF($C15=0,"",REPT("█",MAX(1,ROUND($C15/MAX($C$12:$C$15)*16,0))))</f>
        <v/>
      </c>
      <c r="F15" s="145" t="n"/>
      <c r="G15" s="145" t="n"/>
      <c r="H15" s="145" t="n"/>
      <c r="I15" s="145" t="n"/>
      <c r="J15" s="145" t="n"/>
      <c r="K15" s="145" t="n"/>
      <c r="L15" s="145" t="n"/>
      <c r="M15" s="145" t="n"/>
      <c r="N15" s="145" t="n"/>
      <c r="O15" s="145" t="n"/>
      <c r="P15" s="145" t="n"/>
      <c r="Q15" s="145" t="n"/>
      <c r="R15" s="145" t="n"/>
      <c r="S15" s="145" t="n"/>
      <c r="T15" s="145" t="n"/>
      <c r="U15" s="145" t="n"/>
      <c r="V15" s="145" t="n"/>
      <c r="W15" s="145" t="n"/>
      <c r="X15" s="145" t="n"/>
      <c r="Y15" s="145" t="n"/>
      <c r="Z15" s="145" t="n"/>
    </row>
    <row r="16" ht="15" customHeight="1" s="311">
      <c r="A16" s="145" t="n"/>
      <c r="B16" s="38" t="inlineStr">
        <is>
          <t>TOTAL PENDIENTE</t>
        </is>
      </c>
      <c r="C16" s="68">
        <f>SUM($C$12:$C$15)</f>
        <v/>
      </c>
      <c r="D16" s="109">
        <f>SUM($D$12:$D$15)</f>
        <v/>
      </c>
      <c r="E16" s="39" t="n"/>
      <c r="F16" s="145" t="n"/>
      <c r="G16" s="145" t="n"/>
      <c r="H16" s="145" t="n"/>
      <c r="I16" s="145" t="n"/>
      <c r="J16" s="145" t="n"/>
      <c r="K16" s="145" t="n"/>
      <c r="L16" s="145" t="n"/>
      <c r="M16" s="145" t="n"/>
      <c r="N16" s="145" t="n"/>
      <c r="O16" s="145" t="n"/>
      <c r="P16" s="145" t="n"/>
      <c r="Q16" s="145" t="n"/>
      <c r="R16" s="145" t="n"/>
      <c r="S16" s="145" t="n"/>
      <c r="T16" s="145" t="n"/>
      <c r="U16" s="145" t="n"/>
      <c r="V16" s="145" t="n"/>
      <c r="W16" s="145" t="n"/>
      <c r="X16" s="145" t="n"/>
      <c r="Y16" s="145" t="n"/>
      <c r="Z16" s="145" t="n"/>
    </row>
    <row r="17">
      <c r="A17" s="145" t="n"/>
      <c r="B17" s="145" t="n"/>
      <c r="C17" s="145" t="n"/>
      <c r="D17" s="145" t="n"/>
      <c r="E17" s="145" t="n"/>
      <c r="F17" s="145" t="n"/>
      <c r="G17" s="145" t="n"/>
      <c r="H17" s="145" t="n"/>
      <c r="I17" s="145" t="n"/>
      <c r="J17" s="145" t="n"/>
      <c r="K17" s="145" t="n"/>
      <c r="L17" s="145" t="n"/>
      <c r="M17" s="145" t="n"/>
      <c r="N17" s="145" t="n"/>
      <c r="O17" s="145" t="n"/>
      <c r="P17" s="145" t="n"/>
      <c r="Q17" s="145" t="n"/>
      <c r="R17" s="145" t="n"/>
      <c r="S17" s="145" t="n"/>
      <c r="T17" s="145" t="n"/>
      <c r="U17" s="145" t="n"/>
      <c r="V17" s="145" t="n"/>
      <c r="W17" s="145" t="n"/>
      <c r="X17" s="145" t="n"/>
      <c r="Y17" s="145" t="n"/>
      <c r="Z17" s="145" t="n"/>
    </row>
    <row r="18" ht="15" customHeight="1" s="311">
      <c r="A18" s="145" t="n"/>
      <c r="B18" s="23" t="inlineStr">
        <is>
          <t>Cobertura del disponible sobre lo pendiente</t>
        </is>
      </c>
      <c r="C18" s="106">
        <f>IFERROR(Disponibilidad!$G$41,"")</f>
        <v/>
      </c>
      <c r="D18" s="145" t="n"/>
      <c r="E18" s="145" t="n"/>
      <c r="F18" s="145" t="n"/>
      <c r="G18" s="145" t="n"/>
      <c r="H18" s="145" t="n"/>
      <c r="I18" s="145" t="n"/>
      <c r="J18" s="145" t="n"/>
      <c r="K18" s="145" t="n"/>
      <c r="L18" s="145" t="n"/>
      <c r="M18" s="145" t="n"/>
      <c r="N18" s="145" t="n"/>
      <c r="O18" s="145" t="n"/>
      <c r="P18" s="145" t="n"/>
      <c r="Q18" s="145" t="n"/>
      <c r="R18" s="145" t="n"/>
      <c r="S18" s="145" t="n"/>
      <c r="T18" s="145" t="n"/>
      <c r="U18" s="145" t="n"/>
      <c r="V18" s="145" t="n"/>
      <c r="W18" s="145" t="n"/>
      <c r="X18" s="145" t="n"/>
      <c r="Y18" s="145" t="n"/>
      <c r="Z18" s="145" t="n"/>
    </row>
    <row r="19" ht="15" customHeight="1" s="311">
      <c r="A19" s="145" t="n"/>
      <c r="B19" s="23" t="inlineStr">
        <is>
          <t>Diagnóstico</t>
        </is>
      </c>
      <c r="C19" s="170">
        <f>Disponibilidad!$G$44</f>
        <v/>
      </c>
      <c r="D19" s="313" t="n"/>
      <c r="E19" s="313" t="n"/>
      <c r="F19" s="314" t="n"/>
      <c r="G19" s="145" t="n"/>
      <c r="H19" s="145" t="n"/>
      <c r="I19" s="145" t="n"/>
      <c r="J19" s="145" t="n"/>
      <c r="K19" s="145" t="n"/>
      <c r="L19" s="145" t="n"/>
      <c r="M19" s="145" t="n"/>
      <c r="N19" s="145" t="n"/>
      <c r="O19" s="145" t="n"/>
      <c r="P19" s="145" t="n"/>
      <c r="Q19" s="145" t="n"/>
      <c r="R19" s="145" t="n"/>
      <c r="S19" s="145" t="n"/>
      <c r="T19" s="145" t="n"/>
      <c r="U19" s="145" t="n"/>
      <c r="V19" s="145" t="n"/>
      <c r="W19" s="145" t="n"/>
      <c r="X19" s="145" t="n"/>
      <c r="Y19" s="145" t="n"/>
      <c r="Z19" s="145" t="n"/>
    </row>
    <row r="20">
      <c r="A20" s="145" t="n"/>
      <c r="B20" s="145" t="n"/>
      <c r="C20" s="145" t="n"/>
      <c r="D20" s="145" t="n"/>
      <c r="E20" s="145" t="n"/>
      <c r="F20" s="145" t="n"/>
      <c r="G20" s="145" t="n"/>
      <c r="H20" s="145" t="n"/>
      <c r="I20" s="145" t="n"/>
      <c r="J20" s="145" t="n"/>
      <c r="K20" s="145" t="n"/>
      <c r="L20" s="145" t="n"/>
      <c r="M20" s="145" t="n"/>
      <c r="N20" s="145" t="n"/>
      <c r="O20" s="145" t="n"/>
      <c r="P20" s="145" t="n"/>
      <c r="Q20" s="145" t="n"/>
      <c r="R20" s="145" t="n"/>
      <c r="S20" s="145" t="n"/>
      <c r="T20" s="145" t="n"/>
      <c r="U20" s="145" t="n"/>
      <c r="V20" s="145" t="n"/>
      <c r="W20" s="145" t="n"/>
      <c r="X20" s="145" t="n"/>
      <c r="Y20" s="145" t="n"/>
      <c r="Z20" s="145" t="n"/>
    </row>
    <row r="21" ht="21.75" customHeight="1" s="311">
      <c r="A21" s="21" t="inlineStr">
        <is>
          <t>3.  LAS 8 FACTURAS MÁS URGENTES</t>
        </is>
      </c>
      <c r="B21" s="22" t="n"/>
      <c r="C21" s="22" t="n"/>
      <c r="D21" s="22" t="n"/>
      <c r="E21" s="22" t="n"/>
      <c r="F21" s="22" t="n"/>
      <c r="G21" s="22" t="n"/>
      <c r="H21" s="22" t="n"/>
      <c r="I21" s="145" t="n"/>
      <c r="J21" s="145" t="n"/>
      <c r="K21" s="145" t="n"/>
      <c r="L21" s="145" t="n"/>
      <c r="M21" s="145" t="n"/>
      <c r="N21" s="145" t="n"/>
      <c r="O21" s="145" t="n"/>
      <c r="P21" s="145" t="n"/>
      <c r="Q21" s="145" t="n"/>
      <c r="R21" s="145" t="n"/>
      <c r="S21" s="145" t="n"/>
      <c r="T21" s="145" t="n"/>
      <c r="U21" s="145" t="n"/>
      <c r="V21" s="145" t="n"/>
      <c r="W21" s="145" t="n"/>
      <c r="X21" s="145" t="n"/>
      <c r="Y21" s="145" t="n"/>
      <c r="Z21" s="145" t="n"/>
    </row>
    <row r="22" ht="24" customHeight="1" s="311">
      <c r="A22" s="33" t="inlineStr">
        <is>
          <t>#</t>
        </is>
      </c>
      <c r="B22" s="33" t="inlineStr">
        <is>
          <t>Proveedor</t>
        </is>
      </c>
      <c r="C22" s="33" t="inlineStr">
        <is>
          <t>Categoría</t>
        </is>
      </c>
      <c r="D22" s="33" t="inlineStr">
        <is>
          <t>Días</t>
        </is>
      </c>
      <c r="E22" s="33" t="inlineStr">
        <is>
          <t>Vence</t>
        </is>
      </c>
      <c r="F22" s="33" t="inlineStr">
        <is>
          <t>Saldo (€)</t>
        </is>
      </c>
      <c r="G22" s="33" t="inlineStr">
        <is>
          <t>Estado</t>
        </is>
      </c>
      <c r="H22" s="33" t="inlineStr">
        <is>
          <t>Cuenta de pago</t>
        </is>
      </c>
      <c r="I22" s="145" t="n"/>
      <c r="J22" s="145" t="n"/>
      <c r="K22" s="145" t="n"/>
      <c r="L22" s="145" t="n"/>
      <c r="M22" s="145" t="n"/>
      <c r="N22" s="145" t="n"/>
      <c r="O22" s="145" t="n"/>
      <c r="P22" s="145" t="n"/>
      <c r="Q22" s="145" t="n"/>
      <c r="R22" s="172" t="inlineStr">
        <is>
          <t>clave</t>
        </is>
      </c>
      <c r="S22" s="145" t="n"/>
      <c r="T22" s="145" t="n"/>
      <c r="U22" s="145" t="n"/>
      <c r="V22" s="145" t="n"/>
      <c r="W22" s="145" t="n"/>
      <c r="X22" s="145" t="n"/>
      <c r="Y22" s="145" t="n"/>
      <c r="Z22" s="145" t="n"/>
    </row>
    <row r="23" ht="15.75" customHeight="1" s="311">
      <c r="A23" s="41" t="n">
        <v>1</v>
      </c>
      <c r="B23" s="46">
        <f t="array" ref="B23">IF($R23="","",IFERROR(INDEX(Facturas!$C$6:$C$205,MATCH($R23,Facturas!$AB$6:$AB$205,0)),""))</f>
        <v/>
      </c>
      <c r="C23" s="46">
        <f t="array" ref="C23">IF($R23="","",IFERROR(INDEX(Facturas!$D$6:$D$205,MATCH($R23,Facturas!$AB$6:$AB$205,0)),""))</f>
        <v/>
      </c>
      <c r="D23" s="59">
        <f t="array" ref="D23">IF($R23="","",IFERROR(INDEX(Facturas!$M$6:$M$205,MATCH($R23,Facturas!$AB$6:$AB$205,0)),""))</f>
        <v/>
      </c>
      <c r="E23" s="152">
        <f t="array" ref="E23">IF($R23="","",IFERROR(INDEX(Facturas!$H$6:$H$205,MATCH($R23,Facturas!$AB$6:$AB$205,0)),""))</f>
        <v/>
      </c>
      <c r="F23" s="57">
        <f t="array" ref="F23">IF($R23="","",IFERROR(INDEX(Facturas!$K$6:$K$205,MATCH($R23,Facturas!$AB$6:$AB$205,0)),""))</f>
        <v/>
      </c>
      <c r="G23" s="62">
        <f t="array" ref="G23">IF($R23="","",IFERROR(INDEX(Facturas!$N$6:$N$205,MATCH($R23,Facturas!$AB$6:$AB$205,0)),""))</f>
        <v/>
      </c>
      <c r="H23" s="46">
        <f t="array" ref="H23">IF($R23="","",IFERROR(INDEX(Facturas!$L$6:$L$205,MATCH($R23,Facturas!$AB$6:$AB$205,0)),""))</f>
        <v/>
      </c>
      <c r="I23" s="145" t="n"/>
      <c r="J23" s="145" t="n"/>
      <c r="K23" s="145" t="n"/>
      <c r="L23" s="145" t="n"/>
      <c r="M23" s="145" t="n"/>
      <c r="N23" s="145" t="n"/>
      <c r="O23" s="145" t="n"/>
      <c r="P23" s="145" t="n"/>
      <c r="Q23" s="145" t="n"/>
      <c r="R23" s="173">
        <f>IFERROR(SMALL(Facturas!$AB$6:$AB$205,1),"")</f>
        <v/>
      </c>
      <c r="S23" s="145" t="n"/>
      <c r="T23" s="145" t="n"/>
      <c r="U23" s="145" t="n"/>
      <c r="V23" s="145" t="n"/>
      <c r="W23" s="145" t="n"/>
      <c r="X23" s="145" t="n"/>
      <c r="Y23" s="145" t="n"/>
      <c r="Z23" s="145" t="n"/>
    </row>
    <row r="24" ht="15.75" customHeight="1" s="311">
      <c r="A24" s="41" t="n">
        <v>2</v>
      </c>
      <c r="B24" s="46">
        <f t="array" ref="B24">IF($R24="","",IFERROR(INDEX(Facturas!$C$6:$C$205,MATCH($R24,Facturas!$AB$6:$AB$205,0)),""))</f>
        <v/>
      </c>
      <c r="C24" s="46">
        <f t="array" ref="C24">IF($R24="","",IFERROR(INDEX(Facturas!$D$6:$D$205,MATCH($R24,Facturas!$AB$6:$AB$205,0)),""))</f>
        <v/>
      </c>
      <c r="D24" s="59">
        <f t="array" ref="D24">IF($R24="","",IFERROR(INDEX(Facturas!$M$6:$M$205,MATCH($R24,Facturas!$AB$6:$AB$205,0)),""))</f>
        <v/>
      </c>
      <c r="E24" s="152">
        <f t="array" ref="E24">IF($R24="","",IFERROR(INDEX(Facturas!$H$6:$H$205,MATCH($R24,Facturas!$AB$6:$AB$205,0)),""))</f>
        <v/>
      </c>
      <c r="F24" s="57">
        <f t="array" ref="F24">IF($R24="","",IFERROR(INDEX(Facturas!$K$6:$K$205,MATCH($R24,Facturas!$AB$6:$AB$205,0)),""))</f>
        <v/>
      </c>
      <c r="G24" s="62">
        <f t="array" ref="G24">IF($R24="","",IFERROR(INDEX(Facturas!$N$6:$N$205,MATCH($R24,Facturas!$AB$6:$AB$205,0)),""))</f>
        <v/>
      </c>
      <c r="H24" s="46">
        <f t="array" ref="H24">IF($R24="","",IFERROR(INDEX(Facturas!$L$6:$L$205,MATCH($R24,Facturas!$AB$6:$AB$205,0)),""))</f>
        <v/>
      </c>
      <c r="I24" s="145" t="n"/>
      <c r="J24" s="145" t="n"/>
      <c r="K24" s="145" t="n"/>
      <c r="L24" s="145" t="n"/>
      <c r="M24" s="145" t="n"/>
      <c r="N24" s="145" t="n"/>
      <c r="O24" s="145" t="n"/>
      <c r="P24" s="145" t="n"/>
      <c r="Q24" s="145" t="n"/>
      <c r="R24" s="173">
        <f>IFERROR(SMALL(Facturas!$AB$6:$AB$205,2),"")</f>
        <v/>
      </c>
      <c r="S24" s="145" t="n"/>
      <c r="T24" s="145" t="n"/>
      <c r="U24" s="145" t="n"/>
      <c r="V24" s="145" t="n"/>
      <c r="W24" s="145" t="n"/>
      <c r="X24" s="145" t="n"/>
      <c r="Y24" s="145" t="n"/>
      <c r="Z24" s="145" t="n"/>
    </row>
    <row r="25" ht="15.75" customHeight="1" s="311">
      <c r="A25" s="41" t="n">
        <v>3</v>
      </c>
      <c r="B25" s="46">
        <f t="array" ref="B25">IF($R25="","",IFERROR(INDEX(Facturas!$C$6:$C$205,MATCH($R25,Facturas!$AB$6:$AB$205,0)),""))</f>
        <v/>
      </c>
      <c r="C25" s="46">
        <f t="array" ref="C25">IF($R25="","",IFERROR(INDEX(Facturas!$D$6:$D$205,MATCH($R25,Facturas!$AB$6:$AB$205,0)),""))</f>
        <v/>
      </c>
      <c r="D25" s="59">
        <f t="array" ref="D25">IF($R25="","",IFERROR(INDEX(Facturas!$M$6:$M$205,MATCH($R25,Facturas!$AB$6:$AB$205,0)),""))</f>
        <v/>
      </c>
      <c r="E25" s="152">
        <f t="array" ref="E25">IF($R25="","",IFERROR(INDEX(Facturas!$H$6:$H$205,MATCH($R25,Facturas!$AB$6:$AB$205,0)),""))</f>
        <v/>
      </c>
      <c r="F25" s="57">
        <f t="array" ref="F25">IF($R25="","",IFERROR(INDEX(Facturas!$K$6:$K$205,MATCH($R25,Facturas!$AB$6:$AB$205,0)),""))</f>
        <v/>
      </c>
      <c r="G25" s="62">
        <f t="array" ref="G25">IF($R25="","",IFERROR(INDEX(Facturas!$N$6:$N$205,MATCH($R25,Facturas!$AB$6:$AB$205,0)),""))</f>
        <v/>
      </c>
      <c r="H25" s="46">
        <f t="array" ref="H25">IF($R25="","",IFERROR(INDEX(Facturas!$L$6:$L$205,MATCH($R25,Facturas!$AB$6:$AB$205,0)),""))</f>
        <v/>
      </c>
      <c r="I25" s="145" t="n"/>
      <c r="J25" s="145" t="n"/>
      <c r="K25" s="145" t="n"/>
      <c r="L25" s="145" t="n"/>
      <c r="M25" s="145" t="n"/>
      <c r="N25" s="145" t="n"/>
      <c r="O25" s="145" t="n"/>
      <c r="P25" s="145" t="n"/>
      <c r="Q25" s="145" t="n"/>
      <c r="R25" s="173">
        <f>IFERROR(SMALL(Facturas!$AB$6:$AB$205,3),"")</f>
        <v/>
      </c>
      <c r="S25" s="145" t="n"/>
      <c r="T25" s="145" t="n"/>
      <c r="U25" s="145" t="n"/>
      <c r="V25" s="145" t="n"/>
      <c r="W25" s="145" t="n"/>
      <c r="X25" s="145" t="n"/>
      <c r="Y25" s="145" t="n"/>
      <c r="Z25" s="145" t="n"/>
    </row>
    <row r="26" ht="15.75" customHeight="1" s="311">
      <c r="A26" s="41" t="n">
        <v>4</v>
      </c>
      <c r="B26" s="46">
        <f t="array" ref="B26">IF($R26="","",IFERROR(INDEX(Facturas!$C$6:$C$205,MATCH($R26,Facturas!$AB$6:$AB$205,0)),""))</f>
        <v/>
      </c>
      <c r="C26" s="46">
        <f t="array" ref="C26">IF($R26="","",IFERROR(INDEX(Facturas!$D$6:$D$205,MATCH($R26,Facturas!$AB$6:$AB$205,0)),""))</f>
        <v/>
      </c>
      <c r="D26" s="59">
        <f t="array" ref="D26">IF($R26="","",IFERROR(INDEX(Facturas!$M$6:$M$205,MATCH($R26,Facturas!$AB$6:$AB$205,0)),""))</f>
        <v/>
      </c>
      <c r="E26" s="152">
        <f t="array" ref="E26">IF($R26="","",IFERROR(INDEX(Facturas!$H$6:$H$205,MATCH($R26,Facturas!$AB$6:$AB$205,0)),""))</f>
        <v/>
      </c>
      <c r="F26" s="57">
        <f t="array" ref="F26">IF($R26="","",IFERROR(INDEX(Facturas!$K$6:$K$205,MATCH($R26,Facturas!$AB$6:$AB$205,0)),""))</f>
        <v/>
      </c>
      <c r="G26" s="62">
        <f t="array" ref="G26">IF($R26="","",IFERROR(INDEX(Facturas!$N$6:$N$205,MATCH($R26,Facturas!$AB$6:$AB$205,0)),""))</f>
        <v/>
      </c>
      <c r="H26" s="46">
        <f t="array" ref="H26">IF($R26="","",IFERROR(INDEX(Facturas!$L$6:$L$205,MATCH($R26,Facturas!$AB$6:$AB$205,0)),""))</f>
        <v/>
      </c>
      <c r="I26" s="145" t="n"/>
      <c r="J26" s="145" t="n"/>
      <c r="K26" s="145" t="n"/>
      <c r="L26" s="145" t="n"/>
      <c r="M26" s="145" t="n"/>
      <c r="N26" s="145" t="n"/>
      <c r="O26" s="145" t="n"/>
      <c r="P26" s="145" t="n"/>
      <c r="Q26" s="145" t="n"/>
      <c r="R26" s="173">
        <f>IFERROR(SMALL(Facturas!$AB$6:$AB$205,4),"")</f>
        <v/>
      </c>
      <c r="S26" s="145" t="n"/>
      <c r="T26" s="145" t="n"/>
      <c r="U26" s="145" t="n"/>
      <c r="V26" s="145" t="n"/>
      <c r="W26" s="145" t="n"/>
      <c r="X26" s="145" t="n"/>
      <c r="Y26" s="145" t="n"/>
      <c r="Z26" s="145" t="n"/>
    </row>
    <row r="27" ht="15.75" customHeight="1" s="311">
      <c r="A27" s="41" t="n">
        <v>5</v>
      </c>
      <c r="B27" s="46">
        <f t="array" ref="B27">IF($R27="","",IFERROR(INDEX(Facturas!$C$6:$C$205,MATCH($R27,Facturas!$AB$6:$AB$205,0)),""))</f>
        <v/>
      </c>
      <c r="C27" s="46">
        <f t="array" ref="C27">IF($R27="","",IFERROR(INDEX(Facturas!$D$6:$D$205,MATCH($R27,Facturas!$AB$6:$AB$205,0)),""))</f>
        <v/>
      </c>
      <c r="D27" s="59">
        <f t="array" ref="D27">IF($R27="","",IFERROR(INDEX(Facturas!$M$6:$M$205,MATCH($R27,Facturas!$AB$6:$AB$205,0)),""))</f>
        <v/>
      </c>
      <c r="E27" s="152">
        <f t="array" ref="E27">IF($R27="","",IFERROR(INDEX(Facturas!$H$6:$H$205,MATCH($R27,Facturas!$AB$6:$AB$205,0)),""))</f>
        <v/>
      </c>
      <c r="F27" s="57">
        <f t="array" ref="F27">IF($R27="","",IFERROR(INDEX(Facturas!$K$6:$K$205,MATCH($R27,Facturas!$AB$6:$AB$205,0)),""))</f>
        <v/>
      </c>
      <c r="G27" s="62">
        <f t="array" ref="G27">IF($R27="","",IFERROR(INDEX(Facturas!$N$6:$N$205,MATCH($R27,Facturas!$AB$6:$AB$205,0)),""))</f>
        <v/>
      </c>
      <c r="H27" s="46">
        <f t="array" ref="H27">IF($R27="","",IFERROR(INDEX(Facturas!$L$6:$L$205,MATCH($R27,Facturas!$AB$6:$AB$205,0)),""))</f>
        <v/>
      </c>
      <c r="I27" s="145" t="n"/>
      <c r="J27" s="145" t="n"/>
      <c r="K27" s="145" t="n"/>
      <c r="L27" s="145" t="n"/>
      <c r="M27" s="145" t="n"/>
      <c r="N27" s="145" t="n"/>
      <c r="O27" s="145" t="n"/>
      <c r="P27" s="145" t="n"/>
      <c r="Q27" s="145" t="n"/>
      <c r="R27" s="173">
        <f>IFERROR(SMALL(Facturas!$AB$6:$AB$205,5),"")</f>
        <v/>
      </c>
      <c r="S27" s="145" t="n"/>
      <c r="T27" s="145" t="n"/>
      <c r="U27" s="145" t="n"/>
      <c r="V27" s="145" t="n"/>
      <c r="W27" s="145" t="n"/>
      <c r="X27" s="145" t="n"/>
      <c r="Y27" s="145" t="n"/>
      <c r="Z27" s="145" t="n"/>
    </row>
    <row r="28" ht="15.75" customHeight="1" s="311">
      <c r="A28" s="41" t="n">
        <v>6</v>
      </c>
      <c r="B28" s="46">
        <f t="array" ref="B28">IF($R28="","",IFERROR(INDEX(Facturas!$C$6:$C$205,MATCH($R28,Facturas!$AB$6:$AB$205,0)),""))</f>
        <v/>
      </c>
      <c r="C28" s="46">
        <f t="array" ref="C28">IF($R28="","",IFERROR(INDEX(Facturas!$D$6:$D$205,MATCH($R28,Facturas!$AB$6:$AB$205,0)),""))</f>
        <v/>
      </c>
      <c r="D28" s="59">
        <f t="array" ref="D28">IF($R28="","",IFERROR(INDEX(Facturas!$M$6:$M$205,MATCH($R28,Facturas!$AB$6:$AB$205,0)),""))</f>
        <v/>
      </c>
      <c r="E28" s="152">
        <f t="array" ref="E28">IF($R28="","",IFERROR(INDEX(Facturas!$H$6:$H$205,MATCH($R28,Facturas!$AB$6:$AB$205,0)),""))</f>
        <v/>
      </c>
      <c r="F28" s="57">
        <f t="array" ref="F28">IF($R28="","",IFERROR(INDEX(Facturas!$K$6:$K$205,MATCH($R28,Facturas!$AB$6:$AB$205,0)),""))</f>
        <v/>
      </c>
      <c r="G28" s="62">
        <f t="array" ref="G28">IF($R28="","",IFERROR(INDEX(Facturas!$N$6:$N$205,MATCH($R28,Facturas!$AB$6:$AB$205,0)),""))</f>
        <v/>
      </c>
      <c r="H28" s="46">
        <f t="array" ref="H28">IF($R28="","",IFERROR(INDEX(Facturas!$L$6:$L$205,MATCH($R28,Facturas!$AB$6:$AB$205,0)),""))</f>
        <v/>
      </c>
      <c r="I28" s="145" t="n"/>
      <c r="J28" s="145" t="n"/>
      <c r="K28" s="145" t="n"/>
      <c r="L28" s="145" t="n"/>
      <c r="M28" s="145" t="n"/>
      <c r="N28" s="145" t="n"/>
      <c r="O28" s="145" t="n"/>
      <c r="P28" s="145" t="n"/>
      <c r="Q28" s="145" t="n"/>
      <c r="R28" s="173">
        <f>IFERROR(SMALL(Facturas!$AB$6:$AB$205,6),"")</f>
        <v/>
      </c>
      <c r="S28" s="145" t="n"/>
      <c r="T28" s="145" t="n"/>
      <c r="U28" s="145" t="n"/>
      <c r="V28" s="145" t="n"/>
      <c r="W28" s="145" t="n"/>
      <c r="X28" s="145" t="n"/>
      <c r="Y28" s="145" t="n"/>
      <c r="Z28" s="145" t="n"/>
    </row>
    <row r="29" ht="15.75" customHeight="1" s="311">
      <c r="A29" s="41" t="n">
        <v>7</v>
      </c>
      <c r="B29" s="46">
        <f t="array" ref="B29">IF($R29="","",IFERROR(INDEX(Facturas!$C$6:$C$205,MATCH($R29,Facturas!$AB$6:$AB$205,0)),""))</f>
        <v/>
      </c>
      <c r="C29" s="46">
        <f t="array" ref="C29">IF($R29="","",IFERROR(INDEX(Facturas!$D$6:$D$205,MATCH($R29,Facturas!$AB$6:$AB$205,0)),""))</f>
        <v/>
      </c>
      <c r="D29" s="59">
        <f t="array" ref="D29">IF($R29="","",IFERROR(INDEX(Facturas!$M$6:$M$205,MATCH($R29,Facturas!$AB$6:$AB$205,0)),""))</f>
        <v/>
      </c>
      <c r="E29" s="152">
        <f t="array" ref="E29">IF($R29="","",IFERROR(INDEX(Facturas!$H$6:$H$205,MATCH($R29,Facturas!$AB$6:$AB$205,0)),""))</f>
        <v/>
      </c>
      <c r="F29" s="57">
        <f t="array" ref="F29">IF($R29="","",IFERROR(INDEX(Facturas!$K$6:$K$205,MATCH($R29,Facturas!$AB$6:$AB$205,0)),""))</f>
        <v/>
      </c>
      <c r="G29" s="62">
        <f t="array" ref="G29">IF($R29="","",IFERROR(INDEX(Facturas!$N$6:$N$205,MATCH($R29,Facturas!$AB$6:$AB$205,0)),""))</f>
        <v/>
      </c>
      <c r="H29" s="46">
        <f t="array" ref="H29">IF($R29="","",IFERROR(INDEX(Facturas!$L$6:$L$205,MATCH($R29,Facturas!$AB$6:$AB$205,0)),""))</f>
        <v/>
      </c>
      <c r="I29" s="145" t="n"/>
      <c r="J29" s="145" t="n"/>
      <c r="K29" s="145" t="n"/>
      <c r="L29" s="145" t="n"/>
      <c r="M29" s="145" t="n"/>
      <c r="N29" s="145" t="n"/>
      <c r="O29" s="145" t="n"/>
      <c r="P29" s="145" t="n"/>
      <c r="Q29" s="145" t="n"/>
      <c r="R29" s="173">
        <f>IFERROR(SMALL(Facturas!$AB$6:$AB$205,7),"")</f>
        <v/>
      </c>
      <c r="S29" s="145" t="n"/>
      <c r="T29" s="145" t="n"/>
      <c r="U29" s="145" t="n"/>
      <c r="V29" s="145" t="n"/>
      <c r="W29" s="145" t="n"/>
      <c r="X29" s="145" t="n"/>
      <c r="Y29" s="145" t="n"/>
      <c r="Z29" s="145" t="n"/>
    </row>
    <row r="30" ht="15.75" customHeight="1" s="311">
      <c r="A30" s="41" t="n">
        <v>8</v>
      </c>
      <c r="B30" s="46">
        <f t="array" ref="B30">IF($R30="","",IFERROR(INDEX(Facturas!$C$6:$C$205,MATCH($R30,Facturas!$AB$6:$AB$205,0)),""))</f>
        <v/>
      </c>
      <c r="C30" s="46">
        <f t="array" ref="C30">IF($R30="","",IFERROR(INDEX(Facturas!$D$6:$D$205,MATCH($R30,Facturas!$AB$6:$AB$205,0)),""))</f>
        <v/>
      </c>
      <c r="D30" s="59">
        <f t="array" ref="D30">IF($R30="","",IFERROR(INDEX(Facturas!$M$6:$M$205,MATCH($R30,Facturas!$AB$6:$AB$205,0)),""))</f>
        <v/>
      </c>
      <c r="E30" s="152">
        <f t="array" ref="E30">IF($R30="","",IFERROR(INDEX(Facturas!$H$6:$H$205,MATCH($R30,Facturas!$AB$6:$AB$205,0)),""))</f>
        <v/>
      </c>
      <c r="F30" s="57">
        <f t="array" ref="F30">IF($R30="","",IFERROR(INDEX(Facturas!$K$6:$K$205,MATCH($R30,Facturas!$AB$6:$AB$205,0)),""))</f>
        <v/>
      </c>
      <c r="G30" s="62">
        <f t="array" ref="G30">IF($R30="","",IFERROR(INDEX(Facturas!$N$6:$N$205,MATCH($R30,Facturas!$AB$6:$AB$205,0)),""))</f>
        <v/>
      </c>
      <c r="H30" s="46">
        <f t="array" ref="H30">IF($R30="","",IFERROR(INDEX(Facturas!$L$6:$L$205,MATCH($R30,Facturas!$AB$6:$AB$205,0)),""))</f>
        <v/>
      </c>
      <c r="I30" s="145" t="n"/>
      <c r="J30" s="145" t="n"/>
      <c r="K30" s="145" t="n"/>
      <c r="L30" s="145" t="n"/>
      <c r="M30" s="145" t="n"/>
      <c r="N30" s="145" t="n"/>
      <c r="O30" s="145" t="n"/>
      <c r="P30" s="145" t="n"/>
      <c r="Q30" s="145" t="n"/>
      <c r="R30" s="173">
        <f>IFERROR(SMALL(Facturas!$AB$6:$AB$205,8),"")</f>
        <v/>
      </c>
      <c r="S30" s="145" t="n"/>
      <c r="T30" s="145" t="n"/>
      <c r="U30" s="145" t="n"/>
      <c r="V30" s="145" t="n"/>
      <c r="W30" s="145" t="n"/>
      <c r="X30" s="145" t="n"/>
      <c r="Y30" s="145" t="n"/>
      <c r="Z30" s="145" t="n"/>
    </row>
    <row r="31" ht="45.75" customHeight="1" s="311">
      <c r="A31" s="145" t="n"/>
      <c r="B31" s="20" t="inlineStr">
        <is>
          <t>Ordenadas por días restantes. Se alimentan solas de la hoja Facturas: si marcas una como Pagada, desaparece de la lista.</t>
        </is>
      </c>
      <c r="I31" s="145" t="n"/>
      <c r="J31" s="145" t="n"/>
      <c r="K31" s="145" t="n"/>
      <c r="L31" s="145" t="n"/>
      <c r="M31" s="145" t="n"/>
      <c r="N31" s="145" t="n"/>
      <c r="O31" s="145" t="n"/>
      <c r="P31" s="145" t="n"/>
      <c r="Q31" s="145" t="n"/>
      <c r="R31" s="145" t="n"/>
      <c r="S31" s="145" t="n"/>
      <c r="T31" s="145" t="n"/>
      <c r="U31" s="145" t="n"/>
      <c r="V31" s="145" t="n"/>
      <c r="W31" s="145" t="n"/>
      <c r="X31" s="145" t="n"/>
      <c r="Y31" s="145" t="n"/>
      <c r="Z31" s="145" t="n"/>
    </row>
    <row r="32" ht="34.5" customHeight="1" s="311">
      <c r="A32" s="145" t="n"/>
      <c r="B32" s="20" t="inlineStr">
        <is>
          <t>Muestra el SALDO vivo de cada factura. Si abonas una parte en la hoja Facturas, aquí baja sola; cuando llega a cero, desaparece de la lista.</t>
        </is>
      </c>
      <c r="I32" s="145" t="n"/>
      <c r="J32" s="145" t="n"/>
      <c r="K32" s="145" t="n"/>
      <c r="L32" s="145" t="n"/>
      <c r="M32" s="145" t="n"/>
      <c r="N32" s="145" t="n"/>
      <c r="O32" s="145" t="n"/>
      <c r="P32" s="145" t="n"/>
      <c r="Q32" s="145" t="n"/>
      <c r="R32" s="145" t="n"/>
      <c r="S32" s="145" t="n"/>
      <c r="T32" s="145" t="n"/>
      <c r="U32" s="145" t="n"/>
      <c r="V32" s="145" t="n"/>
      <c r="W32" s="145" t="n"/>
      <c r="X32" s="145" t="n"/>
      <c r="Y32" s="145" t="n"/>
      <c r="Z32" s="145" t="n"/>
    </row>
    <row r="33" ht="21.75" customHeight="1" s="311">
      <c r="A33" s="21" t="inlineStr">
        <is>
          <t>4.  PROYECCIÓN DE SALDO A 30 DÍAS</t>
        </is>
      </c>
      <c r="B33" s="22" t="n"/>
      <c r="C33" s="22" t="n"/>
      <c r="D33" s="22" t="n"/>
      <c r="E33" s="22" t="n"/>
      <c r="F33" s="22" t="n"/>
      <c r="G33" s="22" t="n"/>
      <c r="H33" s="22" t="n"/>
      <c r="I33" s="145" t="n"/>
      <c r="J33" s="145" t="n"/>
      <c r="K33" s="145" t="n"/>
      <c r="L33" s="145" t="n"/>
      <c r="M33" s="145" t="n"/>
      <c r="N33" s="145" t="n"/>
      <c r="O33" s="145" t="n"/>
      <c r="P33" s="145" t="n"/>
      <c r="Q33" s="145" t="n"/>
      <c r="R33" s="145" t="n"/>
      <c r="S33" s="145" t="n"/>
      <c r="T33" s="145" t="n"/>
      <c r="U33" s="145" t="n"/>
      <c r="V33" s="145" t="n"/>
      <c r="W33" s="145" t="n"/>
      <c r="X33" s="145" t="n"/>
      <c r="Y33" s="145" t="n"/>
      <c r="Z33" s="145" t="n"/>
    </row>
    <row r="34" ht="15.75" customHeight="1" s="311">
      <c r="A34" s="145" t="n"/>
      <c r="B34" s="23" t="inlineStr">
        <is>
          <t>Ingresos que esperas cobrar en los próximos 30 días</t>
        </is>
      </c>
      <c r="C34" s="145" t="n"/>
      <c r="D34" s="145" t="n"/>
      <c r="E34" s="145" t="n"/>
      <c r="F34" s="145" t="n"/>
      <c r="G34" s="145" t="n"/>
      <c r="H34" s="145" t="n"/>
      <c r="I34" s="145" t="n"/>
      <c r="J34" s="145" t="n"/>
      <c r="K34" s="145" t="n"/>
      <c r="L34" s="145" t="n"/>
      <c r="M34" s="145" t="n"/>
      <c r="N34" s="145" t="n"/>
      <c r="O34" s="145" t="n"/>
      <c r="P34" s="145" t="n"/>
      <c r="Q34" s="145" t="n"/>
      <c r="R34" s="145" t="n"/>
      <c r="S34" s="145" t="n"/>
      <c r="T34" s="145" t="n"/>
      <c r="U34" s="145" t="n"/>
      <c r="V34" s="145" t="n"/>
      <c r="W34" s="145" t="n"/>
      <c r="X34" s="145" t="n"/>
      <c r="Y34" s="145" t="n"/>
      <c r="Z34" s="145" t="n"/>
    </row>
    <row r="35" ht="27.75" customHeight="1" s="311">
      <c r="A35" s="145" t="n"/>
      <c r="B35" s="33" t="inlineStr">
        <is>
          <t>Fecha de cobro</t>
        </is>
      </c>
      <c r="C35" s="33" t="inlineStr">
        <is>
          <t>Concepto</t>
        </is>
      </c>
      <c r="D35" s="33" t="inlineStr">
        <is>
          <t>Importe (€)</t>
        </is>
      </c>
      <c r="E35" s="145" t="n"/>
      <c r="F35" s="145" t="n"/>
      <c r="G35" s="145" t="n"/>
      <c r="H35" s="145" t="n"/>
      <c r="I35" s="145" t="n"/>
      <c r="J35" s="33" t="inlineStr">
        <is>
          <t>Día</t>
        </is>
      </c>
      <c r="K35" s="33" t="inlineStr">
        <is>
          <t>Fecha</t>
        </is>
      </c>
      <c r="L35" s="33" t="inlineStr">
        <is>
          <t>Saldo inicial</t>
        </is>
      </c>
      <c r="M35" s="33" t="inlineStr">
        <is>
          <t>Saldo de facturas del día</t>
        </is>
      </c>
      <c r="N35" s="33" t="inlineStr">
        <is>
          <t>Ingresos del día</t>
        </is>
      </c>
      <c r="O35" s="33" t="inlineStr">
        <is>
          <t>Gasto corriente</t>
        </is>
      </c>
      <c r="P35" s="33" t="inlineStr">
        <is>
          <t>Saldo final</t>
        </is>
      </c>
      <c r="Q35" s="145" t="n"/>
      <c r="R35" s="145" t="n"/>
      <c r="S35" s="145" t="n"/>
      <c r="T35" s="145" t="n"/>
      <c r="U35" s="145" t="n"/>
      <c r="V35" s="145" t="n"/>
      <c r="W35" s="145" t="n"/>
      <c r="X35" s="145" t="n"/>
      <c r="Y35" s="145" t="n"/>
      <c r="Z35" s="145" t="n"/>
    </row>
    <row r="36" ht="15.75" customHeight="1" s="311">
      <c r="A36" s="145" t="n"/>
      <c r="B36" s="144" t="n">
        <v>46235</v>
      </c>
      <c r="C36" s="146" t="inlineStr">
        <is>
          <t>Nómina de Iris</t>
        </is>
      </c>
      <c r="D36" s="76" t="n">
        <v>852.5</v>
      </c>
      <c r="E36" s="145" t="n"/>
      <c r="F36" s="145" t="n"/>
      <c r="G36" s="145" t="n"/>
      <c r="H36" s="145" t="n"/>
      <c r="I36" s="145" t="n"/>
      <c r="J36" s="59" t="n">
        <v>0</v>
      </c>
      <c r="K36" s="152">
        <f>TODAY()</f>
        <v/>
      </c>
      <c r="L36" s="42">
        <f>Disponibilidad!$G$33</f>
        <v/>
      </c>
      <c r="M36" s="42">
        <f>SUMIFS(Facturas!$K$6:$K$205,Facturas!$H$6:$H$205,$K36)</f>
        <v/>
      </c>
      <c r="N36" s="42">
        <f>SUMIFS($D$36:$D$41,$B$36:$B$41,$K36)</f>
        <v/>
      </c>
      <c r="O36" s="42">
        <f>IFERROR(Disponibilidad!$G$42,0)</f>
        <v/>
      </c>
      <c r="P36" s="57">
        <f>$L36-$M36+$N36-$O36</f>
        <v/>
      </c>
      <c r="Q36" s="145" t="n"/>
      <c r="R36" s="145" t="n"/>
      <c r="S36" s="145" t="n"/>
      <c r="T36" s="145" t="n"/>
      <c r="U36" s="145" t="n"/>
      <c r="V36" s="145" t="n"/>
      <c r="W36" s="145" t="n"/>
      <c r="X36" s="145" t="n"/>
      <c r="Y36" s="145" t="n"/>
      <c r="Z36" s="145" t="n"/>
    </row>
    <row r="37" ht="15.75" customHeight="1" s="311">
      <c r="A37" s="145" t="n"/>
      <c r="B37" s="144" t="n">
        <v>46239</v>
      </c>
      <c r="C37" s="146" t="inlineStr">
        <is>
          <t>Tu aporte a la casa</t>
        </is>
      </c>
      <c r="D37" s="174">
        <f t="array" ref="D37">INDEX(Escenarios!$D$29:$H$29,Panel!$D$5)</f>
        <v/>
      </c>
      <c r="E37" s="145" t="n"/>
      <c r="F37" s="145" t="n"/>
      <c r="G37" s="145" t="n"/>
      <c r="H37" s="145" t="n"/>
      <c r="I37" s="145" t="n"/>
      <c r="J37" s="59" t="n">
        <v>1</v>
      </c>
      <c r="K37" s="152">
        <f>$K36+1</f>
        <v/>
      </c>
      <c r="L37" s="42">
        <f>$P36</f>
        <v/>
      </c>
      <c r="M37" s="42">
        <f>SUMIFS(Facturas!$K$6:$K$205,Facturas!$H$6:$H$205,$K37)</f>
        <v/>
      </c>
      <c r="N37" s="42">
        <f>SUMIFS($D$36:$D$41,$B$36:$B$41,$K37)</f>
        <v/>
      </c>
      <c r="O37" s="42">
        <f>IFERROR(Disponibilidad!$G$42,0)</f>
        <v/>
      </c>
      <c r="P37" s="57">
        <f>$L37-$M37+$N37-$O37</f>
        <v/>
      </c>
      <c r="Q37" s="145" t="n"/>
      <c r="R37" s="145" t="n"/>
      <c r="S37" s="145" t="n"/>
      <c r="T37" s="145" t="n"/>
      <c r="U37" s="145" t="n"/>
      <c r="V37" s="145" t="n"/>
      <c r="W37" s="145" t="n"/>
      <c r="X37" s="145" t="n"/>
      <c r="Y37" s="145" t="n"/>
      <c r="Z37" s="145" t="n"/>
    </row>
    <row r="38" ht="15.75" customHeight="1" s="311">
      <c r="A38" s="145" t="n"/>
      <c r="B38" s="144" t="n">
        <v>46239</v>
      </c>
      <c r="C38" s="146" t="inlineStr">
        <is>
          <t>Ingreso de Stalin</t>
        </is>
      </c>
      <c r="D38" s="76" t="n">
        <v>239</v>
      </c>
      <c r="E38" s="145" t="n"/>
      <c r="F38" s="145" t="n"/>
      <c r="G38" s="145" t="n"/>
      <c r="H38" s="145" t="n"/>
      <c r="I38" s="145" t="n"/>
      <c r="J38" s="59" t="n">
        <v>2</v>
      </c>
      <c r="K38" s="152">
        <f>$K37+1</f>
        <v/>
      </c>
      <c r="L38" s="42">
        <f>$P37</f>
        <v/>
      </c>
      <c r="M38" s="42">
        <f>SUMIFS(Facturas!$K$6:$K$205,Facturas!$H$6:$H$205,$K38)</f>
        <v/>
      </c>
      <c r="N38" s="42">
        <f>SUMIFS($D$36:$D$41,$B$36:$B$41,$K38)</f>
        <v/>
      </c>
      <c r="O38" s="42">
        <f>IFERROR(Disponibilidad!$G$42,0)</f>
        <v/>
      </c>
      <c r="P38" s="57">
        <f>$L38-$M38+$N38-$O38</f>
        <v/>
      </c>
      <c r="Q38" s="145" t="n"/>
      <c r="R38" s="145" t="n"/>
      <c r="S38" s="145" t="n"/>
      <c r="T38" s="145" t="n"/>
      <c r="U38" s="145" t="n"/>
      <c r="V38" s="145" t="n"/>
      <c r="W38" s="145" t="n"/>
      <c r="X38" s="145" t="n"/>
      <c r="Y38" s="145" t="n"/>
      <c r="Z38" s="145" t="n"/>
    </row>
    <row r="39" ht="15.75" customHeight="1" s="311">
      <c r="A39" s="145" t="n"/>
      <c r="B39" s="144" t="n">
        <v>46239</v>
      </c>
      <c r="C39" s="146" t="inlineStr">
        <is>
          <t>Ingreso de Tony</t>
        </is>
      </c>
      <c r="D39" s="76" t="n">
        <v>100</v>
      </c>
      <c r="E39" s="145" t="n"/>
      <c r="F39" s="145" t="n"/>
      <c r="G39" s="145" t="n"/>
      <c r="H39" s="145" t="n"/>
      <c r="I39" s="145" t="n"/>
      <c r="J39" s="59" t="n">
        <v>3</v>
      </c>
      <c r="K39" s="152">
        <f>$K38+1</f>
        <v/>
      </c>
      <c r="L39" s="42">
        <f>$P38</f>
        <v/>
      </c>
      <c r="M39" s="42">
        <f>SUMIFS(Facturas!$K$6:$K$205,Facturas!$H$6:$H$205,$K39)</f>
        <v/>
      </c>
      <c r="N39" s="42">
        <f>SUMIFS($D$36:$D$41,$B$36:$B$41,$K39)</f>
        <v/>
      </c>
      <c r="O39" s="42">
        <f>IFERROR(Disponibilidad!$G$42,0)</f>
        <v/>
      </c>
      <c r="P39" s="57">
        <f>$L39-$M39+$N39-$O39</f>
        <v/>
      </c>
      <c r="Q39" s="145" t="n"/>
      <c r="R39" s="145" t="n"/>
      <c r="S39" s="145" t="n"/>
      <c r="T39" s="145" t="n"/>
      <c r="U39" s="145" t="n"/>
      <c r="V39" s="145" t="n"/>
      <c r="W39" s="145" t="n"/>
      <c r="X39" s="145" t="n"/>
      <c r="Y39" s="145" t="n"/>
      <c r="Z39" s="145" t="n"/>
    </row>
    <row r="40" ht="15.75" customHeight="1" s="311">
      <c r="A40" s="145" t="n"/>
      <c r="B40" s="144" t="n"/>
      <c r="C40" s="146" t="n"/>
      <c r="D40" s="76" t="n"/>
      <c r="E40" s="145" t="n"/>
      <c r="F40" s="145" t="n"/>
      <c r="G40" s="145" t="n"/>
      <c r="H40" s="145" t="n"/>
      <c r="I40" s="145" t="n"/>
      <c r="J40" s="59" t="n">
        <v>4</v>
      </c>
      <c r="K40" s="152">
        <f>$K39+1</f>
        <v/>
      </c>
      <c r="L40" s="42">
        <f>$P39</f>
        <v/>
      </c>
      <c r="M40" s="42">
        <f>SUMIFS(Facturas!$K$6:$K$205,Facturas!$H$6:$H$205,$K40)</f>
        <v/>
      </c>
      <c r="N40" s="42">
        <f>SUMIFS($D$36:$D$41,$B$36:$B$41,$K40)</f>
        <v/>
      </c>
      <c r="O40" s="42">
        <f>IFERROR(Disponibilidad!$G$42,0)</f>
        <v/>
      </c>
      <c r="P40" s="57">
        <f>$L40-$M40+$N40-$O40</f>
        <v/>
      </c>
      <c r="Q40" s="145" t="n"/>
      <c r="R40" s="145" t="n"/>
      <c r="S40" s="145" t="n"/>
      <c r="T40" s="145" t="n"/>
      <c r="U40" s="145" t="n"/>
      <c r="V40" s="145" t="n"/>
      <c r="W40" s="145" t="n"/>
      <c r="X40" s="145" t="n"/>
      <c r="Y40" s="145" t="n"/>
      <c r="Z40" s="145" t="n"/>
    </row>
    <row r="41" ht="15.75" customHeight="1" s="311">
      <c r="A41" s="145" t="n"/>
      <c r="B41" s="144" t="n"/>
      <c r="C41" s="146" t="n"/>
      <c r="D41" s="76" t="n"/>
      <c r="E41" s="145" t="n"/>
      <c r="F41" s="145" t="n"/>
      <c r="G41" s="145" t="n"/>
      <c r="H41" s="145" t="n"/>
      <c r="I41" s="145" t="n"/>
      <c r="J41" s="59" t="n">
        <v>5</v>
      </c>
      <c r="K41" s="152">
        <f>$K40+1</f>
        <v/>
      </c>
      <c r="L41" s="42">
        <f>$P40</f>
        <v/>
      </c>
      <c r="M41" s="42">
        <f>SUMIFS(Facturas!$K$6:$K$205,Facturas!$H$6:$H$205,$K41)</f>
        <v/>
      </c>
      <c r="N41" s="42">
        <f>SUMIFS($D$36:$D$41,$B$36:$B$41,$K41)</f>
        <v/>
      </c>
      <c r="O41" s="42">
        <f>IFERROR(Disponibilidad!$G$42,0)</f>
        <v/>
      </c>
      <c r="P41" s="57">
        <f>$L41-$M41+$N41-$O41</f>
        <v/>
      </c>
      <c r="Q41" s="145" t="n"/>
      <c r="R41" s="145" t="n"/>
      <c r="S41" s="145" t="n"/>
      <c r="T41" s="145" t="n"/>
      <c r="U41" s="145" t="n"/>
      <c r="V41" s="145" t="n"/>
      <c r="W41" s="145" t="n"/>
      <c r="X41" s="145" t="n"/>
      <c r="Y41" s="145" t="n"/>
      <c r="Z41" s="145" t="n"/>
    </row>
    <row r="42" ht="15.75" customHeight="1" s="311">
      <c r="A42" s="145" t="n"/>
      <c r="B42" s="38" t="inlineStr">
        <is>
          <t>Total ingresos previstos</t>
        </is>
      </c>
      <c r="C42" s="39" t="n"/>
      <c r="D42" s="86">
        <f>SUM($D$36:$D$41)</f>
        <v/>
      </c>
      <c r="E42" s="145" t="n"/>
      <c r="F42" s="145" t="n"/>
      <c r="G42" s="145" t="n"/>
      <c r="H42" s="145" t="n"/>
      <c r="I42" s="145" t="n"/>
      <c r="J42" s="59" t="n">
        <v>6</v>
      </c>
      <c r="K42" s="152">
        <f>$K41+1</f>
        <v/>
      </c>
      <c r="L42" s="42">
        <f>$P41</f>
        <v/>
      </c>
      <c r="M42" s="42">
        <f>SUMIFS(Facturas!$K$6:$K$205,Facturas!$H$6:$H$205,$K42)</f>
        <v/>
      </c>
      <c r="N42" s="42">
        <f>SUMIFS($D$36:$D$41,$B$36:$B$41,$K42)</f>
        <v/>
      </c>
      <c r="O42" s="42">
        <f>IFERROR(Disponibilidad!$G$42,0)</f>
        <v/>
      </c>
      <c r="P42" s="57">
        <f>$L42-$M42+$N42-$O42</f>
        <v/>
      </c>
      <c r="Q42" s="145" t="n"/>
      <c r="R42" s="145" t="n"/>
      <c r="S42" s="145" t="n"/>
      <c r="T42" s="145" t="n"/>
      <c r="U42" s="145" t="n"/>
      <c r="V42" s="145" t="n"/>
      <c r="W42" s="145" t="n"/>
      <c r="X42" s="145" t="n"/>
      <c r="Y42" s="145" t="n"/>
      <c r="Z42" s="145" t="n"/>
    </row>
    <row r="43" ht="15.75" customHeight="1" s="311">
      <c r="A43" s="145" t="n"/>
      <c r="B43" s="145" t="n"/>
      <c r="C43" s="145" t="n"/>
      <c r="D43" s="145" t="n"/>
      <c r="E43" s="145" t="n"/>
      <c r="F43" s="145" t="n"/>
      <c r="G43" s="145" t="n"/>
      <c r="H43" s="145" t="n"/>
      <c r="I43" s="145" t="n"/>
      <c r="J43" s="59" t="n">
        <v>7</v>
      </c>
      <c r="K43" s="152">
        <f>$K42+1</f>
        <v/>
      </c>
      <c r="L43" s="42">
        <f>$P42</f>
        <v/>
      </c>
      <c r="M43" s="42">
        <f>SUMIFS(Facturas!$K$6:$K$205,Facturas!$H$6:$H$205,$K43)</f>
        <v/>
      </c>
      <c r="N43" s="42">
        <f>SUMIFS($D$36:$D$41,$B$36:$B$41,$K43)</f>
        <v/>
      </c>
      <c r="O43" s="42">
        <f>IFERROR(Disponibilidad!$G$42,0)</f>
        <v/>
      </c>
      <c r="P43" s="57">
        <f>$L43-$M43+$N43-$O43</f>
        <v/>
      </c>
      <c r="Q43" s="145" t="n"/>
      <c r="R43" s="145" t="n"/>
      <c r="S43" s="145" t="n"/>
      <c r="T43" s="145" t="n"/>
      <c r="U43" s="145" t="n"/>
      <c r="V43" s="145" t="n"/>
      <c r="W43" s="145" t="n"/>
      <c r="X43" s="145" t="n"/>
      <c r="Y43" s="145" t="n"/>
      <c r="Z43" s="145" t="n"/>
    </row>
    <row r="44" ht="15.75" customHeight="1" s="311">
      <c r="A44" s="145" t="n"/>
      <c r="B44" s="145" t="n"/>
      <c r="C44" s="145" t="n"/>
      <c r="D44" s="145" t="n"/>
      <c r="E44" s="145" t="n"/>
      <c r="F44" s="145" t="n"/>
      <c r="G44" s="145" t="n"/>
      <c r="H44" s="145" t="n"/>
      <c r="I44" s="145" t="n"/>
      <c r="J44" s="59" t="n">
        <v>8</v>
      </c>
      <c r="K44" s="152">
        <f>$K43+1</f>
        <v/>
      </c>
      <c r="L44" s="42">
        <f>$P43</f>
        <v/>
      </c>
      <c r="M44" s="42">
        <f>SUMIFS(Facturas!$K$6:$K$205,Facturas!$H$6:$H$205,$K44)</f>
        <v/>
      </c>
      <c r="N44" s="42">
        <f>SUMIFS($D$36:$D$41,$B$36:$B$41,$K44)</f>
        <v/>
      </c>
      <c r="O44" s="42">
        <f>IFERROR(Disponibilidad!$G$42,0)</f>
        <v/>
      </c>
      <c r="P44" s="57">
        <f>$L44-$M44+$N44-$O44</f>
        <v/>
      </c>
      <c r="Q44" s="145" t="n"/>
      <c r="R44" s="145" t="n"/>
      <c r="S44" s="145" t="n"/>
      <c r="T44" s="145" t="n"/>
      <c r="U44" s="145" t="n"/>
      <c r="V44" s="145" t="n"/>
      <c r="W44" s="145" t="n"/>
      <c r="X44" s="145" t="n"/>
      <c r="Y44" s="145" t="n"/>
      <c r="Z44" s="145" t="n"/>
    </row>
    <row r="45" ht="15.75" customHeight="1" s="311">
      <c r="A45" s="145" t="n"/>
      <c r="B45" s="145" t="n"/>
      <c r="C45" s="145" t="n"/>
      <c r="D45" s="145" t="n"/>
      <c r="E45" s="145" t="n"/>
      <c r="F45" s="145" t="n"/>
      <c r="G45" s="145" t="n"/>
      <c r="H45" s="145" t="n"/>
      <c r="I45" s="145" t="n"/>
      <c r="J45" s="59" t="n">
        <v>9</v>
      </c>
      <c r="K45" s="152">
        <f>$K44+1</f>
        <v/>
      </c>
      <c r="L45" s="42">
        <f>$P44</f>
        <v/>
      </c>
      <c r="M45" s="42">
        <f>SUMIFS(Facturas!$K$6:$K$205,Facturas!$H$6:$H$205,$K45)</f>
        <v/>
      </c>
      <c r="N45" s="42">
        <f>SUMIFS($D$36:$D$41,$B$36:$B$41,$K45)</f>
        <v/>
      </c>
      <c r="O45" s="42">
        <f>IFERROR(Disponibilidad!$G$42,0)</f>
        <v/>
      </c>
      <c r="P45" s="57">
        <f>$L45-$M45+$N45-$O45</f>
        <v/>
      </c>
      <c r="Q45" s="145" t="n"/>
      <c r="R45" s="145" t="n"/>
      <c r="S45" s="145" t="n"/>
      <c r="T45" s="145" t="n"/>
      <c r="U45" s="145" t="n"/>
      <c r="V45" s="145" t="n"/>
      <c r="W45" s="145" t="n"/>
      <c r="X45" s="145" t="n"/>
      <c r="Y45" s="145" t="n"/>
      <c r="Z45" s="145" t="n"/>
    </row>
    <row r="46" ht="15.75" customHeight="1" s="311">
      <c r="A46" s="145" t="n"/>
      <c r="B46" s="145" t="n"/>
      <c r="C46" s="145" t="n"/>
      <c r="D46" s="145" t="n"/>
      <c r="E46" s="145" t="n"/>
      <c r="F46" s="145" t="n"/>
      <c r="G46" s="145" t="n"/>
      <c r="H46" s="145" t="n"/>
      <c r="I46" s="145" t="n"/>
      <c r="J46" s="59" t="n">
        <v>10</v>
      </c>
      <c r="K46" s="152">
        <f>$K45+1</f>
        <v/>
      </c>
      <c r="L46" s="42">
        <f>$P45</f>
        <v/>
      </c>
      <c r="M46" s="42">
        <f>SUMIFS(Facturas!$K$6:$K$205,Facturas!$H$6:$H$205,$K46)</f>
        <v/>
      </c>
      <c r="N46" s="42">
        <f>SUMIFS($D$36:$D$41,$B$36:$B$41,$K46)</f>
        <v/>
      </c>
      <c r="O46" s="42">
        <f>IFERROR(Disponibilidad!$G$42,0)</f>
        <v/>
      </c>
      <c r="P46" s="57">
        <f>$L46-$M46+$N46-$O46</f>
        <v/>
      </c>
      <c r="Q46" s="145" t="n"/>
      <c r="R46" s="145" t="n"/>
      <c r="S46" s="145" t="n"/>
      <c r="T46" s="145" t="n"/>
      <c r="U46" s="145" t="n"/>
      <c r="V46" s="145" t="n"/>
      <c r="W46" s="145" t="n"/>
      <c r="X46" s="145" t="n"/>
      <c r="Y46" s="145" t="n"/>
      <c r="Z46" s="145" t="n"/>
    </row>
    <row r="47" ht="15.75" customHeight="1" s="311">
      <c r="A47" s="145" t="n"/>
      <c r="B47" s="145" t="n"/>
      <c r="C47" s="145" t="n"/>
      <c r="D47" s="145" t="n"/>
      <c r="E47" s="145" t="n"/>
      <c r="F47" s="145" t="n"/>
      <c r="G47" s="145" t="n"/>
      <c r="H47" s="145" t="n"/>
      <c r="I47" s="145" t="n"/>
      <c r="J47" s="59" t="n">
        <v>11</v>
      </c>
      <c r="K47" s="152">
        <f>$K46+1</f>
        <v/>
      </c>
      <c r="L47" s="42">
        <f>$P46</f>
        <v/>
      </c>
      <c r="M47" s="42">
        <f>SUMIFS(Facturas!$K$6:$K$205,Facturas!$H$6:$H$205,$K47)</f>
        <v/>
      </c>
      <c r="N47" s="42">
        <f>SUMIFS($D$36:$D$41,$B$36:$B$41,$K47)</f>
        <v/>
      </c>
      <c r="O47" s="42">
        <f>IFERROR(Disponibilidad!$G$42,0)</f>
        <v/>
      </c>
      <c r="P47" s="57">
        <f>$L47-$M47+$N47-$O47</f>
        <v/>
      </c>
      <c r="Q47" s="145" t="n"/>
      <c r="R47" s="145" t="n"/>
      <c r="S47" s="145" t="n"/>
      <c r="T47" s="145" t="n"/>
      <c r="U47" s="145" t="n"/>
      <c r="V47" s="145" t="n"/>
      <c r="W47" s="145" t="n"/>
      <c r="X47" s="145" t="n"/>
      <c r="Y47" s="145" t="n"/>
      <c r="Z47" s="145" t="n"/>
    </row>
    <row r="48" ht="15.75" customHeight="1" s="311">
      <c r="A48" s="145" t="n"/>
      <c r="B48" s="145" t="n"/>
      <c r="C48" s="145" t="n"/>
      <c r="D48" s="145" t="n"/>
      <c r="E48" s="145" t="n"/>
      <c r="F48" s="145" t="n"/>
      <c r="G48" s="145" t="n"/>
      <c r="H48" s="145" t="n"/>
      <c r="I48" s="145" t="n"/>
      <c r="J48" s="59" t="n">
        <v>12</v>
      </c>
      <c r="K48" s="152">
        <f>$K47+1</f>
        <v/>
      </c>
      <c r="L48" s="42">
        <f>$P47</f>
        <v/>
      </c>
      <c r="M48" s="42">
        <f>SUMIFS(Facturas!$K$6:$K$205,Facturas!$H$6:$H$205,$K48)</f>
        <v/>
      </c>
      <c r="N48" s="42">
        <f>SUMIFS($D$36:$D$41,$B$36:$B$41,$K48)</f>
        <v/>
      </c>
      <c r="O48" s="42">
        <f>IFERROR(Disponibilidad!$G$42,0)</f>
        <v/>
      </c>
      <c r="P48" s="57">
        <f>$L48-$M48+$N48-$O48</f>
        <v/>
      </c>
      <c r="Q48" s="145" t="n"/>
      <c r="R48" s="145" t="n"/>
      <c r="S48" s="145" t="n"/>
      <c r="T48" s="145" t="n"/>
      <c r="U48" s="145" t="n"/>
      <c r="V48" s="145" t="n"/>
      <c r="W48" s="145" t="n"/>
      <c r="X48" s="145" t="n"/>
      <c r="Y48" s="145" t="n"/>
      <c r="Z48" s="145" t="n"/>
    </row>
    <row r="49" ht="15.75" customHeight="1" s="311">
      <c r="A49" s="145" t="n"/>
      <c r="B49" s="145" t="n"/>
      <c r="C49" s="145" t="n"/>
      <c r="D49" s="145" t="n"/>
      <c r="E49" s="145" t="n"/>
      <c r="F49" s="145" t="n"/>
      <c r="G49" s="145" t="n"/>
      <c r="H49" s="145" t="n"/>
      <c r="I49" s="145" t="n"/>
      <c r="J49" s="59" t="n">
        <v>13</v>
      </c>
      <c r="K49" s="152">
        <f>$K48+1</f>
        <v/>
      </c>
      <c r="L49" s="42">
        <f>$P48</f>
        <v/>
      </c>
      <c r="M49" s="42">
        <f>SUMIFS(Facturas!$K$6:$K$205,Facturas!$H$6:$H$205,$K49)</f>
        <v/>
      </c>
      <c r="N49" s="42">
        <f>SUMIFS($D$36:$D$41,$B$36:$B$41,$K49)</f>
        <v/>
      </c>
      <c r="O49" s="42">
        <f>IFERROR(Disponibilidad!$G$42,0)</f>
        <v/>
      </c>
      <c r="P49" s="57">
        <f>$L49-$M49+$N49-$O49</f>
        <v/>
      </c>
      <c r="Q49" s="145" t="n"/>
      <c r="R49" s="145" t="n"/>
      <c r="S49" s="145" t="n"/>
      <c r="T49" s="145" t="n"/>
      <c r="U49" s="145" t="n"/>
      <c r="V49" s="145" t="n"/>
      <c r="W49" s="145" t="n"/>
      <c r="X49" s="145" t="n"/>
      <c r="Y49" s="145" t="n"/>
      <c r="Z49" s="145" t="n"/>
    </row>
    <row r="50" ht="15.75" customHeight="1" s="311">
      <c r="A50" s="145" t="n"/>
      <c r="B50" s="145" t="n"/>
      <c r="C50" s="145" t="n"/>
      <c r="D50" s="145" t="n"/>
      <c r="E50" s="145" t="n"/>
      <c r="F50" s="145" t="n"/>
      <c r="G50" s="145" t="n"/>
      <c r="H50" s="145" t="n"/>
      <c r="I50" s="145" t="n"/>
      <c r="J50" s="59" t="n">
        <v>14</v>
      </c>
      <c r="K50" s="152">
        <f>$K49+1</f>
        <v/>
      </c>
      <c r="L50" s="42">
        <f>$P49</f>
        <v/>
      </c>
      <c r="M50" s="42">
        <f>SUMIFS(Facturas!$K$6:$K$205,Facturas!$H$6:$H$205,$K50)</f>
        <v/>
      </c>
      <c r="N50" s="42">
        <f>SUMIFS($D$36:$D$41,$B$36:$B$41,$K50)</f>
        <v/>
      </c>
      <c r="O50" s="42">
        <f>IFERROR(Disponibilidad!$G$42,0)</f>
        <v/>
      </c>
      <c r="P50" s="57">
        <f>$L50-$M50+$N50-$O50</f>
        <v/>
      </c>
      <c r="Q50" s="145" t="n"/>
      <c r="R50" s="145" t="n"/>
      <c r="S50" s="145" t="n"/>
      <c r="T50" s="145" t="n"/>
      <c r="U50" s="145" t="n"/>
      <c r="V50" s="145" t="n"/>
      <c r="W50" s="145" t="n"/>
      <c r="X50" s="145" t="n"/>
      <c r="Y50" s="145" t="n"/>
      <c r="Z50" s="145" t="n"/>
    </row>
    <row r="51" ht="15.75" customHeight="1" s="311">
      <c r="A51" s="145" t="n"/>
      <c r="B51" s="145" t="n"/>
      <c r="C51" s="145" t="n"/>
      <c r="D51" s="145" t="n"/>
      <c r="E51" s="145" t="n"/>
      <c r="F51" s="145" t="n"/>
      <c r="G51" s="145" t="n"/>
      <c r="H51" s="145" t="n"/>
      <c r="I51" s="145" t="n"/>
      <c r="J51" s="59" t="n">
        <v>15</v>
      </c>
      <c r="K51" s="152">
        <f>$K50+1</f>
        <v/>
      </c>
      <c r="L51" s="42">
        <f>$P50</f>
        <v/>
      </c>
      <c r="M51" s="42">
        <f>SUMIFS(Facturas!$K$6:$K$205,Facturas!$H$6:$H$205,$K51)</f>
        <v/>
      </c>
      <c r="N51" s="42">
        <f>SUMIFS($D$36:$D$41,$B$36:$B$41,$K51)</f>
        <v/>
      </c>
      <c r="O51" s="42">
        <f>IFERROR(Disponibilidad!$G$42,0)</f>
        <v/>
      </c>
      <c r="P51" s="57">
        <f>$L51-$M51+$N51-$O51</f>
        <v/>
      </c>
      <c r="Q51" s="145" t="n"/>
      <c r="R51" s="145" t="n"/>
      <c r="S51" s="145" t="n"/>
      <c r="T51" s="145" t="n"/>
      <c r="U51" s="145" t="n"/>
      <c r="V51" s="145" t="n"/>
      <c r="W51" s="145" t="n"/>
      <c r="X51" s="145" t="n"/>
      <c r="Y51" s="145" t="n"/>
      <c r="Z51" s="145" t="n"/>
    </row>
    <row r="52" ht="15.75" customHeight="1" s="311">
      <c r="A52" s="145" t="n"/>
      <c r="B52" s="145" t="n"/>
      <c r="C52" s="145" t="n"/>
      <c r="D52" s="145" t="n"/>
      <c r="E52" s="145" t="n"/>
      <c r="F52" s="145" t="n"/>
      <c r="G52" s="145" t="n"/>
      <c r="H52" s="145" t="n"/>
      <c r="I52" s="145" t="n"/>
      <c r="J52" s="59" t="n">
        <v>16</v>
      </c>
      <c r="K52" s="152">
        <f>$K51+1</f>
        <v/>
      </c>
      <c r="L52" s="42">
        <f>$P51</f>
        <v/>
      </c>
      <c r="M52" s="42">
        <f>SUMIFS(Facturas!$K$6:$K$205,Facturas!$H$6:$H$205,$K52)</f>
        <v/>
      </c>
      <c r="N52" s="42">
        <f>SUMIFS($D$36:$D$41,$B$36:$B$41,$K52)</f>
        <v/>
      </c>
      <c r="O52" s="42">
        <f>IFERROR(Disponibilidad!$G$42,0)</f>
        <v/>
      </c>
      <c r="P52" s="57">
        <f>$L52-$M52+$N52-$O52</f>
        <v/>
      </c>
      <c r="Q52" s="145" t="n"/>
      <c r="R52" s="145" t="n"/>
      <c r="S52" s="145" t="n"/>
      <c r="T52" s="145" t="n"/>
      <c r="U52" s="145" t="n"/>
      <c r="V52" s="145" t="n"/>
      <c r="W52" s="145" t="n"/>
      <c r="X52" s="145" t="n"/>
      <c r="Y52" s="145" t="n"/>
      <c r="Z52" s="145" t="n"/>
    </row>
    <row r="53" ht="15.75" customHeight="1" s="311">
      <c r="A53" s="145" t="n"/>
      <c r="B53" s="145" t="n"/>
      <c r="C53" s="145" t="n"/>
      <c r="D53" s="145" t="n"/>
      <c r="E53" s="145" t="n"/>
      <c r="F53" s="145" t="n"/>
      <c r="G53" s="145" t="n"/>
      <c r="H53" s="145" t="n"/>
      <c r="I53" s="145" t="n"/>
      <c r="J53" s="59" t="n">
        <v>17</v>
      </c>
      <c r="K53" s="152">
        <f>$K52+1</f>
        <v/>
      </c>
      <c r="L53" s="42">
        <f>$P52</f>
        <v/>
      </c>
      <c r="M53" s="42">
        <f>SUMIFS(Facturas!$K$6:$K$205,Facturas!$H$6:$H$205,$K53)</f>
        <v/>
      </c>
      <c r="N53" s="42">
        <f>SUMIFS($D$36:$D$41,$B$36:$B$41,$K53)</f>
        <v/>
      </c>
      <c r="O53" s="42">
        <f>IFERROR(Disponibilidad!$G$42,0)</f>
        <v/>
      </c>
      <c r="P53" s="57">
        <f>$L53-$M53+$N53-$O53</f>
        <v/>
      </c>
      <c r="Q53" s="145" t="n"/>
      <c r="R53" s="145" t="n"/>
      <c r="S53" s="145" t="n"/>
      <c r="T53" s="145" t="n"/>
      <c r="U53" s="145" t="n"/>
      <c r="V53" s="145" t="n"/>
      <c r="W53" s="145" t="n"/>
      <c r="X53" s="145" t="n"/>
      <c r="Y53" s="145" t="n"/>
      <c r="Z53" s="145" t="n"/>
    </row>
    <row r="54" ht="15.75" customHeight="1" s="311">
      <c r="A54" s="145" t="n"/>
      <c r="B54" s="145" t="n"/>
      <c r="C54" s="145" t="n"/>
      <c r="D54" s="145" t="n"/>
      <c r="E54" s="145" t="n"/>
      <c r="F54" s="145" t="n"/>
      <c r="G54" s="145" t="n"/>
      <c r="H54" s="145" t="n"/>
      <c r="I54" s="145" t="n"/>
      <c r="J54" s="59" t="n">
        <v>18</v>
      </c>
      <c r="K54" s="152">
        <f>$K53+1</f>
        <v/>
      </c>
      <c r="L54" s="42">
        <f>$P53</f>
        <v/>
      </c>
      <c r="M54" s="42">
        <f>SUMIFS(Facturas!$K$6:$K$205,Facturas!$H$6:$H$205,$K54)</f>
        <v/>
      </c>
      <c r="N54" s="42">
        <f>SUMIFS($D$36:$D$41,$B$36:$B$41,$K54)</f>
        <v/>
      </c>
      <c r="O54" s="42">
        <f>IFERROR(Disponibilidad!$G$42,0)</f>
        <v/>
      </c>
      <c r="P54" s="57">
        <f>$L54-$M54+$N54-$O54</f>
        <v/>
      </c>
      <c r="Q54" s="145" t="n"/>
      <c r="R54" s="145" t="n"/>
      <c r="S54" s="145" t="n"/>
      <c r="T54" s="145" t="n"/>
      <c r="U54" s="145" t="n"/>
      <c r="V54" s="145" t="n"/>
      <c r="W54" s="145" t="n"/>
      <c r="X54" s="145" t="n"/>
      <c r="Y54" s="145" t="n"/>
      <c r="Z54" s="145" t="n"/>
    </row>
    <row r="55" ht="15.75" customHeight="1" s="311">
      <c r="A55" s="145" t="n"/>
      <c r="B55" s="145" t="n"/>
      <c r="C55" s="145" t="n"/>
      <c r="D55" s="145" t="n"/>
      <c r="E55" s="145" t="n"/>
      <c r="F55" s="145" t="n"/>
      <c r="G55" s="145" t="n"/>
      <c r="H55" s="145" t="n"/>
      <c r="I55" s="145" t="n"/>
      <c r="J55" s="59" t="n">
        <v>19</v>
      </c>
      <c r="K55" s="152">
        <f>$K54+1</f>
        <v/>
      </c>
      <c r="L55" s="42">
        <f>$P54</f>
        <v/>
      </c>
      <c r="M55" s="42">
        <f>SUMIFS(Facturas!$K$6:$K$205,Facturas!$H$6:$H$205,$K55)</f>
        <v/>
      </c>
      <c r="N55" s="42">
        <f>SUMIFS($D$36:$D$41,$B$36:$B$41,$K55)</f>
        <v/>
      </c>
      <c r="O55" s="42">
        <f>IFERROR(Disponibilidad!$G$42,0)</f>
        <v/>
      </c>
      <c r="P55" s="57">
        <f>$L55-$M55+$N55-$O55</f>
        <v/>
      </c>
      <c r="Q55" s="145" t="n"/>
      <c r="R55" s="145" t="n"/>
      <c r="S55" s="145" t="n"/>
      <c r="T55" s="145" t="n"/>
      <c r="U55" s="145" t="n"/>
      <c r="V55" s="145" t="n"/>
      <c r="W55" s="145" t="n"/>
      <c r="X55" s="145" t="n"/>
      <c r="Y55" s="145" t="n"/>
      <c r="Z55" s="145" t="n"/>
    </row>
    <row r="56" ht="15.75" customHeight="1" s="311">
      <c r="A56" s="145" t="n"/>
      <c r="B56" s="145" t="n"/>
      <c r="C56" s="145" t="n"/>
      <c r="D56" s="145" t="n"/>
      <c r="E56" s="145" t="n"/>
      <c r="F56" s="145" t="n"/>
      <c r="G56" s="145" t="n"/>
      <c r="H56" s="145" t="n"/>
      <c r="I56" s="145" t="n"/>
      <c r="J56" s="59" t="n">
        <v>20</v>
      </c>
      <c r="K56" s="152">
        <f>$K55+1</f>
        <v/>
      </c>
      <c r="L56" s="42">
        <f>$P55</f>
        <v/>
      </c>
      <c r="M56" s="42">
        <f>SUMIFS(Facturas!$K$6:$K$205,Facturas!$H$6:$H$205,$K56)</f>
        <v/>
      </c>
      <c r="N56" s="42">
        <f>SUMIFS($D$36:$D$41,$B$36:$B$41,$K56)</f>
        <v/>
      </c>
      <c r="O56" s="42">
        <f>IFERROR(Disponibilidad!$G$42,0)</f>
        <v/>
      </c>
      <c r="P56" s="57">
        <f>$L56-$M56+$N56-$O56</f>
        <v/>
      </c>
      <c r="Q56" s="145" t="n"/>
      <c r="R56" s="145" t="n"/>
      <c r="S56" s="145" t="n"/>
      <c r="T56" s="145" t="n"/>
      <c r="U56" s="145" t="n"/>
      <c r="V56" s="145" t="n"/>
      <c r="W56" s="145" t="n"/>
      <c r="X56" s="145" t="n"/>
      <c r="Y56" s="145" t="n"/>
      <c r="Z56" s="145" t="n"/>
    </row>
    <row r="57" ht="15.75" customHeight="1" s="311">
      <c r="A57" s="145" t="n"/>
      <c r="B57" s="145" t="n"/>
      <c r="C57" s="145" t="n"/>
      <c r="D57" s="145" t="n"/>
      <c r="E57" s="145" t="n"/>
      <c r="F57" s="145" t="n"/>
      <c r="G57" s="145" t="n"/>
      <c r="H57" s="145" t="n"/>
      <c r="I57" s="145" t="n"/>
      <c r="J57" s="59" t="n">
        <v>21</v>
      </c>
      <c r="K57" s="152">
        <f>$K56+1</f>
        <v/>
      </c>
      <c r="L57" s="42">
        <f>$P56</f>
        <v/>
      </c>
      <c r="M57" s="42">
        <f>SUMIFS(Facturas!$K$6:$K$205,Facturas!$H$6:$H$205,$K57)</f>
        <v/>
      </c>
      <c r="N57" s="42">
        <f>SUMIFS($D$36:$D$41,$B$36:$B$41,$K57)</f>
        <v/>
      </c>
      <c r="O57" s="42">
        <f>IFERROR(Disponibilidad!$G$42,0)</f>
        <v/>
      </c>
      <c r="P57" s="57">
        <f>$L57-$M57+$N57-$O57</f>
        <v/>
      </c>
      <c r="Q57" s="145" t="n"/>
      <c r="R57" s="145" t="n"/>
      <c r="S57" s="145" t="n"/>
      <c r="T57" s="145" t="n"/>
      <c r="U57" s="145" t="n"/>
      <c r="V57" s="145" t="n"/>
      <c r="W57" s="145" t="n"/>
      <c r="X57" s="145" t="n"/>
      <c r="Y57" s="145" t="n"/>
      <c r="Z57" s="145" t="n"/>
    </row>
    <row r="58" ht="15.75" customHeight="1" s="311">
      <c r="A58" s="145" t="n"/>
      <c r="B58" s="145" t="n"/>
      <c r="C58" s="145" t="n"/>
      <c r="D58" s="145" t="n"/>
      <c r="E58" s="145" t="n"/>
      <c r="F58" s="145" t="n"/>
      <c r="G58" s="145" t="n"/>
      <c r="H58" s="145" t="n"/>
      <c r="I58" s="145" t="n"/>
      <c r="J58" s="59" t="n">
        <v>22</v>
      </c>
      <c r="K58" s="152">
        <f>$K57+1</f>
        <v/>
      </c>
      <c r="L58" s="42">
        <f>$P57</f>
        <v/>
      </c>
      <c r="M58" s="42">
        <f>SUMIFS(Facturas!$K$6:$K$205,Facturas!$H$6:$H$205,$K58)</f>
        <v/>
      </c>
      <c r="N58" s="42">
        <f>SUMIFS($D$36:$D$41,$B$36:$B$41,$K58)</f>
        <v/>
      </c>
      <c r="O58" s="42">
        <f>IFERROR(Disponibilidad!$G$42,0)</f>
        <v/>
      </c>
      <c r="P58" s="57">
        <f>$L58-$M58+$N58-$O58</f>
        <v/>
      </c>
      <c r="Q58" s="145" t="n"/>
      <c r="R58" s="145" t="n"/>
      <c r="S58" s="145" t="n"/>
      <c r="T58" s="145" t="n"/>
      <c r="U58" s="145" t="n"/>
      <c r="V58" s="145" t="n"/>
      <c r="W58" s="145" t="n"/>
      <c r="X58" s="145" t="n"/>
      <c r="Y58" s="145" t="n"/>
      <c r="Z58" s="145" t="n"/>
    </row>
    <row r="59" ht="15.75" customHeight="1" s="311">
      <c r="A59" s="145" t="n"/>
      <c r="B59" s="145" t="n"/>
      <c r="C59" s="145" t="n"/>
      <c r="D59" s="145" t="n"/>
      <c r="E59" s="145" t="n"/>
      <c r="F59" s="145" t="n"/>
      <c r="G59" s="145" t="n"/>
      <c r="H59" s="145" t="n"/>
      <c r="I59" s="145" t="n"/>
      <c r="J59" s="59" t="n">
        <v>23</v>
      </c>
      <c r="K59" s="152">
        <f>$K58+1</f>
        <v/>
      </c>
      <c r="L59" s="42">
        <f>$P58</f>
        <v/>
      </c>
      <c r="M59" s="42">
        <f>SUMIFS(Facturas!$K$6:$K$205,Facturas!$H$6:$H$205,$K59)</f>
        <v/>
      </c>
      <c r="N59" s="42">
        <f>SUMIFS($D$36:$D$41,$B$36:$B$41,$K59)</f>
        <v/>
      </c>
      <c r="O59" s="42">
        <f>IFERROR(Disponibilidad!$G$42,0)</f>
        <v/>
      </c>
      <c r="P59" s="57">
        <f>$L59-$M59+$N59-$O59</f>
        <v/>
      </c>
      <c r="Q59" s="145" t="n"/>
      <c r="R59" s="145" t="n"/>
      <c r="S59" s="145" t="n"/>
      <c r="T59" s="145" t="n"/>
      <c r="U59" s="145" t="n"/>
      <c r="V59" s="145" t="n"/>
      <c r="W59" s="145" t="n"/>
      <c r="X59" s="145" t="n"/>
      <c r="Y59" s="145" t="n"/>
      <c r="Z59" s="145" t="n"/>
    </row>
    <row r="60" ht="15.75" customHeight="1" s="311">
      <c r="A60" s="145" t="n"/>
      <c r="B60" s="145" t="n"/>
      <c r="C60" s="145" t="n"/>
      <c r="D60" s="145" t="n"/>
      <c r="E60" s="145" t="n"/>
      <c r="F60" s="145" t="n"/>
      <c r="G60" s="145" t="n"/>
      <c r="H60" s="145" t="n"/>
      <c r="I60" s="145" t="n"/>
      <c r="J60" s="59" t="n">
        <v>24</v>
      </c>
      <c r="K60" s="152">
        <f>$K59+1</f>
        <v/>
      </c>
      <c r="L60" s="42">
        <f>$P59</f>
        <v/>
      </c>
      <c r="M60" s="42">
        <f>SUMIFS(Facturas!$K$6:$K$205,Facturas!$H$6:$H$205,$K60)</f>
        <v/>
      </c>
      <c r="N60" s="42">
        <f>SUMIFS($D$36:$D$41,$B$36:$B$41,$K60)</f>
        <v/>
      </c>
      <c r="O60" s="42">
        <f>IFERROR(Disponibilidad!$G$42,0)</f>
        <v/>
      </c>
      <c r="P60" s="57">
        <f>$L60-$M60+$N60-$O60</f>
        <v/>
      </c>
      <c r="Q60" s="145" t="n"/>
      <c r="R60" s="145" t="n"/>
      <c r="S60" s="145" t="n"/>
      <c r="T60" s="145" t="n"/>
      <c r="U60" s="145" t="n"/>
      <c r="V60" s="145" t="n"/>
      <c r="W60" s="145" t="n"/>
      <c r="X60" s="145" t="n"/>
      <c r="Y60" s="145" t="n"/>
      <c r="Z60" s="145" t="n"/>
    </row>
    <row r="61" ht="15.75" customHeight="1" s="311">
      <c r="A61" s="145" t="n"/>
      <c r="B61" s="145" t="n"/>
      <c r="C61" s="145" t="n"/>
      <c r="D61" s="145" t="n"/>
      <c r="E61" s="145" t="n"/>
      <c r="F61" s="145" t="n"/>
      <c r="G61" s="145" t="n"/>
      <c r="H61" s="145" t="n"/>
      <c r="I61" s="145" t="n"/>
      <c r="J61" s="59" t="n">
        <v>25</v>
      </c>
      <c r="K61" s="152">
        <f>$K60+1</f>
        <v/>
      </c>
      <c r="L61" s="42">
        <f>$P60</f>
        <v/>
      </c>
      <c r="M61" s="42">
        <f>SUMIFS(Facturas!$K$6:$K$205,Facturas!$H$6:$H$205,$K61)</f>
        <v/>
      </c>
      <c r="N61" s="42">
        <f>SUMIFS($D$36:$D$41,$B$36:$B$41,$K61)</f>
        <v/>
      </c>
      <c r="O61" s="42">
        <f>IFERROR(Disponibilidad!$G$42,0)</f>
        <v/>
      </c>
      <c r="P61" s="57">
        <f>$L61-$M61+$N61-$O61</f>
        <v/>
      </c>
      <c r="Q61" s="145" t="n"/>
      <c r="R61" s="145" t="n"/>
      <c r="S61" s="145" t="n"/>
      <c r="T61" s="145" t="n"/>
      <c r="U61" s="145" t="n"/>
      <c r="V61" s="145" t="n"/>
      <c r="W61" s="145" t="n"/>
      <c r="X61" s="145" t="n"/>
      <c r="Y61" s="145" t="n"/>
      <c r="Z61" s="145" t="n"/>
    </row>
    <row r="62" ht="15.75" customHeight="1" s="311">
      <c r="A62" s="145" t="n"/>
      <c r="B62" s="145" t="n"/>
      <c r="C62" s="145" t="n"/>
      <c r="D62" s="145" t="n"/>
      <c r="E62" s="145" t="n"/>
      <c r="F62" s="145" t="n"/>
      <c r="G62" s="145" t="n"/>
      <c r="H62" s="145" t="n"/>
      <c r="I62" s="145" t="n"/>
      <c r="J62" s="59" t="n">
        <v>26</v>
      </c>
      <c r="K62" s="152">
        <f>$K61+1</f>
        <v/>
      </c>
      <c r="L62" s="42">
        <f>$P61</f>
        <v/>
      </c>
      <c r="M62" s="42">
        <f>SUMIFS(Facturas!$K$6:$K$205,Facturas!$H$6:$H$205,$K62)</f>
        <v/>
      </c>
      <c r="N62" s="42">
        <f>SUMIFS($D$36:$D$41,$B$36:$B$41,$K62)</f>
        <v/>
      </c>
      <c r="O62" s="42">
        <f>IFERROR(Disponibilidad!$G$42,0)</f>
        <v/>
      </c>
      <c r="P62" s="57">
        <f>$L62-$M62+$N62-$O62</f>
        <v/>
      </c>
      <c r="Q62" s="145" t="n"/>
      <c r="R62" s="145" t="n"/>
      <c r="S62" s="145" t="n"/>
      <c r="T62" s="145" t="n"/>
      <c r="U62" s="145" t="n"/>
      <c r="V62" s="145" t="n"/>
      <c r="W62" s="145" t="n"/>
      <c r="X62" s="145" t="n"/>
      <c r="Y62" s="145" t="n"/>
      <c r="Z62" s="145" t="n"/>
    </row>
    <row r="63" ht="15.75" customHeight="1" s="311">
      <c r="A63" s="145" t="n"/>
      <c r="B63" s="145" t="n"/>
      <c r="C63" s="145" t="n"/>
      <c r="D63" s="145" t="n"/>
      <c r="E63" s="145" t="n"/>
      <c r="F63" s="145" t="n"/>
      <c r="G63" s="145" t="n"/>
      <c r="H63" s="145" t="n"/>
      <c r="I63" s="145" t="n"/>
      <c r="J63" s="59" t="n">
        <v>27</v>
      </c>
      <c r="K63" s="152">
        <f>$K62+1</f>
        <v/>
      </c>
      <c r="L63" s="42">
        <f>$P62</f>
        <v/>
      </c>
      <c r="M63" s="42">
        <f>SUMIFS(Facturas!$K$6:$K$205,Facturas!$H$6:$H$205,$K63)</f>
        <v/>
      </c>
      <c r="N63" s="42">
        <f>SUMIFS($D$36:$D$41,$B$36:$B$41,$K63)</f>
        <v/>
      </c>
      <c r="O63" s="42">
        <f>IFERROR(Disponibilidad!$G$42,0)</f>
        <v/>
      </c>
      <c r="P63" s="57">
        <f>$L63-$M63+$N63-$O63</f>
        <v/>
      </c>
      <c r="Q63" s="145" t="n"/>
      <c r="R63" s="145" t="n"/>
      <c r="S63" s="145" t="n"/>
      <c r="T63" s="145" t="n"/>
      <c r="U63" s="145" t="n"/>
      <c r="V63" s="145" t="n"/>
      <c r="W63" s="145" t="n"/>
      <c r="X63" s="145" t="n"/>
      <c r="Y63" s="145" t="n"/>
      <c r="Z63" s="145" t="n"/>
    </row>
    <row r="64" ht="15.75" customHeight="1" s="311">
      <c r="A64" s="145" t="n"/>
      <c r="B64" s="145" t="n"/>
      <c r="C64" s="145" t="n"/>
      <c r="D64" s="145" t="n"/>
      <c r="E64" s="145" t="n"/>
      <c r="F64" s="145" t="n"/>
      <c r="G64" s="145" t="n"/>
      <c r="H64" s="145" t="n"/>
      <c r="I64" s="145" t="n"/>
      <c r="J64" s="59" t="n">
        <v>28</v>
      </c>
      <c r="K64" s="152">
        <f>$K63+1</f>
        <v/>
      </c>
      <c r="L64" s="42">
        <f>$P63</f>
        <v/>
      </c>
      <c r="M64" s="42">
        <f>SUMIFS(Facturas!$K$6:$K$205,Facturas!$H$6:$H$205,$K64)</f>
        <v/>
      </c>
      <c r="N64" s="42">
        <f>SUMIFS($D$36:$D$41,$B$36:$B$41,$K64)</f>
        <v/>
      </c>
      <c r="O64" s="42">
        <f>IFERROR(Disponibilidad!$G$42,0)</f>
        <v/>
      </c>
      <c r="P64" s="57">
        <f>$L64-$M64+$N64-$O64</f>
        <v/>
      </c>
      <c r="Q64" s="145" t="n"/>
      <c r="R64" s="145" t="n"/>
      <c r="S64" s="145" t="n"/>
      <c r="T64" s="145" t="n"/>
      <c r="U64" s="145" t="n"/>
      <c r="V64" s="145" t="n"/>
      <c r="W64" s="145" t="n"/>
      <c r="X64" s="145" t="n"/>
      <c r="Y64" s="145" t="n"/>
      <c r="Z64" s="145" t="n"/>
    </row>
    <row r="65" ht="15.75" customHeight="1" s="311">
      <c r="A65" s="145" t="n"/>
      <c r="B65" s="145" t="n"/>
      <c r="C65" s="145" t="n"/>
      <c r="D65" s="145" t="n"/>
      <c r="E65" s="145" t="n"/>
      <c r="F65" s="145" t="n"/>
      <c r="G65" s="145" t="n"/>
      <c r="H65" s="145" t="n"/>
      <c r="I65" s="145" t="n"/>
      <c r="J65" s="59" t="n">
        <v>29</v>
      </c>
      <c r="K65" s="152">
        <f>$K64+1</f>
        <v/>
      </c>
      <c r="L65" s="42">
        <f>$P64</f>
        <v/>
      </c>
      <c r="M65" s="42">
        <f>SUMIFS(Facturas!$K$6:$K$205,Facturas!$H$6:$H$205,$K65)</f>
        <v/>
      </c>
      <c r="N65" s="42">
        <f>SUMIFS($D$36:$D$41,$B$36:$B$41,$K65)</f>
        <v/>
      </c>
      <c r="O65" s="42">
        <f>IFERROR(Disponibilidad!$G$42,0)</f>
        <v/>
      </c>
      <c r="P65" s="57">
        <f>$L65-$M65+$N65-$O65</f>
        <v/>
      </c>
      <c r="Q65" s="145" t="n"/>
      <c r="R65" s="145" t="n"/>
      <c r="S65" s="145" t="n"/>
      <c r="T65" s="145" t="n"/>
      <c r="U65" s="145" t="n"/>
      <c r="V65" s="145" t="n"/>
      <c r="W65" s="145" t="n"/>
      <c r="X65" s="145" t="n"/>
      <c r="Y65" s="145" t="n"/>
      <c r="Z65" s="145" t="n"/>
    </row>
    <row r="66" ht="15.75" customHeight="1" s="311">
      <c r="A66" s="145" t="n"/>
      <c r="B66" s="145" t="n"/>
      <c r="C66" s="145" t="n"/>
      <c r="D66" s="145" t="n"/>
      <c r="E66" s="145" t="n"/>
      <c r="F66" s="145" t="n"/>
      <c r="G66" s="145" t="n"/>
      <c r="H66" s="145" t="n"/>
      <c r="I66" s="145" t="n"/>
      <c r="J66" s="145" t="n"/>
      <c r="K66" s="145" t="n"/>
      <c r="L66" s="145" t="n"/>
      <c r="M66" s="145" t="n"/>
      <c r="N66" s="145" t="n"/>
      <c r="O66" s="145" t="n"/>
      <c r="P66" s="145" t="n"/>
      <c r="Q66" s="145" t="n"/>
      <c r="R66" s="145" t="n"/>
      <c r="S66" s="145" t="n"/>
      <c r="T66" s="145" t="n"/>
      <c r="U66" s="145" t="n"/>
      <c r="V66" s="145" t="n"/>
      <c r="W66" s="145" t="n"/>
      <c r="X66" s="145" t="n"/>
      <c r="Y66" s="145" t="n"/>
      <c r="Z66" s="145" t="n"/>
    </row>
    <row r="67" ht="15.75" customHeight="1" s="311">
      <c r="A67" s="145" t="n"/>
      <c r="B67" s="145" t="n"/>
      <c r="C67" s="145" t="n"/>
      <c r="D67" s="145" t="n"/>
      <c r="E67" s="145" t="n"/>
      <c r="F67" s="145" t="n"/>
      <c r="G67" s="145" t="n"/>
      <c r="H67" s="145" t="n"/>
      <c r="I67" s="145" t="n"/>
      <c r="J67" s="38" t="inlineStr">
        <is>
          <t>Saldo mínimo del periodo</t>
        </is>
      </c>
      <c r="K67" s="39" t="n"/>
      <c r="L67" s="39" t="n"/>
      <c r="M67" s="39" t="n"/>
      <c r="N67" s="39" t="n"/>
      <c r="O67" s="39" t="n"/>
      <c r="P67" s="86">
        <f>MIN($P$36:$P$65)</f>
        <v/>
      </c>
      <c r="Q67" s="145" t="n"/>
      <c r="R67" s="145" t="n"/>
      <c r="S67" s="145" t="n"/>
      <c r="T67" s="145" t="n"/>
      <c r="U67" s="145" t="n"/>
      <c r="V67" s="145" t="n"/>
      <c r="W67" s="145" t="n"/>
      <c r="X67" s="145" t="n"/>
      <c r="Y67" s="145" t="n"/>
      <c r="Z67" s="145" t="n"/>
    </row>
    <row r="68" ht="15.75" customHeight="1" s="311">
      <c r="A68" s="145" t="n"/>
      <c r="B68" s="145" t="n"/>
      <c r="C68" s="145" t="n"/>
      <c r="D68" s="145" t="n"/>
      <c r="E68" s="145" t="n"/>
      <c r="F68" s="145" t="n"/>
      <c r="G68" s="145" t="n"/>
      <c r="H68" s="145" t="n"/>
      <c r="I68" s="145" t="n"/>
      <c r="J68" s="23" t="inlineStr">
        <is>
          <t>¿Llegas a descubierto?</t>
        </is>
      </c>
      <c r="K68" s="145" t="n"/>
      <c r="L68" s="145" t="n"/>
      <c r="M68" s="145" t="n"/>
      <c r="N68" s="145" t="n"/>
      <c r="O68" s="145" t="n"/>
      <c r="P68" s="62">
        <f>IF($P$67&lt;0,"🔴 Sí, en algún día del mes","✅ No")</f>
        <v/>
      </c>
      <c r="Q68" s="145" t="n"/>
      <c r="R68" s="145" t="n"/>
      <c r="S68" s="145" t="n"/>
      <c r="T68" s="145" t="n"/>
      <c r="U68" s="145" t="n"/>
      <c r="V68" s="145" t="n"/>
      <c r="W68" s="145" t="n"/>
      <c r="X68" s="145" t="n"/>
      <c r="Y68" s="145" t="n"/>
      <c r="Z68" s="145" t="n"/>
    </row>
    <row r="69" ht="15.75" customHeight="1" s="311">
      <c r="A69" s="145" t="n"/>
      <c r="B69" s="145" t="n"/>
      <c r="C69" s="145" t="n"/>
      <c r="D69" s="145" t="n"/>
      <c r="E69" s="145" t="n"/>
      <c r="F69" s="145" t="n"/>
      <c r="G69" s="145" t="n"/>
      <c r="H69" s="145" t="n"/>
      <c r="I69" s="145" t="n"/>
      <c r="J69" s="20" t="inlineStr">
        <is>
          <t>El "gasto corriente" diario sale de los gastos del hogar del escenario que elijas en el Panel, repartidos entre 30 días. Cambia el escenario y la proyección cambia.</t>
        </is>
      </c>
      <c r="O69" s="145" t="n"/>
      <c r="P69" s="145" t="n"/>
      <c r="Q69" s="145" t="n"/>
      <c r="R69" s="145" t="n"/>
      <c r="S69" s="145" t="n"/>
      <c r="T69" s="145" t="n"/>
      <c r="U69" s="145" t="n"/>
      <c r="V69" s="145" t="n"/>
      <c r="W69" s="145" t="n"/>
      <c r="X69" s="145" t="n"/>
      <c r="Y69" s="145" t="n"/>
      <c r="Z69" s="145" t="n"/>
    </row>
    <row r="70" ht="15.75" customHeight="1" s="311">
      <c r="A70" s="145" t="n"/>
      <c r="B70" s="145" t="n"/>
      <c r="C70" s="145" t="n"/>
      <c r="D70" s="145" t="n"/>
      <c r="E70" s="145" t="n"/>
      <c r="F70" s="145" t="n"/>
      <c r="G70" s="145" t="n"/>
      <c r="H70" s="145" t="n"/>
      <c r="I70" s="145" t="n"/>
      <c r="O70" s="145" t="n"/>
      <c r="P70" s="145" t="n"/>
      <c r="Q70" s="145" t="n"/>
      <c r="R70" s="145" t="n"/>
      <c r="S70" s="145" t="n"/>
      <c r="T70" s="145" t="n"/>
      <c r="U70" s="145" t="n"/>
      <c r="V70" s="145" t="n"/>
      <c r="W70" s="145" t="n"/>
      <c r="X70" s="145" t="n"/>
      <c r="Y70" s="145" t="n"/>
      <c r="Z70" s="145" t="n"/>
    </row>
    <row r="71" ht="15.75" customHeight="1" s="311">
      <c r="A71" s="145" t="n"/>
      <c r="B71" s="145" t="n"/>
      <c r="C71" s="145" t="n"/>
      <c r="D71" s="145" t="n"/>
      <c r="E71" s="145" t="n"/>
      <c r="F71" s="145" t="n"/>
      <c r="G71" s="145" t="n"/>
      <c r="H71" s="145" t="n"/>
      <c r="I71" s="145" t="n"/>
      <c r="O71" s="145" t="n"/>
      <c r="P71" s="145" t="n"/>
      <c r="Q71" s="145" t="n"/>
      <c r="R71" s="145" t="n"/>
      <c r="S71" s="145" t="n"/>
      <c r="T71" s="145" t="n"/>
      <c r="U71" s="145" t="n"/>
      <c r="V71" s="145" t="n"/>
      <c r="W71" s="145" t="n"/>
      <c r="X71" s="145" t="n"/>
      <c r="Y71" s="145" t="n"/>
      <c r="Z71" s="145" t="n"/>
    </row>
    <row r="72" ht="15.75" customHeight="1" s="311">
      <c r="A72" s="145" t="n"/>
      <c r="B72" s="145" t="n"/>
      <c r="C72" s="145" t="n"/>
      <c r="D72" s="145" t="n"/>
      <c r="E72" s="145" t="n"/>
      <c r="F72" s="145" t="n"/>
      <c r="G72" s="145" t="n"/>
      <c r="H72" s="145" t="n"/>
      <c r="I72" s="145" t="n"/>
      <c r="O72" s="145" t="n"/>
      <c r="P72" s="145" t="n"/>
      <c r="Q72" s="145" t="n"/>
      <c r="R72" s="145" t="n"/>
      <c r="S72" s="145" t="n"/>
      <c r="T72" s="145" t="n"/>
      <c r="U72" s="145" t="n"/>
      <c r="V72" s="145" t="n"/>
      <c r="W72" s="145" t="n"/>
      <c r="X72" s="145" t="n"/>
      <c r="Y72" s="145" t="n"/>
      <c r="Z72" s="145" t="n"/>
    </row>
    <row r="73" ht="15.75" customHeight="1" s="311">
      <c r="A73" s="145" t="n"/>
      <c r="B73" s="145" t="n"/>
      <c r="C73" s="145" t="n"/>
      <c r="D73" s="145" t="n"/>
      <c r="E73" s="145" t="n"/>
      <c r="F73" s="145" t="n"/>
      <c r="G73" s="145" t="n"/>
      <c r="H73" s="145" t="n"/>
      <c r="I73" s="145" t="n"/>
      <c r="J73" s="145" t="n"/>
      <c r="K73" s="145" t="n"/>
      <c r="L73" s="145" t="n"/>
      <c r="M73" s="145" t="n"/>
      <c r="N73" s="145" t="n"/>
      <c r="O73" s="145" t="n"/>
      <c r="P73" s="145" t="n"/>
      <c r="Q73" s="145" t="n"/>
      <c r="R73" s="145" t="n"/>
      <c r="S73" s="145" t="n"/>
      <c r="T73" s="145" t="n"/>
      <c r="U73" s="145" t="n"/>
      <c r="V73" s="145" t="n"/>
      <c r="W73" s="145" t="n"/>
      <c r="X73" s="145" t="n"/>
      <c r="Y73" s="145" t="n"/>
      <c r="Z73" s="145" t="n"/>
    </row>
    <row r="74" ht="15.75" customHeight="1" s="311">
      <c r="A74" s="145" t="n"/>
      <c r="B74" s="145" t="n"/>
      <c r="C74" s="145"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5" t="n"/>
      <c r="Y74" s="145" t="n"/>
      <c r="Z74" s="145" t="n"/>
    </row>
    <row r="75" ht="15.75" customHeight="1" s="311">
      <c r="A75" s="145" t="n"/>
      <c r="B75" s="145" t="n"/>
      <c r="C75" s="145"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5" t="n"/>
      <c r="Y75" s="145" t="n"/>
      <c r="Z75" s="145" t="n"/>
    </row>
    <row r="76" ht="15.75" customHeight="1" s="311">
      <c r="A76" s="145" t="n"/>
      <c r="B76" s="145" t="n"/>
      <c r="C76" s="145"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5" t="n"/>
      <c r="Y76" s="145" t="n"/>
      <c r="Z76" s="145" t="n"/>
    </row>
    <row r="77" ht="15.75" customHeight="1" s="311">
      <c r="A77" s="145" t="n"/>
      <c r="B77" s="145" t="n"/>
      <c r="C77" s="145" t="n"/>
      <c r="D77" s="145" t="n"/>
      <c r="E77" s="145" t="n"/>
      <c r="F77" s="145" t="n"/>
      <c r="G77" s="145" t="n"/>
      <c r="H77" s="145" t="n"/>
      <c r="I77" s="145" t="n"/>
      <c r="J77" s="145" t="n"/>
      <c r="K77" s="145" t="n"/>
      <c r="L77" s="145" t="n"/>
      <c r="M77" s="145" t="n"/>
      <c r="N77" s="145" t="n"/>
      <c r="O77" s="145" t="n"/>
      <c r="P77" s="145" t="n"/>
      <c r="Q77" s="145" t="n"/>
      <c r="R77" s="145" t="n"/>
      <c r="S77" s="145" t="n"/>
      <c r="T77" s="145" t="n"/>
      <c r="U77" s="145" t="n"/>
      <c r="V77" s="145" t="n"/>
      <c r="W77" s="145" t="n"/>
      <c r="X77" s="145" t="n"/>
      <c r="Y77" s="145" t="n"/>
      <c r="Z77" s="145" t="n"/>
    </row>
    <row r="78" ht="15.75" customHeight="1" s="311">
      <c r="A78" s="145" t="n"/>
      <c r="B78" s="145" t="n"/>
      <c r="C78" s="145" t="n"/>
      <c r="D78" s="145" t="n"/>
      <c r="E78" s="145" t="n"/>
      <c r="F78" s="145" t="n"/>
      <c r="G78" s="145" t="n"/>
      <c r="H78" s="145" t="n"/>
      <c r="I78" s="145" t="n"/>
      <c r="J78" s="145" t="n"/>
      <c r="K78" s="145" t="n"/>
      <c r="L78" s="145" t="n"/>
      <c r="M78" s="145" t="n"/>
      <c r="N78" s="145" t="n"/>
      <c r="O78" s="145" t="n"/>
      <c r="P78" s="145" t="n"/>
      <c r="Q78" s="145" t="n"/>
      <c r="R78" s="145" t="n"/>
      <c r="S78" s="145" t="n"/>
      <c r="T78" s="145" t="n"/>
      <c r="U78" s="145" t="n"/>
      <c r="V78" s="145" t="n"/>
      <c r="W78" s="145" t="n"/>
      <c r="X78" s="145" t="n"/>
      <c r="Y78" s="145" t="n"/>
      <c r="Z78" s="145" t="n"/>
    </row>
    <row r="79" ht="15.75" customHeight="1" s="311">
      <c r="A79" s="145" t="n"/>
      <c r="B79" s="145" t="n"/>
      <c r="C79" s="145" t="n"/>
      <c r="D79" s="145" t="n"/>
      <c r="E79" s="145" t="n"/>
      <c r="F79" s="145" t="n"/>
      <c r="G79" s="145" t="n"/>
      <c r="H79" s="145" t="n"/>
      <c r="I79" s="145" t="n"/>
      <c r="J79" s="145" t="n"/>
      <c r="K79" s="145" t="n"/>
      <c r="L79" s="145" t="n"/>
      <c r="M79" s="145" t="n"/>
      <c r="N79" s="145" t="n"/>
      <c r="O79" s="145" t="n"/>
      <c r="P79" s="145" t="n"/>
      <c r="Q79" s="145" t="n"/>
      <c r="R79" s="145" t="n"/>
      <c r="S79" s="145" t="n"/>
      <c r="T79" s="145" t="n"/>
      <c r="U79" s="145" t="n"/>
      <c r="V79" s="145" t="n"/>
      <c r="W79" s="145" t="n"/>
      <c r="X79" s="145" t="n"/>
      <c r="Y79" s="145" t="n"/>
      <c r="Z79" s="145" t="n"/>
    </row>
    <row r="80" ht="15.75" customHeight="1" s="311">
      <c r="A80" s="145" t="n"/>
      <c r="B80" s="145" t="n"/>
      <c r="C80" s="145" t="n"/>
      <c r="D80" s="145" t="n"/>
      <c r="E80" s="145" t="n"/>
      <c r="F80" s="145" t="n"/>
      <c r="G80" s="145" t="n"/>
      <c r="H80" s="145" t="n"/>
      <c r="I80" s="145" t="n"/>
      <c r="J80" s="145" t="n"/>
      <c r="K80" s="145" t="n"/>
      <c r="L80" s="145" t="n"/>
      <c r="M80" s="145" t="n"/>
      <c r="N80" s="145" t="n"/>
      <c r="O80" s="145" t="n"/>
      <c r="P80" s="145" t="n"/>
      <c r="Q80" s="145" t="n"/>
      <c r="R80" s="145" t="n"/>
      <c r="S80" s="145" t="n"/>
      <c r="T80" s="145" t="n"/>
      <c r="U80" s="145" t="n"/>
      <c r="V80" s="145" t="n"/>
      <c r="W80" s="145" t="n"/>
      <c r="X80" s="145" t="n"/>
      <c r="Y80" s="145" t="n"/>
      <c r="Z80" s="145" t="n"/>
    </row>
    <row r="81" ht="15.75" customHeight="1" s="311">
      <c r="A81" s="145" t="n"/>
      <c r="B81" s="145" t="n"/>
      <c r="C81" s="145"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5" t="n"/>
      <c r="Y81" s="145" t="n"/>
      <c r="Z81" s="145"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5" t="n"/>
      <c r="Y82" s="145" t="n"/>
      <c r="Z82" s="145"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5" t="n"/>
      <c r="Y83" s="145" t="n"/>
      <c r="Z83" s="145" t="n"/>
    </row>
    <row r="84" ht="15.75" customHeight="1" s="311">
      <c r="A84" s="145" t="n"/>
      <c r="B84" s="145" t="n"/>
      <c r="C84" s="145" t="n"/>
      <c r="D84" s="145" t="n"/>
      <c r="E84" s="145" t="n"/>
      <c r="F84" s="145" t="n"/>
      <c r="G84" s="145" t="n"/>
      <c r="H84" s="145" t="n"/>
      <c r="I84" s="145" t="n"/>
      <c r="J84" s="145" t="n"/>
      <c r="K84" s="145" t="n"/>
      <c r="L84" s="145" t="n"/>
      <c r="M84" s="145" t="n"/>
      <c r="N84" s="145" t="n"/>
      <c r="O84" s="145" t="n"/>
      <c r="P84" s="145" t="n"/>
      <c r="Q84" s="145" t="n"/>
      <c r="R84" s="145" t="n"/>
      <c r="S84" s="145" t="n"/>
      <c r="T84" s="145" t="n"/>
      <c r="U84" s="145" t="n"/>
      <c r="V84" s="145" t="n"/>
      <c r="W84" s="145" t="n"/>
      <c r="X84" s="145" t="n"/>
      <c r="Y84" s="145" t="n"/>
      <c r="Z84" s="145" t="n"/>
    </row>
    <row r="85" ht="15.75" customHeight="1" s="311">
      <c r="A85" s="145" t="n"/>
      <c r="B85" s="145" t="n"/>
      <c r="C85" s="145" t="n"/>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5" t="n"/>
      <c r="Y85" s="145" t="n"/>
      <c r="Z85" s="145" t="n"/>
    </row>
    <row r="86" ht="15.75" customHeight="1" s="311">
      <c r="A86" s="145" t="n"/>
      <c r="B86" s="145" t="n"/>
      <c r="C86" s="145" t="n"/>
      <c r="D86" s="145" t="n"/>
      <c r="E86" s="145" t="n"/>
      <c r="F86" s="145" t="n"/>
      <c r="G86" s="145" t="n"/>
      <c r="H86" s="145" t="n"/>
      <c r="I86" s="145" t="n"/>
      <c r="J86" s="145" t="n"/>
      <c r="K86" s="145" t="n"/>
      <c r="L86" s="145" t="n"/>
      <c r="M86" s="145" t="n"/>
      <c r="N86" s="145" t="n"/>
      <c r="O86" s="145" t="n"/>
      <c r="P86" s="145" t="n"/>
      <c r="Q86" s="145" t="n"/>
      <c r="R86" s="145" t="n"/>
      <c r="S86" s="145" t="n"/>
      <c r="T86" s="145" t="n"/>
      <c r="U86" s="145" t="n"/>
      <c r="V86" s="145" t="n"/>
      <c r="W86" s="145" t="n"/>
      <c r="X86" s="145" t="n"/>
      <c r="Y86" s="145" t="n"/>
      <c r="Z86" s="145" t="n"/>
    </row>
    <row r="87" ht="15.75" customHeight="1" s="311">
      <c r="A87" s="145" t="n"/>
      <c r="B87" s="145" t="n"/>
      <c r="C87" s="145" t="n"/>
      <c r="D87" s="145" t="n"/>
      <c r="E87" s="145" t="n"/>
      <c r="F87" s="145" t="n"/>
      <c r="G87" s="145" t="n"/>
      <c r="H87" s="145" t="n"/>
      <c r="I87" s="145" t="n"/>
      <c r="J87" s="145" t="n"/>
      <c r="K87" s="145" t="n"/>
      <c r="L87" s="145" t="n"/>
      <c r="M87" s="145" t="n"/>
      <c r="N87" s="145" t="n"/>
      <c r="O87" s="145" t="n"/>
      <c r="P87" s="145" t="n"/>
      <c r="Q87" s="145" t="n"/>
      <c r="R87" s="145" t="n"/>
      <c r="S87" s="145" t="n"/>
      <c r="T87" s="145" t="n"/>
      <c r="U87" s="145" t="n"/>
      <c r="V87" s="145" t="n"/>
      <c r="W87" s="145" t="n"/>
      <c r="X87" s="145" t="n"/>
      <c r="Y87" s="145" t="n"/>
      <c r="Z87" s="145" t="n"/>
    </row>
    <row r="88" ht="15.75" customHeight="1" s="311">
      <c r="A88" s="145" t="n"/>
      <c r="B88" s="145" t="n"/>
      <c r="C88" s="145" t="n"/>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5" t="n"/>
      <c r="Y88" s="145" t="n"/>
      <c r="Z88" s="145" t="n"/>
    </row>
    <row r="89" ht="15.75" customHeight="1" s="311">
      <c r="A89" s="145" t="n"/>
      <c r="B89" s="145" t="n"/>
      <c r="C89" s="145" t="n"/>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5" t="n"/>
      <c r="Y89" s="145" t="n"/>
      <c r="Z89" s="145" t="n"/>
    </row>
    <row r="90" ht="15.75" customHeight="1" s="311">
      <c r="A90" s="145" t="n"/>
      <c r="B90" s="145" t="n"/>
      <c r="C90" s="145" t="n"/>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5" t="n"/>
      <c r="Y90" s="145" t="n"/>
      <c r="Z90" s="145" t="n"/>
    </row>
    <row r="91" ht="15.75" customHeight="1" s="311">
      <c r="A91" s="145" t="n"/>
      <c r="B91" s="145" t="n"/>
      <c r="C91" s="145" t="n"/>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5" t="n"/>
      <c r="Y91" s="145" t="n"/>
      <c r="Z91" s="145" t="n"/>
    </row>
    <row r="92" ht="15.75" customHeight="1" s="311">
      <c r="A92" s="145" t="n"/>
      <c r="B92" s="145" t="n"/>
      <c r="C92" s="145"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5" t="n"/>
      <c r="Y92" s="145" t="n"/>
      <c r="Z92" s="145" t="n"/>
    </row>
    <row r="93" ht="15.75" customHeight="1" s="311">
      <c r="A93" s="145" t="n"/>
      <c r="B93" s="145" t="n"/>
      <c r="C93" s="145"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5" t="n"/>
      <c r="Y93" s="145" t="n"/>
      <c r="Z93" s="145" t="n"/>
    </row>
    <row r="94" ht="15.75" customHeight="1" s="311">
      <c r="A94" s="145" t="n"/>
      <c r="B94" s="145" t="n"/>
      <c r="C94" s="145"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5" t="n"/>
      <c r="Y94" s="145" t="n"/>
      <c r="Z94" s="145" t="n"/>
    </row>
    <row r="95" ht="15.75" customHeight="1" s="311">
      <c r="A95" s="145" t="n"/>
      <c r="B95" s="145" t="n"/>
      <c r="C95" s="145"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5" t="n"/>
      <c r="Y95" s="145" t="n"/>
      <c r="Z95" s="145" t="n"/>
    </row>
    <row r="96" ht="15.75" customHeight="1" s="311">
      <c r="A96" s="145" t="n"/>
      <c r="B96" s="145" t="n"/>
      <c r="C96" s="145"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5" t="n"/>
      <c r="Y96" s="145" t="n"/>
      <c r="Z96" s="145" t="n"/>
    </row>
    <row r="97" ht="15.75" customHeight="1" s="311">
      <c r="A97" s="145" t="n"/>
      <c r="B97" s="145" t="n"/>
      <c r="C97" s="145"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5" t="n"/>
      <c r="Y97" s="145" t="n"/>
      <c r="Z97" s="145" t="n"/>
    </row>
    <row r="98" ht="15.75" customHeight="1" s="311">
      <c r="A98" s="145" t="n"/>
      <c r="B98" s="145" t="n"/>
      <c r="C98" s="145"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5" t="n"/>
      <c r="Y98" s="145" t="n"/>
      <c r="Z98" s="145" t="n"/>
    </row>
    <row r="99" ht="15.75" customHeight="1" s="311">
      <c r="A99" s="145" t="n"/>
      <c r="B99" s="145" t="n"/>
      <c r="C99" s="145"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5" t="n"/>
      <c r="Y99" s="145" t="n"/>
      <c r="Z99" s="145" t="n"/>
    </row>
    <row r="100" ht="15.75" customHeight="1" s="311">
      <c r="A100" s="145" t="n"/>
      <c r="B100" s="145" t="n"/>
      <c r="C100" s="145" t="n"/>
      <c r="D100" s="145" t="n"/>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5" t="n"/>
      <c r="Y100" s="145" t="n"/>
      <c r="Z100" s="145" t="n"/>
    </row>
    <row r="101" ht="15.75" customHeight="1" s="311">
      <c r="A101" s="145" t="n"/>
      <c r="B101" s="145" t="n"/>
      <c r="C101" s="145" t="n"/>
      <c r="D101" s="145" t="n"/>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5" t="n"/>
      <c r="Y101" s="145" t="n"/>
      <c r="Z101" s="145" t="n"/>
    </row>
    <row r="102" ht="15.75" customHeight="1" s="311">
      <c r="A102" s="145" t="n"/>
      <c r="B102" s="145" t="n"/>
      <c r="C102" s="145" t="n"/>
      <c r="D102" s="145" t="n"/>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5" t="n"/>
      <c r="Y102" s="145" t="n"/>
      <c r="Z102" s="145" t="n"/>
    </row>
    <row r="103" ht="15.75" customHeight="1" s="311">
      <c r="A103" s="145" t="n"/>
      <c r="B103" s="145" t="n"/>
      <c r="C103" s="145" t="n"/>
      <c r="D103" s="145" t="n"/>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5" t="n"/>
      <c r="Y103" s="145" t="n"/>
      <c r="Z103" s="145" t="n"/>
    </row>
    <row r="104" ht="15.75" customHeight="1" s="311">
      <c r="A104" s="145" t="n"/>
      <c r="B104" s="145" t="n"/>
      <c r="C104" s="145" t="n"/>
      <c r="D104" s="145" t="n"/>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5" t="n"/>
      <c r="Y104" s="145" t="n"/>
      <c r="Z104" s="145" t="n"/>
    </row>
    <row r="105" ht="15.75" customHeight="1" s="311">
      <c r="A105" s="145" t="n"/>
      <c r="B105" s="145" t="n"/>
      <c r="C105" s="145" t="n"/>
      <c r="D105" s="145" t="n"/>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5" t="n"/>
      <c r="Y105" s="145" t="n"/>
      <c r="Z105" s="145" t="n"/>
    </row>
    <row r="106" ht="15.75" customHeight="1" s="311">
      <c r="A106" s="145" t="n"/>
      <c r="B106" s="145" t="n"/>
      <c r="C106" s="145"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5" t="n"/>
      <c r="Y106" s="145" t="n"/>
      <c r="Z106" s="145" t="n"/>
    </row>
    <row r="107" ht="15.75" customHeight="1" s="311">
      <c r="A107" s="145" t="n"/>
      <c r="B107" s="145" t="n"/>
      <c r="C107" s="145"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5" t="n"/>
      <c r="Y107" s="145" t="n"/>
      <c r="Z107" s="145" t="n"/>
    </row>
    <row r="108" ht="15.75" customHeight="1" s="311">
      <c r="A108" s="145" t="n"/>
      <c r="B108" s="145" t="n"/>
      <c r="C108" s="145" t="n"/>
      <c r="D108" s="145" t="n"/>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5" t="n"/>
      <c r="Y108" s="145" t="n"/>
      <c r="Z108" s="145" t="n"/>
    </row>
    <row r="109" ht="15.75" customHeight="1" s="311">
      <c r="A109" s="145" t="n"/>
      <c r="B109" s="145" t="n"/>
      <c r="C109" s="145" t="n"/>
      <c r="D109" s="145" t="n"/>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5" t="n"/>
      <c r="Y109" s="145" t="n"/>
      <c r="Z109" s="145" t="n"/>
    </row>
    <row r="110" ht="15.75" customHeight="1" s="311">
      <c r="A110" s="145" t="n"/>
      <c r="B110" s="145" t="n"/>
      <c r="C110" s="145" t="n"/>
      <c r="D110" s="145" t="n"/>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5" t="n"/>
      <c r="Y110" s="145" t="n"/>
      <c r="Z110" s="145" t="n"/>
    </row>
    <row r="111" ht="15.75" customHeight="1" s="311">
      <c r="A111" s="145" t="n"/>
      <c r="B111" s="145" t="n"/>
      <c r="C111" s="145" t="n"/>
      <c r="D111" s="145" t="n"/>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5" t="n"/>
      <c r="Y111" s="145" t="n"/>
      <c r="Z111" s="145" t="n"/>
    </row>
    <row r="112" ht="15.75" customHeight="1" s="311">
      <c r="A112" s="145" t="n"/>
      <c r="B112" s="145" t="n"/>
      <c r="C112" s="145" t="n"/>
      <c r="D112" s="145" t="n"/>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5" t="n"/>
      <c r="Y112" s="145" t="n"/>
      <c r="Z112" s="145" t="n"/>
    </row>
    <row r="113" ht="15.75" customHeight="1" s="311">
      <c r="A113" s="145" t="n"/>
      <c r="B113" s="145" t="n"/>
      <c r="C113" s="145" t="n"/>
      <c r="D113" s="145" t="n"/>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5" t="n"/>
      <c r="Y113" s="145" t="n"/>
      <c r="Z113" s="145" t="n"/>
    </row>
    <row r="114" ht="15.75" customHeight="1" s="311">
      <c r="A114" s="145" t="n"/>
      <c r="B114" s="145" t="n"/>
      <c r="C114" s="145" t="n"/>
      <c r="D114" s="145" t="n"/>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5" t="n"/>
      <c r="Y114" s="145" t="n"/>
      <c r="Z114" s="145" t="n"/>
    </row>
    <row r="115" ht="15.75" customHeight="1" s="311">
      <c r="A115" s="145" t="n"/>
      <c r="B115" s="145" t="n"/>
      <c r="C115" s="145" t="n"/>
      <c r="D115" s="145" t="n"/>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5" t="n"/>
      <c r="Y115" s="145" t="n"/>
      <c r="Z115" s="145" t="n"/>
    </row>
    <row r="116" ht="15.75" customHeight="1" s="311">
      <c r="A116" s="145" t="n"/>
      <c r="B116" s="145" t="n"/>
      <c r="C116" s="145"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5" t="n"/>
      <c r="Y116" s="145" t="n"/>
      <c r="Z116" s="145" t="n"/>
    </row>
    <row r="117" ht="15.75" customHeight="1" s="311">
      <c r="A117" s="145" t="n"/>
      <c r="B117" s="145" t="n"/>
      <c r="C117" s="145"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5" t="n"/>
      <c r="Y117" s="145" t="n"/>
      <c r="Z117" s="145" t="n"/>
    </row>
    <row r="118" ht="15.75" customHeight="1" s="311">
      <c r="A118" s="145" t="n"/>
      <c r="B118" s="145" t="n"/>
      <c r="C118" s="145"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5" t="n"/>
      <c r="Y118" s="145" t="n"/>
      <c r="Z118" s="145" t="n"/>
    </row>
    <row r="119" ht="15.75" customHeight="1" s="311">
      <c r="A119" s="145" t="n"/>
      <c r="B119" s="145" t="n"/>
      <c r="C119" s="145"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5" t="n"/>
      <c r="Y119" s="145" t="n"/>
      <c r="Z119" s="145" t="n"/>
    </row>
    <row r="120" ht="15.75" customHeight="1" s="311">
      <c r="A120" s="145" t="n"/>
      <c r="B120" s="145" t="n"/>
      <c r="C120" s="145"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5" t="n"/>
      <c r="Y120" s="145" t="n"/>
      <c r="Z120" s="145" t="n"/>
    </row>
    <row r="121" ht="15.75" customHeight="1" s="311">
      <c r="A121" s="145" t="n"/>
      <c r="B121" s="145" t="n"/>
      <c r="C121" s="145"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5" t="n"/>
      <c r="Y121" s="145" t="n"/>
      <c r="Z121" s="145" t="n"/>
    </row>
    <row r="122" ht="15.75" customHeight="1" s="311">
      <c r="A122" s="145" t="n"/>
      <c r="B122" s="145" t="n"/>
      <c r="C122" s="145"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5" t="n"/>
      <c r="Y122" s="145" t="n"/>
      <c r="Z122" s="145" t="n"/>
    </row>
    <row r="123" ht="15.75" customHeight="1" s="311">
      <c r="A123" s="145" t="n"/>
      <c r="B123" s="145" t="n"/>
      <c r="C123" s="145"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5" t="n"/>
      <c r="Y123" s="145" t="n"/>
      <c r="Z123" s="145" t="n"/>
    </row>
    <row r="124" ht="15.75" customHeight="1" s="311">
      <c r="A124" s="145" t="n"/>
      <c r="B124" s="145" t="n"/>
      <c r="C124" s="145"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5" t="n"/>
      <c r="Y124" s="145" t="n"/>
      <c r="Z124" s="145" t="n"/>
    </row>
    <row r="125" ht="15.75" customHeight="1" s="311">
      <c r="A125" s="145" t="n"/>
      <c r="B125" s="145" t="n"/>
      <c r="C125" s="145"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5" t="n"/>
      <c r="Y125" s="145" t="n"/>
      <c r="Z125" s="145" t="n"/>
    </row>
    <row r="126" ht="15.75" customHeight="1" s="311">
      <c r="A126" s="145" t="n"/>
      <c r="B126" s="145" t="n"/>
      <c r="C126" s="145"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5" t="n"/>
      <c r="Y126" s="145" t="n"/>
      <c r="Z126" s="145" t="n"/>
    </row>
    <row r="127" ht="15.75" customHeight="1" s="311">
      <c r="A127" s="145" t="n"/>
      <c r="B127" s="145" t="n"/>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45" t="n"/>
      <c r="Z127" s="145"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45" t="n"/>
      <c r="Z128" s="145" t="n"/>
    </row>
    <row r="129" ht="15.75" customHeight="1" s="311">
      <c r="A129" s="145" t="n"/>
      <c r="B129" s="145" t="n"/>
      <c r="C129" s="145"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5" t="n"/>
      <c r="Y129" s="145" t="n"/>
      <c r="Z129" s="145" t="n"/>
    </row>
    <row r="130" ht="15.75" customHeight="1" s="311">
      <c r="A130" s="145" t="n"/>
      <c r="B130" s="145" t="n"/>
      <c r="C130" s="145"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5" t="n"/>
      <c r="Y130" s="145" t="n"/>
      <c r="Z130" s="145" t="n"/>
    </row>
    <row r="131" ht="15.75" customHeight="1" s="311">
      <c r="A131" s="145" t="n"/>
      <c r="B131" s="145" t="n"/>
      <c r="C131" s="145"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5" t="n"/>
      <c r="Y131" s="145" t="n"/>
      <c r="Z131" s="145" t="n"/>
    </row>
    <row r="132" ht="15.75" customHeight="1" s="311">
      <c r="A132" s="145" t="n"/>
      <c r="B132" s="145" t="n"/>
      <c r="C132" s="145"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5" t="n"/>
      <c r="Y132" s="145" t="n"/>
      <c r="Z132" s="145" t="n"/>
    </row>
    <row r="133" ht="15.75" customHeight="1" s="311">
      <c r="A133" s="145" t="n"/>
      <c r="B133" s="145" t="n"/>
      <c r="C133" s="145"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5" t="n"/>
      <c r="Y133" s="145" t="n"/>
      <c r="Z133" s="145" t="n"/>
    </row>
    <row r="134" ht="15.75" customHeight="1" s="311">
      <c r="A134" s="145" t="n"/>
      <c r="B134" s="145" t="n"/>
      <c r="C134" s="145"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5" t="n"/>
      <c r="Y134" s="145" t="n"/>
      <c r="Z134" s="145" t="n"/>
    </row>
    <row r="135" ht="15.75" customHeight="1" s="311">
      <c r="A135" s="145" t="n"/>
      <c r="B135" s="145" t="n"/>
      <c r="C135" s="145"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5" t="n"/>
      <c r="Y135" s="145" t="n"/>
      <c r="Z135" s="145" t="n"/>
    </row>
    <row r="136" ht="15.75" customHeight="1" s="311">
      <c r="A136" s="145" t="n"/>
      <c r="B136" s="145" t="n"/>
      <c r="C136" s="145"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5" t="n"/>
      <c r="Y136" s="145" t="n"/>
      <c r="Z136" s="145" t="n"/>
    </row>
    <row r="137" ht="15.75" customHeight="1" s="311">
      <c r="A137" s="145" t="n"/>
      <c r="B137" s="145" t="n"/>
      <c r="C137" s="145"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5" t="n"/>
      <c r="Y137" s="145" t="n"/>
      <c r="Z137" s="145"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5" t="n"/>
      <c r="Y138" s="145" t="n"/>
      <c r="Z138" s="145" t="n"/>
    </row>
    <row r="139" ht="15.75" customHeight="1" s="311">
      <c r="A139" s="145" t="n"/>
      <c r="B139" s="145" t="n"/>
      <c r="C139" s="145"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5" t="n"/>
      <c r="Y139" s="145" t="n"/>
      <c r="Z139" s="145" t="n"/>
    </row>
    <row r="140" ht="15.75" customHeight="1" s="311">
      <c r="A140" s="145" t="n"/>
      <c r="B140" s="145" t="n"/>
      <c r="C140" s="145"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5" t="n"/>
      <c r="Y140" s="145" t="n"/>
      <c r="Z140" s="145" t="n"/>
    </row>
    <row r="141" ht="15.75" customHeight="1" s="311">
      <c r="A141" s="145" t="n"/>
      <c r="B141" s="145" t="n"/>
      <c r="C141" s="145"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5" t="n"/>
      <c r="Y141" s="145" t="n"/>
      <c r="Z141" s="145" t="n"/>
    </row>
    <row r="142" ht="15.75" customHeight="1" s="311">
      <c r="A142" s="145" t="n"/>
      <c r="B142" s="145" t="n"/>
      <c r="C142" s="145"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5" t="n"/>
      <c r="Y142" s="145" t="n"/>
      <c r="Z142" s="145" t="n"/>
    </row>
    <row r="143" ht="15.75" customHeight="1" s="311">
      <c r="A143" s="145" t="n"/>
      <c r="B143" s="145" t="n"/>
      <c r="C143" s="145"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5" t="n"/>
      <c r="Y143" s="145" t="n"/>
      <c r="Z143" s="145" t="n"/>
    </row>
    <row r="144" ht="15.75" customHeight="1" s="311">
      <c r="A144" s="145" t="n"/>
      <c r="B144" s="145" t="n"/>
      <c r="C144" s="145"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5" t="n"/>
      <c r="Y144" s="145" t="n"/>
      <c r="Z144" s="145" t="n"/>
    </row>
    <row r="145" ht="15.75" customHeight="1" s="311">
      <c r="A145" s="145" t="n"/>
      <c r="B145" s="145" t="n"/>
      <c r="C145" s="145"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5" t="n"/>
      <c r="Y145" s="145" t="n"/>
      <c r="Z145" s="145" t="n"/>
    </row>
    <row r="146" ht="15.75" customHeight="1" s="311">
      <c r="A146" s="145" t="n"/>
      <c r="B146" s="145" t="n"/>
      <c r="C146" s="145"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5" t="n"/>
      <c r="Y146" s="145" t="n"/>
      <c r="Z146" s="145"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5" t="n"/>
      <c r="Y147" s="145" t="n"/>
      <c r="Z147" s="145"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45" t="n"/>
      <c r="Z148" s="145" t="n"/>
    </row>
    <row r="149" ht="15.75" customHeight="1" s="311">
      <c r="A149" s="145" t="n"/>
      <c r="B149" s="145" t="n"/>
      <c r="C149" s="145"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5" t="n"/>
      <c r="Y149" s="145" t="n"/>
      <c r="Z149" s="145" t="n"/>
    </row>
    <row r="150" ht="15.75" customHeight="1" s="311">
      <c r="A150" s="145" t="n"/>
      <c r="B150" s="145" t="n"/>
      <c r="C150" s="145"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5" t="n"/>
      <c r="Y150" s="145" t="n"/>
      <c r="Z150" s="145" t="n"/>
    </row>
    <row r="151" ht="15.75" customHeight="1" s="311">
      <c r="A151" s="145" t="n"/>
      <c r="B151" s="145" t="n"/>
      <c r="C151" s="145"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45" t="n"/>
      <c r="Z151" s="145" t="n"/>
    </row>
    <row r="152" ht="15.75" customHeight="1" s="311">
      <c r="A152" s="145" t="n"/>
      <c r="B152" s="145" t="n"/>
      <c r="C152" s="145"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5" t="n"/>
      <c r="Y152" s="145" t="n"/>
      <c r="Z152" s="145" t="n"/>
    </row>
    <row r="153" ht="15.75" customHeight="1" s="311">
      <c r="A153" s="145" t="n"/>
      <c r="B153" s="145" t="n"/>
      <c r="C153" s="145"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5" t="n"/>
      <c r="Y153" s="145" t="n"/>
      <c r="Z153" s="145" t="n"/>
    </row>
    <row r="154" ht="15.75" customHeight="1" s="311">
      <c r="A154" s="145" t="n"/>
      <c r="B154" s="145" t="n"/>
      <c r="C154" s="145"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5" t="n"/>
      <c r="Y154" s="145" t="n"/>
      <c r="Z154" s="145" t="n"/>
    </row>
    <row r="155" ht="15.75" customHeight="1" s="311">
      <c r="A155" s="145" t="n"/>
      <c r="B155" s="145" t="n"/>
      <c r="C155" s="145"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5" t="n"/>
      <c r="Y155" s="145" t="n"/>
      <c r="Z155" s="145"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5" t="n"/>
      <c r="Y156" s="145" t="n"/>
      <c r="Z156" s="145" t="n"/>
    </row>
    <row r="157" ht="15.75" customHeight="1" s="311">
      <c r="A157" s="145" t="n"/>
      <c r="B157" s="145" t="n"/>
      <c r="C157" s="145"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5" t="n"/>
      <c r="Y157" s="145" t="n"/>
      <c r="Z157" s="145" t="n"/>
    </row>
    <row r="158" ht="15.75" customHeight="1" s="311">
      <c r="A158" s="145" t="n"/>
      <c r="B158" s="145" t="n"/>
      <c r="C158" s="145"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5" t="n"/>
      <c r="Y158" s="145" t="n"/>
      <c r="Z158" s="145" t="n"/>
    </row>
    <row r="159" ht="15.75" customHeight="1" s="311">
      <c r="A159" s="145" t="n"/>
      <c r="B159" s="145" t="n"/>
      <c r="C159" s="145"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5" t="n"/>
      <c r="Y159" s="145" t="n"/>
      <c r="Z159" s="145" t="n"/>
    </row>
    <row r="160" ht="15.75" customHeight="1" s="311">
      <c r="A160" s="145" t="n"/>
      <c r="B160" s="145" t="n"/>
      <c r="C160" s="145"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45" t="n"/>
      <c r="Z160" s="145" t="n"/>
    </row>
    <row r="161" ht="15.75" customHeight="1" s="311">
      <c r="A161" s="145" t="n"/>
      <c r="B161" s="145" t="n"/>
      <c r="C161" s="145"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5" t="n"/>
      <c r="Y161" s="145" t="n"/>
      <c r="Z161" s="145"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5" t="n"/>
      <c r="Y162" s="145" t="n"/>
      <c r="Z162" s="145" t="n"/>
    </row>
    <row r="163" ht="15.75" customHeight="1" s="311">
      <c r="A163" s="145" t="n"/>
      <c r="B163" s="145" t="n"/>
      <c r="C163" s="145"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5" t="n"/>
      <c r="Y163" s="145" t="n"/>
      <c r="Z163" s="145" t="n"/>
    </row>
    <row r="164" ht="15.75" customHeight="1" s="311">
      <c r="A164" s="145" t="n"/>
      <c r="B164" s="145" t="n"/>
      <c r="C164" s="145"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5" t="n"/>
      <c r="Y164" s="145" t="n"/>
      <c r="Z164" s="145" t="n"/>
    </row>
    <row r="165" ht="15.75" customHeight="1" s="311">
      <c r="A165" s="145" t="n"/>
      <c r="B165" s="145" t="n"/>
      <c r="C165" s="145"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5" t="n"/>
      <c r="Y165" s="145" t="n"/>
      <c r="Z165" s="145" t="n"/>
    </row>
    <row r="166" ht="15.75" customHeight="1" s="311">
      <c r="A166" s="145" t="n"/>
      <c r="B166" s="145" t="n"/>
      <c r="C166" s="145"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5" t="n"/>
      <c r="Y166" s="145" t="n"/>
      <c r="Z166" s="145" t="n"/>
    </row>
    <row r="167" ht="15.75" customHeight="1" s="311">
      <c r="A167" s="145" t="n"/>
      <c r="B167" s="145" t="n"/>
      <c r="C167" s="145"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5" t="n"/>
      <c r="Y167" s="145" t="n"/>
      <c r="Z167" s="145" t="n"/>
    </row>
    <row r="168" ht="15.75" customHeight="1" s="311">
      <c r="A168" s="145" t="n"/>
      <c r="B168" s="145" t="n"/>
      <c r="C168" s="145"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5" t="n"/>
      <c r="Y168" s="145" t="n"/>
      <c r="Z168" s="145"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5" t="n"/>
      <c r="Y169" s="145" t="n"/>
      <c r="Z169" s="145" t="n"/>
    </row>
    <row r="170" ht="15.75" customHeight="1" s="311">
      <c r="A170" s="145" t="n"/>
      <c r="B170" s="145" t="n"/>
      <c r="C170" s="145"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5" t="n"/>
      <c r="Y170" s="145" t="n"/>
      <c r="Z170" s="145"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5" t="n"/>
      <c r="Y171" s="145" t="n"/>
      <c r="Z171" s="145"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5" t="n"/>
      <c r="Y172" s="145" t="n"/>
      <c r="Z172" s="145"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5" t="n"/>
      <c r="Y173" s="145" t="n"/>
      <c r="Z173" s="145"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5" t="n"/>
      <c r="Y174" s="145" t="n"/>
      <c r="Z174" s="145"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5" t="n"/>
      <c r="Y175" s="145" t="n"/>
      <c r="Z175" s="145"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5" t="n"/>
      <c r="Y176" s="145" t="n"/>
      <c r="Z176" s="145"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5" t="n"/>
      <c r="Y177" s="145" t="n"/>
      <c r="Z177" s="145"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5" t="n"/>
      <c r="Y178" s="145" t="n"/>
      <c r="Z178" s="145"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5" t="n"/>
      <c r="Y179" s="145" t="n"/>
      <c r="Z179" s="145"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5" t="n"/>
      <c r="Y180" s="145" t="n"/>
      <c r="Z180" s="145"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5" t="n"/>
      <c r="Y181" s="145" t="n"/>
      <c r="Z181" s="145"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5" t="n"/>
      <c r="Y182" s="145" t="n"/>
      <c r="Z182" s="145"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5" t="n"/>
      <c r="Y183" s="145" t="n"/>
      <c r="Z183" s="145"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5" t="n"/>
      <c r="Y184" s="145" t="n"/>
      <c r="Z184" s="145"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5" t="n"/>
      <c r="Y185" s="145" t="n"/>
      <c r="Z185" s="145"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5" t="n"/>
      <c r="Y186" s="145" t="n"/>
      <c r="Z186" s="145"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5" t="n"/>
      <c r="Y187" s="145" t="n"/>
      <c r="Z187" s="145"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5" t="n"/>
      <c r="Y188" s="145" t="n"/>
      <c r="Z188" s="145"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5" t="n"/>
      <c r="Y189" s="145" t="n"/>
      <c r="Z189" s="145"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5" t="n"/>
      <c r="Y190" s="145" t="n"/>
      <c r="Z190" s="145"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5" t="n"/>
      <c r="Y191" s="145" t="n"/>
      <c r="Z191" s="145"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5" t="n"/>
      <c r="Y192" s="145" t="n"/>
      <c r="Z192" s="145"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5" t="n"/>
      <c r="Y193" s="145" t="n"/>
      <c r="Z193" s="145"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5" t="n"/>
      <c r="Y194" s="145" t="n"/>
      <c r="Z194" s="145"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5" t="n"/>
      <c r="Y195" s="145" t="n"/>
      <c r="Z195" s="145"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5" t="n"/>
      <c r="Y196" s="145" t="n"/>
      <c r="Z196" s="145"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5" t="n"/>
      <c r="Y197" s="145" t="n"/>
      <c r="Z197" s="145"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5" t="n"/>
      <c r="Y198" s="145" t="n"/>
      <c r="Z198" s="145"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5" t="n"/>
      <c r="Y199" s="145" t="n"/>
      <c r="Z199" s="145"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5" t="n"/>
      <c r="Y200" s="145" t="n"/>
      <c r="Z200" s="145"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5" t="n"/>
      <c r="Y201" s="145" t="n"/>
      <c r="Z201" s="145"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5" t="n"/>
      <c r="Y202" s="145" t="n"/>
      <c r="Z202" s="145"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5" t="n"/>
      <c r="Y203" s="145" t="n"/>
      <c r="Z203" s="145"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5" t="n"/>
      <c r="Y204" s="145" t="n"/>
      <c r="Z204" s="145"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5" t="n"/>
      <c r="Y205" s="145" t="n"/>
      <c r="Z205" s="145"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5" t="n"/>
      <c r="Y206" s="145" t="n"/>
      <c r="Z206" s="145"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5" t="n"/>
      <c r="Y207" s="145" t="n"/>
      <c r="Z207" s="145"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5" t="n"/>
      <c r="Y208" s="145" t="n"/>
      <c r="Z208" s="145"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5" t="n"/>
      <c r="Y209" s="145" t="n"/>
      <c r="Z209" s="145"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5" t="n"/>
      <c r="Y210" s="145" t="n"/>
      <c r="Z210" s="145"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5" t="n"/>
      <c r="Y211" s="145" t="n"/>
      <c r="Z211" s="145"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5" t="n"/>
      <c r="Y212" s="145" t="n"/>
      <c r="Z212" s="145"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5" t="n"/>
      <c r="Y213" s="145" t="n"/>
      <c r="Z213" s="145"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5" t="n"/>
      <c r="Y214" s="145" t="n"/>
      <c r="Z214" s="145"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5" t="n"/>
      <c r="Y215" s="145" t="n"/>
      <c r="Z215" s="145"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5" t="n"/>
      <c r="Y216" s="145" t="n"/>
      <c r="Z216" s="145"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5" t="n"/>
      <c r="Y217" s="145" t="n"/>
      <c r="Z217" s="145"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5" t="n"/>
      <c r="Y218" s="145" t="n"/>
      <c r="Z218" s="145"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5" t="n"/>
      <c r="Y219" s="145" t="n"/>
      <c r="Z219" s="145"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5" t="n"/>
      <c r="Y220" s="145" t="n"/>
      <c r="Z220" s="145"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5" t="n"/>
      <c r="Y221" s="145" t="n"/>
      <c r="Z221" s="145"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5" t="n"/>
      <c r="Y222" s="145" t="n"/>
      <c r="Z222" s="145"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5" t="n"/>
      <c r="Y223" s="145" t="n"/>
      <c r="Z223" s="145"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5" t="n"/>
      <c r="Y224" s="145" t="n"/>
      <c r="Z224" s="145"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5" t="n"/>
      <c r="Y225" s="145" t="n"/>
      <c r="Z225" s="145"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5" t="n"/>
      <c r="Y226" s="145" t="n"/>
      <c r="Z226" s="145"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5" t="n"/>
      <c r="Y227" s="145" t="n"/>
      <c r="Z227" s="145"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5" t="n"/>
      <c r="Y228" s="145" t="n"/>
      <c r="Z228" s="145"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5" t="n"/>
      <c r="Y229" s="145" t="n"/>
      <c r="Z229" s="145"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5" t="n"/>
      <c r="Y230" s="145" t="n"/>
      <c r="Z230" s="145"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5" t="n"/>
      <c r="Y231" s="145" t="n"/>
      <c r="Z231" s="145"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5" t="n"/>
      <c r="Y232" s="145" t="n"/>
      <c r="Z232" s="145"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5" t="n"/>
      <c r="Y233" s="145" t="n"/>
      <c r="Z233" s="145"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5" t="n"/>
      <c r="Y234" s="145" t="n"/>
      <c r="Z234" s="145"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5" t="n"/>
      <c r="Y235" s="145" t="n"/>
      <c r="Z235" s="145"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5" t="n"/>
      <c r="Y236" s="145" t="n"/>
      <c r="Z236" s="145"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5" t="n"/>
      <c r="Y237" s="145" t="n"/>
      <c r="Z237" s="145"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5" t="n"/>
      <c r="Y238" s="145" t="n"/>
      <c r="Z238" s="145"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5" t="n"/>
      <c r="Y239" s="145" t="n"/>
      <c r="Z239" s="145"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5" t="n"/>
      <c r="Y240" s="145" t="n"/>
      <c r="Z240" s="145"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5" t="n"/>
      <c r="Y241" s="145" t="n"/>
      <c r="Z241" s="145"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5" t="n"/>
      <c r="Y242" s="145" t="n"/>
      <c r="Z242" s="145"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5" t="n"/>
      <c r="Y243" s="145" t="n"/>
      <c r="Z243" s="145"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5" t="n"/>
      <c r="Y244" s="145" t="n"/>
      <c r="Z244" s="145"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5" t="n"/>
      <c r="Y245" s="145" t="n"/>
      <c r="Z245" s="145"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5" t="n"/>
      <c r="Y246" s="145" t="n"/>
      <c r="Z246" s="145"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5" t="n"/>
      <c r="Y247" s="145" t="n"/>
      <c r="Z247" s="145"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5" t="n"/>
      <c r="Y248" s="145" t="n"/>
      <c r="Z248" s="145"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5" t="n"/>
      <c r="Y249" s="145" t="n"/>
      <c r="Z249" s="145"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5" t="n"/>
      <c r="Y250" s="145" t="n"/>
      <c r="Z250" s="145"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5" t="n"/>
      <c r="Y251" s="145" t="n"/>
      <c r="Z251" s="145"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5" t="n"/>
      <c r="Y252" s="145" t="n"/>
      <c r="Z252" s="145"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5" t="n"/>
      <c r="Y253" s="145" t="n"/>
      <c r="Z253" s="145"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5" t="n"/>
      <c r="Y254" s="145" t="n"/>
      <c r="Z254" s="145" t="n"/>
    </row>
    <row r="255" ht="15.75" customHeight="1" s="311">
      <c r="A255" s="145" t="n"/>
      <c r="B255" s="145" t="n"/>
      <c r="C255" s="145"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5" t="n"/>
      <c r="Y255" s="145" t="n"/>
      <c r="Z255" s="145" t="n"/>
    </row>
    <row r="256" ht="15.75" customHeight="1" s="311">
      <c r="A256" s="145" t="n"/>
      <c r="B256" s="145" t="n"/>
      <c r="C256" s="145"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5" t="n"/>
      <c r="Y256" s="145" t="n"/>
      <c r="Z256" s="145" t="n"/>
    </row>
    <row r="257" ht="15.75" customHeight="1" s="311">
      <c r="A257" s="145" t="n"/>
      <c r="B257" s="145" t="n"/>
      <c r="C257" s="145"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5" t="n"/>
      <c r="Y257" s="145" t="n"/>
      <c r="Z257" s="145" t="n"/>
    </row>
    <row r="258" ht="15.75" customHeight="1" s="311">
      <c r="A258" s="145" t="n"/>
      <c r="B258" s="145" t="n"/>
      <c r="C258" s="145"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5" t="n"/>
      <c r="Y258" s="145" t="n"/>
      <c r="Z258" s="145" t="n"/>
    </row>
    <row r="259" ht="15.75" customHeight="1" s="311">
      <c r="A259" s="145" t="n"/>
      <c r="B259" s="145" t="n"/>
      <c r="C259" s="145"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45" t="n"/>
      <c r="X259" s="145" t="n"/>
      <c r="Y259" s="145" t="n"/>
      <c r="Z259" s="145" t="n"/>
    </row>
    <row r="260" ht="15.75" customHeight="1" s="311">
      <c r="A260" s="145" t="n"/>
      <c r="B260" s="145" t="n"/>
      <c r="C260" s="145"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45" t="n"/>
      <c r="X260" s="145" t="n"/>
      <c r="Y260" s="145" t="n"/>
      <c r="Z260" s="145" t="n"/>
    </row>
    <row r="261" ht="15.75" customHeight="1" s="311">
      <c r="A261" s="145" t="n"/>
      <c r="B261" s="145" t="n"/>
      <c r="C261" s="145"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45" t="n"/>
      <c r="X261" s="145" t="n"/>
      <c r="Y261" s="145" t="n"/>
      <c r="Z261" s="145" t="n"/>
    </row>
    <row r="262" ht="15.75" customHeight="1" s="311">
      <c r="A262" s="145" t="n"/>
      <c r="B262" s="145" t="n"/>
      <c r="C262" s="145"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45" t="n"/>
      <c r="X262" s="145" t="n"/>
      <c r="Y262" s="145" t="n"/>
      <c r="Z262" s="145" t="n"/>
    </row>
    <row r="263" ht="15.75" customHeight="1" s="311">
      <c r="A263" s="145" t="n"/>
      <c r="B263" s="145" t="n"/>
      <c r="C263" s="145" t="n"/>
      <c r="D263" s="145" t="n"/>
      <c r="E263" s="145" t="n"/>
      <c r="F263" s="145" t="n"/>
      <c r="G263" s="145" t="n"/>
      <c r="H263" s="145" t="n"/>
      <c r="I263" s="145" t="n"/>
      <c r="J263" s="145" t="n"/>
      <c r="K263" s="145" t="n"/>
      <c r="L263" s="145" t="n"/>
      <c r="M263" s="145" t="n"/>
      <c r="N263" s="145" t="n"/>
      <c r="O263" s="145" t="n"/>
      <c r="P263" s="145" t="n"/>
      <c r="Q263" s="145" t="n"/>
      <c r="R263" s="145" t="n"/>
      <c r="S263" s="145" t="n"/>
      <c r="T263" s="145" t="n"/>
      <c r="U263" s="145" t="n"/>
      <c r="V263" s="145" t="n"/>
      <c r="W263" s="145" t="n"/>
      <c r="X263" s="145" t="n"/>
      <c r="Y263" s="145" t="n"/>
      <c r="Z263" s="145" t="n"/>
    </row>
    <row r="264" ht="15.75" customHeight="1" s="311">
      <c r="A264" s="145" t="n"/>
      <c r="B264" s="145" t="n"/>
      <c r="C264" s="145" t="n"/>
      <c r="D264" s="145" t="n"/>
      <c r="E264" s="145" t="n"/>
      <c r="F264" s="145" t="n"/>
      <c r="G264" s="145" t="n"/>
      <c r="H264" s="145" t="n"/>
      <c r="I264" s="145" t="n"/>
      <c r="J264" s="145" t="n"/>
      <c r="K264" s="145" t="n"/>
      <c r="L264" s="145" t="n"/>
      <c r="M264" s="145" t="n"/>
      <c r="N264" s="145" t="n"/>
      <c r="O264" s="145" t="n"/>
      <c r="P264" s="145" t="n"/>
      <c r="Q264" s="145" t="n"/>
      <c r="R264" s="145" t="n"/>
      <c r="S264" s="145" t="n"/>
      <c r="T264" s="145" t="n"/>
      <c r="U264" s="145" t="n"/>
      <c r="V264" s="145" t="n"/>
      <c r="W264" s="145" t="n"/>
      <c r="X264" s="145" t="n"/>
      <c r="Y264" s="145" t="n"/>
      <c r="Z264" s="145" t="n"/>
    </row>
    <row r="265" ht="15.75" customHeight="1" s="311">
      <c r="A265" s="145" t="n"/>
      <c r="B265" s="145" t="n"/>
      <c r="C265" s="145" t="n"/>
      <c r="D265" s="145" t="n"/>
      <c r="E265" s="145" t="n"/>
      <c r="F265" s="145" t="n"/>
      <c r="G265" s="145" t="n"/>
      <c r="H265" s="145" t="n"/>
      <c r="I265" s="145" t="n"/>
      <c r="J265" s="145" t="n"/>
      <c r="K265" s="145" t="n"/>
      <c r="L265" s="145" t="n"/>
      <c r="M265" s="145" t="n"/>
      <c r="N265" s="145" t="n"/>
      <c r="O265" s="145" t="n"/>
      <c r="P265" s="145" t="n"/>
      <c r="Q265" s="145" t="n"/>
      <c r="R265" s="145" t="n"/>
      <c r="S265" s="145" t="n"/>
      <c r="T265" s="145" t="n"/>
      <c r="U265" s="145" t="n"/>
      <c r="V265" s="145" t="n"/>
      <c r="W265" s="145" t="n"/>
      <c r="X265" s="145" t="n"/>
      <c r="Y265" s="145" t="n"/>
      <c r="Z265" s="145" t="n"/>
    </row>
    <row r="266" ht="15.75" customHeight="1" s="311">
      <c r="A266" s="145" t="n"/>
      <c r="B266" s="145" t="n"/>
      <c r="C266" s="145" t="n"/>
      <c r="D266" s="145" t="n"/>
      <c r="E266" s="145" t="n"/>
      <c r="F266" s="145" t="n"/>
      <c r="G266" s="145" t="n"/>
      <c r="H266" s="145" t="n"/>
      <c r="I266" s="145" t="n"/>
      <c r="J266" s="145" t="n"/>
      <c r="K266" s="145" t="n"/>
      <c r="L266" s="145" t="n"/>
      <c r="M266" s="145" t="n"/>
      <c r="N266" s="145" t="n"/>
      <c r="O266" s="145" t="n"/>
      <c r="P266" s="145" t="n"/>
      <c r="Q266" s="145" t="n"/>
      <c r="R266" s="145" t="n"/>
      <c r="S266" s="145" t="n"/>
      <c r="T266" s="145" t="n"/>
      <c r="U266" s="145" t="n"/>
      <c r="V266" s="145" t="n"/>
      <c r="W266" s="145" t="n"/>
      <c r="X266" s="145" t="n"/>
      <c r="Y266" s="145" t="n"/>
      <c r="Z266" s="145" t="n"/>
    </row>
    <row r="267" ht="15.75" customHeight="1" s="311">
      <c r="A267" s="145" t="n"/>
      <c r="B267" s="145" t="n"/>
      <c r="C267" s="145" t="n"/>
      <c r="D267" s="145" t="n"/>
      <c r="E267" s="145" t="n"/>
      <c r="F267" s="145" t="n"/>
      <c r="G267" s="145" t="n"/>
      <c r="H267" s="145" t="n"/>
      <c r="I267" s="145" t="n"/>
      <c r="J267" s="145" t="n"/>
      <c r="K267" s="145" t="n"/>
      <c r="L267" s="145" t="n"/>
      <c r="M267" s="145" t="n"/>
      <c r="N267" s="145" t="n"/>
      <c r="O267" s="145" t="n"/>
      <c r="P267" s="145" t="n"/>
      <c r="Q267" s="145" t="n"/>
      <c r="R267" s="145" t="n"/>
      <c r="S267" s="145" t="n"/>
      <c r="T267" s="145" t="n"/>
      <c r="U267" s="145" t="n"/>
      <c r="V267" s="145" t="n"/>
      <c r="W267" s="145" t="n"/>
      <c r="X267" s="145" t="n"/>
      <c r="Y267" s="145" t="n"/>
      <c r="Z267" s="145" t="n"/>
    </row>
    <row r="268" ht="15.75" customHeight="1" s="311">
      <c r="A268" s="145" t="n"/>
      <c r="B268" s="145" t="n"/>
      <c r="C268" s="145" t="n"/>
      <c r="D268" s="145" t="n"/>
      <c r="E268" s="145" t="n"/>
      <c r="F268" s="145" t="n"/>
      <c r="G268" s="145" t="n"/>
      <c r="H268" s="145" t="n"/>
      <c r="I268" s="145" t="n"/>
      <c r="J268" s="145" t="n"/>
      <c r="K268" s="145" t="n"/>
      <c r="L268" s="145" t="n"/>
      <c r="M268" s="145" t="n"/>
      <c r="N268" s="145" t="n"/>
      <c r="O268" s="145" t="n"/>
      <c r="P268" s="145" t="n"/>
      <c r="Q268" s="145" t="n"/>
      <c r="R268" s="145" t="n"/>
      <c r="S268" s="145" t="n"/>
      <c r="T268" s="145" t="n"/>
      <c r="U268" s="145" t="n"/>
      <c r="V268" s="145" t="n"/>
      <c r="W268" s="145" t="n"/>
      <c r="X268" s="145" t="n"/>
      <c r="Y268" s="145" t="n"/>
      <c r="Z268" s="145" t="n"/>
    </row>
    <row r="269" ht="15.75" customHeight="1" s="311">
      <c r="A269" s="145" t="n"/>
      <c r="B269" s="145" t="n"/>
      <c r="C269" s="145" t="n"/>
      <c r="D269" s="145" t="n"/>
      <c r="E269" s="145" t="n"/>
      <c r="F269" s="145" t="n"/>
      <c r="G269" s="145" t="n"/>
      <c r="H269" s="145" t="n"/>
      <c r="I269" s="145" t="n"/>
      <c r="J269" s="145" t="n"/>
      <c r="K269" s="145" t="n"/>
      <c r="L269" s="145" t="n"/>
      <c r="M269" s="145" t="n"/>
      <c r="N269" s="145" t="n"/>
      <c r="O269" s="145" t="n"/>
      <c r="P269" s="145" t="n"/>
      <c r="Q269" s="145" t="n"/>
      <c r="R269" s="145" t="n"/>
      <c r="S269" s="145" t="n"/>
      <c r="T269" s="145" t="n"/>
      <c r="U269" s="145" t="n"/>
      <c r="V269" s="145" t="n"/>
      <c r="W269" s="145" t="n"/>
      <c r="X269" s="145" t="n"/>
      <c r="Y269" s="145" t="n"/>
      <c r="Z269" s="145"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row>
  </sheetData>
  <mergeCells count="17">
    <mergeCell ref="D6:E6"/>
    <mergeCell ref="B6:C6"/>
    <mergeCell ref="B32:H32"/>
    <mergeCell ref="J69:N72"/>
    <mergeCell ref="H6:I6"/>
    <mergeCell ref="B7:C7"/>
    <mergeCell ref="D7:E7"/>
    <mergeCell ref="B2:F2"/>
    <mergeCell ref="H7:I7"/>
    <mergeCell ref="B5:C5"/>
    <mergeCell ref="F5:G5"/>
    <mergeCell ref="D5:E5"/>
    <mergeCell ref="B31:H31"/>
    <mergeCell ref="F6:G6"/>
    <mergeCell ref="H5:I5"/>
    <mergeCell ref="C19:F19"/>
    <mergeCell ref="F7:G7"/>
  </mergeCells>
  <conditionalFormatting sqref="P36:P65">
    <cfRule type="cellIs" priority="1" operator="lessThan" dxfId="3">
      <formula>0</formula>
    </cfRule>
  </conditionalFormatting>
  <pageMargins left="0.75" right="0.75" top="1" bottom="1" header="0" footer="0"/>
  <pageSetup orientation="portrait" paperSize="9"/>
  <drawing xmlns:r="http://schemas.openxmlformats.org/officeDocument/2006/relationships" r:id="rId1"/>
</worksheet>
</file>

<file path=xl/worksheets/sheet10.xml><?xml version="1.0" encoding="utf-8"?>
<worksheet xmlns="http://schemas.openxmlformats.org/spreadsheetml/2006/main">
  <sheetPr>
    <tabColor rgb="FF1E7A5A"/>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11" min="1" max="1"/>
    <col width="44" customWidth="1" style="311" min="2" max="2"/>
    <col width="15" customWidth="1" style="311" min="3" max="3"/>
    <col width="25.29" customWidth="1" style="311" min="4" max="4"/>
    <col width="15" customWidth="1" style="311" min="5" max="5"/>
    <col width="17" customWidth="1" style="311" min="6" max="7"/>
    <col width="15" customWidth="1" style="311" min="8" max="8"/>
    <col width="16" customWidth="1" style="311" min="9" max="9"/>
    <col width="11" customWidth="1" style="311" min="10" max="10"/>
    <col width="56" customWidth="1" style="311" min="11" max="11"/>
    <col width="8.710000000000001" customWidth="1" style="311" min="12" max="12"/>
    <col width="26" customWidth="1" style="311" min="13" max="13"/>
    <col width="15" customWidth="1" style="311" min="14" max="15"/>
  </cols>
  <sheetData>
    <row r="1" ht="21.75" customHeight="1" s="311">
      <c r="A1" s="145" t="n"/>
      <c r="B1" s="19" t="inlineStr">
        <is>
          <t>ESTADO DE RESULTADOS</t>
        </is>
      </c>
      <c r="C1" s="145" t="n"/>
      <c r="D1" s="145" t="n"/>
      <c r="E1" s="145" t="n"/>
      <c r="F1" s="145" t="n"/>
      <c r="G1" s="145" t="n"/>
      <c r="H1" s="145" t="n"/>
      <c r="I1" s="145" t="n"/>
      <c r="J1" s="145" t="n"/>
      <c r="K1" s="145" t="n"/>
      <c r="L1" s="1" t="n"/>
      <c r="M1" s="145" t="n"/>
      <c r="N1" s="145" t="n"/>
      <c r="O1" s="145" t="n"/>
      <c r="P1" s="1" t="n"/>
      <c r="Q1" s="1" t="n"/>
      <c r="R1" s="1" t="n"/>
      <c r="S1" s="1" t="n"/>
      <c r="T1" s="1" t="n"/>
      <c r="U1" s="1" t="n"/>
      <c r="V1" s="1" t="n"/>
      <c r="W1" s="1" t="n"/>
      <c r="X1" s="1" t="n"/>
      <c r="Y1" s="1" t="n"/>
      <c r="Z1" s="1" t="n"/>
    </row>
    <row r="2" ht="27" customHeight="1" s="311">
      <c r="A2" s="145" t="n"/>
      <c r="B2" s="20" t="inlineStr">
        <is>
          <t>Base de devengo: el gasto se reconoce cuando se genera, no cuando lo pagas. Tres columnas —tú, el hogar y el consolidado— con una línea que ELIMINA tu aporte a la casa: es un traspaso entre dos bolsillos de la misma familia, no ingreso nuevo ni riqueza creada.</t>
        </is>
      </c>
      <c r="J2" s="145" t="n"/>
      <c r="K2" s="145" t="n"/>
      <c r="L2" s="1" t="n"/>
      <c r="M2" s="145" t="n"/>
      <c r="N2" s="145" t="n"/>
      <c r="O2" s="145" t="n"/>
      <c r="P2" s="1" t="n"/>
      <c r="Q2" s="1" t="n"/>
      <c r="R2" s="1" t="n"/>
      <c r="S2" s="1" t="n"/>
      <c r="T2" s="1" t="n"/>
      <c r="U2" s="1" t="n"/>
      <c r="V2" s="1" t="n"/>
      <c r="W2" s="1" t="n"/>
      <c r="X2" s="1" t="n"/>
      <c r="Y2" s="1" t="n"/>
      <c r="Z2" s="1" t="n"/>
    </row>
    <row r="3">
      <c r="A3" s="145" t="n"/>
      <c r="B3" s="145" t="n"/>
      <c r="C3" s="145" t="n"/>
      <c r="D3" s="145" t="n"/>
      <c r="E3" s="145" t="n"/>
      <c r="F3" s="145" t="n"/>
      <c r="G3" s="145" t="n"/>
      <c r="H3" s="145" t="n"/>
      <c r="I3" s="145" t="n"/>
      <c r="J3" s="145" t="n"/>
      <c r="K3" s="145" t="n"/>
      <c r="L3" s="1" t="n"/>
      <c r="M3" s="145" t="n"/>
      <c r="N3" s="145" t="n"/>
      <c r="O3" s="145" t="n"/>
      <c r="P3" s="1" t="n"/>
      <c r="Q3" s="1" t="n"/>
      <c r="R3" s="1" t="n"/>
      <c r="S3" s="1" t="n"/>
      <c r="T3" s="1" t="n"/>
      <c r="U3" s="1" t="n"/>
      <c r="V3" s="1" t="n"/>
      <c r="W3" s="1" t="n"/>
      <c r="X3" s="1" t="n"/>
      <c r="Y3" s="1" t="n"/>
      <c r="Z3" s="1" t="n"/>
    </row>
    <row r="4" ht="42.75" customHeight="1" s="311">
      <c r="A4" s="145" t="n"/>
      <c r="B4" s="23" t="inlineStr">
        <is>
          <t>Periodo analizado (se elige en el Panel)</t>
        </is>
      </c>
      <c r="C4" s="175">
        <f>Panel!$I$4</f>
        <v/>
      </c>
      <c r="D4" s="20" t="inlineStr">
        <is>
          <t>El presupuesto es mensual y constante; lo que cambia al mover el periodo es la columna de facturas realmente emitidas y el bloque de evolución de abajo.</t>
        </is>
      </c>
      <c r="I4" s="145" t="n"/>
      <c r="J4" s="145" t="n"/>
      <c r="K4" s="145" t="n"/>
      <c r="L4" s="1" t="n"/>
      <c r="M4" s="145" t="n"/>
      <c r="N4" s="145" t="n"/>
      <c r="O4" s="145" t="n"/>
      <c r="P4" s="1" t="n"/>
      <c r="Q4" s="1" t="n"/>
      <c r="R4" s="1" t="n"/>
      <c r="S4" s="1" t="n"/>
      <c r="T4" s="1" t="n"/>
      <c r="U4" s="1" t="n"/>
      <c r="V4" s="1" t="n"/>
      <c r="W4" s="1" t="n"/>
      <c r="X4" s="1" t="n"/>
      <c r="Y4" s="1" t="n"/>
      <c r="Z4" s="1" t="n"/>
    </row>
    <row r="5">
      <c r="A5" s="145" t="n"/>
      <c r="B5" s="145" t="n"/>
      <c r="C5" s="145" t="n"/>
      <c r="D5" s="145" t="n"/>
      <c r="E5" s="145" t="n"/>
      <c r="F5" s="145" t="n"/>
      <c r="G5" s="145" t="n"/>
      <c r="H5" s="145" t="n"/>
      <c r="I5" s="145" t="n"/>
      <c r="J5" s="145" t="n"/>
      <c r="K5" s="145" t="n"/>
      <c r="L5" s="1" t="n"/>
      <c r="M5" s="145" t="n"/>
      <c r="N5" s="145" t="n"/>
      <c r="O5" s="145" t="n"/>
      <c r="P5" s="1" t="n"/>
      <c r="Q5" s="1" t="n"/>
      <c r="R5" s="1" t="n"/>
      <c r="S5" s="1" t="n"/>
      <c r="T5" s="1" t="n"/>
      <c r="U5" s="1" t="n"/>
      <c r="V5" s="1" t="n"/>
      <c r="W5" s="1" t="n"/>
      <c r="X5" s="1" t="n"/>
      <c r="Y5" s="1" t="n"/>
      <c r="Z5" s="1" t="n"/>
    </row>
    <row r="6" ht="43.5" customHeight="1" s="311">
      <c r="A6" s="145" t="n"/>
      <c r="B6" s="33" t="inlineStr">
        <is>
          <t>Concepto</t>
        </is>
      </c>
      <c r="C6" s="33" t="inlineStr">
        <is>
          <t>Tú (€/mes)</t>
        </is>
      </c>
      <c r="D6" s="33" t="inlineStr">
        <is>
          <t>Hogar (€/mes)</t>
        </is>
      </c>
      <c r="E6" s="33" t="inlineStr">
        <is>
          <t>Eliminaciones</t>
        </is>
      </c>
      <c r="F6" s="33" t="inlineStr">
        <is>
          <t>CONSOLIDADO
(€/mes)</t>
        </is>
      </c>
      <c r="G6" s="33" t="inlineStr">
        <is>
          <t>Facturas emitidas
este mes (€)</t>
        </is>
      </c>
      <c r="H6" s="33" t="inlineStr">
        <is>
          <t>Desviación (€)</t>
        </is>
      </c>
      <c r="I6" s="33" t="inlineStr">
        <is>
          <t>Consolidado
ANUAL (€)</t>
        </is>
      </c>
      <c r="J6" s="33" t="inlineStr">
        <is>
          <t>% s/ingresos</t>
        </is>
      </c>
      <c r="K6" s="33" t="inlineStr">
        <is>
          <t>Notas</t>
        </is>
      </c>
      <c r="L6" s="1" t="n"/>
      <c r="M6" s="31" t="inlineStr">
        <is>
          <t>Datos para los gráficos</t>
        </is>
      </c>
      <c r="N6" s="145" t="n"/>
      <c r="O6" s="145" t="n"/>
      <c r="P6" s="1" t="n"/>
      <c r="Q6" s="1" t="n"/>
      <c r="R6" s="1" t="n"/>
      <c r="S6" s="1" t="n"/>
      <c r="T6" s="1" t="n"/>
      <c r="U6" s="1" t="n"/>
      <c r="V6" s="1" t="n"/>
      <c r="W6" s="1" t="n"/>
      <c r="X6" s="1" t="n"/>
      <c r="Y6" s="1" t="n"/>
      <c r="Z6" s="1" t="n"/>
    </row>
    <row r="7" ht="19.5" customHeight="1" s="311">
      <c r="A7" s="145" t="n"/>
      <c r="B7" s="21" t="inlineStr">
        <is>
          <t>INGRESOS</t>
        </is>
      </c>
      <c r="C7" s="22" t="n"/>
      <c r="D7" s="22" t="n"/>
      <c r="E7" s="22" t="n"/>
      <c r="F7" s="22" t="n"/>
      <c r="G7" s="22" t="n"/>
      <c r="H7" s="22" t="n"/>
      <c r="I7" s="22" t="n"/>
      <c r="J7" s="22" t="n"/>
      <c r="K7" s="22" t="n"/>
      <c r="L7" s="1" t="n"/>
      <c r="M7" s="33" t="inlineStr">
        <is>
          <t>Bloque</t>
        </is>
      </c>
      <c r="N7" s="33" t="inlineStr">
        <is>
          <t>€/mes</t>
        </is>
      </c>
      <c r="O7" s="145" t="n"/>
      <c r="P7" s="1" t="n"/>
      <c r="Q7" s="1" t="n"/>
      <c r="R7" s="1" t="n"/>
      <c r="S7" s="1" t="n"/>
      <c r="T7" s="1" t="n"/>
      <c r="U7" s="1" t="n"/>
      <c r="V7" s="1" t="n"/>
      <c r="W7" s="1" t="n"/>
      <c r="X7" s="1" t="n"/>
      <c r="Y7" s="1" t="n"/>
      <c r="Z7" s="1" t="n"/>
    </row>
    <row r="8" ht="15" customHeight="1" s="311">
      <c r="A8" s="145" t="n"/>
      <c r="B8" s="46" t="inlineStr">
        <is>
          <t>Tu ingreso neto del trabajo</t>
        </is>
      </c>
      <c r="C8" s="61">
        <f t="array" ref="C8">INDEX(Escenarios!$D$6:$H$6,Panel!$D$5)</f>
        <v/>
      </c>
      <c r="D8" s="61" t="n"/>
      <c r="E8" s="61" t="n"/>
      <c r="F8" s="68">
        <f>N($C8)+N($D8)+N($E8)</f>
        <v/>
      </c>
      <c r="G8" s="61" t="n"/>
      <c r="H8" s="61" t="n"/>
      <c r="I8" s="61">
        <f>$F8*12</f>
        <v/>
      </c>
      <c r="J8" s="71">
        <f>IFERROR($F8/$F$13,"")</f>
        <v/>
      </c>
      <c r="K8" s="145" t="n"/>
      <c r="L8" s="1" t="n"/>
      <c r="M8" s="40" t="inlineStr">
        <is>
          <t>Gastos de vida — tú</t>
        </is>
      </c>
      <c r="N8" s="42">
        <f>SUM($C$16:$C$20)</f>
        <v/>
      </c>
      <c r="O8" s="145" t="n"/>
      <c r="P8" s="1" t="n"/>
      <c r="Q8" s="1" t="n"/>
      <c r="R8" s="1" t="n"/>
      <c r="S8" s="1" t="n"/>
      <c r="T8" s="1" t="n"/>
      <c r="U8" s="1" t="n"/>
      <c r="V8" s="1" t="n"/>
      <c r="W8" s="1" t="n"/>
      <c r="X8" s="1" t="n"/>
      <c r="Y8" s="1" t="n"/>
      <c r="Z8" s="1" t="n"/>
    </row>
    <row r="9" ht="15" customHeight="1" s="311">
      <c r="A9" s="145" t="n"/>
      <c r="B9" s="46" t="inlineStr">
        <is>
          <t>Nómina de Iris</t>
        </is>
      </c>
      <c r="C9" s="61" t="n"/>
      <c r="D9" s="61">
        <f t="array" ref="D9">INDEX(Escenarios!$D$35:$H$35,Panel!$D$5)</f>
        <v/>
      </c>
      <c r="E9" s="61" t="n"/>
      <c r="F9" s="68">
        <f>N($C9)+N($D9)+N($E9)</f>
        <v/>
      </c>
      <c r="G9" s="61" t="n"/>
      <c r="H9" s="61" t="n"/>
      <c r="I9" s="61">
        <f>$F9*12</f>
        <v/>
      </c>
      <c r="J9" s="71">
        <f>IFERROR($F9/$F$13,"")</f>
        <v/>
      </c>
      <c r="K9" s="145" t="n"/>
      <c r="L9" s="1" t="n"/>
      <c r="M9" s="40" t="inlineStr">
        <is>
          <t>Gastos de vida — hogar</t>
        </is>
      </c>
      <c r="N9" s="42">
        <f>SUM($D$22:$D$29)</f>
        <v/>
      </c>
      <c r="O9" s="145" t="n"/>
      <c r="P9" s="1" t="n"/>
      <c r="Q9" s="1" t="n"/>
      <c r="R9" s="1" t="n"/>
      <c r="S9" s="1" t="n"/>
      <c r="T9" s="1" t="n"/>
      <c r="U9" s="1" t="n"/>
      <c r="V9" s="1" t="n"/>
      <c r="W9" s="1" t="n"/>
      <c r="X9" s="1" t="n"/>
      <c r="Y9" s="1" t="n"/>
      <c r="Z9" s="1" t="n"/>
    </row>
    <row r="10" ht="15" customHeight="1" s="311">
      <c r="A10" s="145" t="n"/>
      <c r="B10" s="46" t="inlineStr">
        <is>
          <t>Ingreso de Stalin</t>
        </is>
      </c>
      <c r="C10" s="61" t="n"/>
      <c r="D10" s="61">
        <f t="array" ref="D10">INDEX(Escenarios!$D$36:$H$36,Panel!$D$5)</f>
        <v/>
      </c>
      <c r="E10" s="61" t="n"/>
      <c r="F10" s="68">
        <f>N($C10)+N($D10)+N($E10)</f>
        <v/>
      </c>
      <c r="G10" s="61" t="n"/>
      <c r="H10" s="61" t="n"/>
      <c r="I10" s="61">
        <f>$F10*12</f>
        <v/>
      </c>
      <c r="J10" s="71">
        <f>IFERROR($F10/$F$13,"")</f>
        <v/>
      </c>
      <c r="K10" s="145" t="n"/>
      <c r="L10" s="1" t="n"/>
      <c r="M10" s="40" t="inlineStr">
        <is>
          <t>Gastos financieros</t>
        </is>
      </c>
      <c r="N10" s="42">
        <f>$F$39</f>
        <v/>
      </c>
      <c r="O10" s="145" t="n"/>
      <c r="P10" s="1" t="n"/>
      <c r="Q10" s="1" t="n"/>
      <c r="R10" s="1" t="n"/>
      <c r="S10" s="1" t="n"/>
      <c r="T10" s="1" t="n"/>
      <c r="U10" s="1" t="n"/>
      <c r="V10" s="1" t="n"/>
      <c r="W10" s="1" t="n"/>
      <c r="X10" s="1" t="n"/>
      <c r="Y10" s="1" t="n"/>
      <c r="Z10" s="1" t="n"/>
    </row>
    <row r="11" ht="15" customHeight="1" s="311">
      <c r="A11" s="145" t="n"/>
      <c r="B11" s="46" t="inlineStr">
        <is>
          <t>Ingreso de Tony</t>
        </is>
      </c>
      <c r="C11" s="61" t="n"/>
      <c r="D11" s="61">
        <f t="array" ref="D11">INDEX(Escenarios!$D$37:$H$37,Panel!$D$5)</f>
        <v/>
      </c>
      <c r="E11" s="61" t="n"/>
      <c r="F11" s="68">
        <f>N($C11)+N($D11)+N($E11)</f>
        <v/>
      </c>
      <c r="G11" s="61" t="n"/>
      <c r="H11" s="61" t="n"/>
      <c r="I11" s="61">
        <f>$F11*12</f>
        <v/>
      </c>
      <c r="J11" s="71">
        <f>IFERROR($F11/$F$13,"")</f>
        <v/>
      </c>
      <c r="K11" s="145" t="n"/>
      <c r="L11" s="1" t="n"/>
      <c r="M11" s="40" t="inlineStr">
        <is>
          <t>Amortizaciones</t>
        </is>
      </c>
      <c r="N11" s="42">
        <f>$F$49+$F$50</f>
        <v/>
      </c>
      <c r="O11" s="145" t="n"/>
      <c r="P11" s="1" t="n"/>
      <c r="Q11" s="1" t="n"/>
      <c r="R11" s="1" t="n"/>
      <c r="S11" s="1" t="n"/>
      <c r="T11" s="1" t="n"/>
      <c r="U11" s="1" t="n"/>
      <c r="V11" s="1" t="n"/>
      <c r="W11" s="1" t="n"/>
      <c r="X11" s="1" t="n"/>
      <c r="Y11" s="1" t="n"/>
      <c r="Z11" s="1" t="n"/>
    </row>
    <row r="12" ht="21.75" customHeight="1" s="311">
      <c r="A12" s="145" t="n"/>
      <c r="B12" s="46" t="inlineStr">
        <is>
          <t>Tu aporte al hogar</t>
        </is>
      </c>
      <c r="C12" s="61" t="n"/>
      <c r="D12" s="61">
        <f t="array" ref="D12">INDEX(Escenarios!$D$29:$H$29,Panel!$D$5)</f>
        <v/>
      </c>
      <c r="E12" s="61">
        <f t="array" ref="E12">-INDEX(Escenarios!$D$29:$H$29,Panel!$D$5)</f>
        <v/>
      </c>
      <c r="F12" s="68">
        <f>N($C12)+N($D12)+N($E12)</f>
        <v/>
      </c>
      <c r="G12" s="61" t="n"/>
      <c r="H12" s="61" t="n"/>
      <c r="I12" s="61">
        <f>$F12*12</f>
        <v/>
      </c>
      <c r="J12" s="71">
        <f>IFERROR($F12/$F$13,"")</f>
        <v/>
      </c>
      <c r="K12" s="20" t="inlineStr">
        <is>
          <t>ELIMINACIÓN: para el hogar es un ingreso, pero sale de tu bolsillo. En el consolidado se anula, si no lo contaríamos dos veces.</t>
        </is>
      </c>
      <c r="L12" s="1" t="n"/>
      <c r="M12" s="40" t="inlineStr">
        <is>
          <t>Ahorro e inversión</t>
        </is>
      </c>
      <c r="N12" s="42">
        <f>$F$51+$F$52</f>
        <v/>
      </c>
      <c r="O12" s="145" t="n"/>
      <c r="P12" s="1" t="n"/>
      <c r="Q12" s="1" t="n"/>
      <c r="R12" s="1" t="n"/>
      <c r="S12" s="1" t="n"/>
      <c r="T12" s="1" t="n"/>
      <c r="U12" s="1" t="n"/>
      <c r="V12" s="1" t="n"/>
      <c r="W12" s="1" t="n"/>
      <c r="X12" s="1" t="n"/>
      <c r="Y12" s="1" t="n"/>
      <c r="Z12" s="1" t="n"/>
    </row>
    <row r="13" ht="15" customHeight="1" s="311">
      <c r="A13" s="145" t="n"/>
      <c r="B13" s="176" t="inlineStr">
        <is>
          <t>TOTAL INGRESOS</t>
        </is>
      </c>
      <c r="C13" s="82">
        <f>SUM(C8:C12)</f>
        <v/>
      </c>
      <c r="D13" s="82">
        <f>SUM(D8:D12)</f>
        <v/>
      </c>
      <c r="E13" s="82">
        <f>SUM(E8:E12)</f>
        <v/>
      </c>
      <c r="F13" s="82">
        <f>SUM(F8:F12)</f>
        <v/>
      </c>
      <c r="G13" s="82">
        <f>SUM(G8:G12)</f>
        <v/>
      </c>
      <c r="H13" s="82">
        <f>IF($G13=0,"",$G13-$F13)</f>
        <v/>
      </c>
      <c r="I13" s="82">
        <f>SUM(I8:I12)</f>
        <v/>
      </c>
      <c r="J13" s="85">
        <f>IFERROR($F13/$F$13,"")</f>
        <v/>
      </c>
      <c r="K13" s="145" t="n"/>
      <c r="L13" s="1" t="n"/>
      <c r="M13" s="40" t="inlineStr">
        <is>
          <t>Resultado libre</t>
        </is>
      </c>
      <c r="N13" s="42">
        <f>$F$55</f>
        <v/>
      </c>
      <c r="O13" s="145" t="n"/>
      <c r="P13" s="1" t="n"/>
      <c r="Q13" s="1" t="n"/>
      <c r="R13" s="1" t="n"/>
      <c r="S13" s="1" t="n"/>
      <c r="T13" s="1" t="n"/>
      <c r="U13" s="1" t="n"/>
      <c r="V13" s="1" t="n"/>
      <c r="W13" s="1" t="n"/>
      <c r="X13" s="1" t="n"/>
      <c r="Y13" s="1" t="n"/>
      <c r="Z13" s="1" t="n"/>
    </row>
    <row r="14">
      <c r="A14" s="145" t="n"/>
      <c r="B14" s="145" t="n"/>
      <c r="C14" s="145" t="n"/>
      <c r="D14" s="145" t="n"/>
      <c r="E14" s="145" t="n"/>
      <c r="F14" s="145" t="n"/>
      <c r="G14" s="145" t="n"/>
      <c r="H14" s="145" t="n"/>
      <c r="I14" s="145" t="n"/>
      <c r="J14" s="145" t="n"/>
      <c r="K14" s="145" t="n"/>
      <c r="L14" s="1" t="n"/>
      <c r="M14" s="145" t="n"/>
      <c r="N14" s="145" t="n"/>
      <c r="O14" s="145" t="n"/>
      <c r="P14" s="1" t="n"/>
      <c r="Q14" s="1" t="n"/>
      <c r="R14" s="1" t="n"/>
      <c r="S14" s="1" t="n"/>
      <c r="T14" s="1" t="n"/>
      <c r="U14" s="1" t="n"/>
      <c r="V14" s="1" t="n"/>
      <c r="W14" s="1" t="n"/>
      <c r="X14" s="1" t="n"/>
      <c r="Y14" s="1" t="n"/>
      <c r="Z14" s="1" t="n"/>
    </row>
    <row r="15" ht="21.75" customHeight="1" s="311">
      <c r="A15" s="145" t="n"/>
      <c r="B15" s="21" t="inlineStr">
        <is>
          <t>GASTOS DE VIDA</t>
        </is>
      </c>
      <c r="C15" s="22" t="n"/>
      <c r="D15" s="22" t="n"/>
      <c r="E15" s="22" t="n"/>
      <c r="F15" s="22" t="n"/>
      <c r="G15" s="22" t="n"/>
      <c r="H15" s="22" t="n"/>
      <c r="I15" s="22" t="n"/>
      <c r="J15" s="22" t="n"/>
      <c r="K15" s="22" t="n"/>
      <c r="L15" s="1" t="n"/>
      <c r="M15" s="145" t="n"/>
      <c r="N15" s="145" t="n"/>
      <c r="O15" s="145" t="n"/>
      <c r="P15" s="1" t="n"/>
      <c r="Q15" s="1" t="n"/>
      <c r="R15" s="1" t="n"/>
      <c r="S15" s="1" t="n"/>
      <c r="T15" s="1" t="n"/>
      <c r="U15" s="1" t="n"/>
      <c r="V15" s="1" t="n"/>
      <c r="W15" s="1" t="n"/>
      <c r="X15" s="1" t="n"/>
      <c r="Y15" s="1" t="n"/>
      <c r="Z15" s="1" t="n"/>
    </row>
    <row r="16" ht="15" customHeight="1" s="311">
      <c r="A16" s="145" t="n"/>
      <c r="B16" s="46" t="inlineStr">
        <is>
          <t>Habitación / alquiler (tú)</t>
        </is>
      </c>
      <c r="C16" s="61">
        <f t="array" ref="C16">INDEX(Escenarios!$D$21:$H$21,Panel!$D$5)</f>
        <v/>
      </c>
      <c r="D16" s="61" t="n"/>
      <c r="E16" s="61" t="n"/>
      <c r="F16" s="68">
        <f>N($C16)+N($D16)+N($E16)</f>
        <v/>
      </c>
      <c r="G16" s="61" t="n"/>
      <c r="H16" s="61" t="n"/>
      <c r="I16" s="61">
        <f>$F16*12</f>
        <v/>
      </c>
      <c r="J16" s="71">
        <f>IFERROR($F16/$F$13,"")</f>
        <v/>
      </c>
      <c r="K16" s="145" t="n"/>
      <c r="L16" s="1" t="n"/>
      <c r="M16" s="145" t="n"/>
      <c r="N16" s="145" t="n"/>
      <c r="O16" s="145" t="n"/>
      <c r="P16" s="1" t="n"/>
      <c r="Q16" s="1" t="n"/>
      <c r="R16" s="1" t="n"/>
      <c r="S16" s="1" t="n"/>
      <c r="T16" s="1" t="n"/>
      <c r="U16" s="1" t="n"/>
      <c r="V16" s="1" t="n"/>
      <c r="W16" s="1" t="n"/>
      <c r="X16" s="1" t="n"/>
      <c r="Y16" s="1" t="n"/>
      <c r="Z16" s="1" t="n"/>
    </row>
    <row r="17" ht="15" customHeight="1" s="311">
      <c r="A17" s="145" t="n"/>
      <c r="B17" s="46" t="inlineStr">
        <is>
          <t>Transporte / gasolina (tú)</t>
        </is>
      </c>
      <c r="C17" s="61">
        <f t="array" ref="C17">INDEX(Escenarios!$D$22:$H$22,Panel!$D$5)</f>
        <v/>
      </c>
      <c r="D17" s="61" t="n"/>
      <c r="E17" s="61" t="n"/>
      <c r="F17" s="68">
        <f>N($C17)+N($D17)+N($E17)</f>
        <v/>
      </c>
      <c r="G17" s="61" t="n"/>
      <c r="H17" s="61" t="n"/>
      <c r="I17" s="61">
        <f>$F17*12</f>
        <v/>
      </c>
      <c r="J17" s="71">
        <f>IFERROR($F17/$F$13,"")</f>
        <v/>
      </c>
      <c r="K17" s="145" t="n"/>
      <c r="L17" s="1" t="n"/>
      <c r="M17" s="145" t="n"/>
      <c r="N17" s="145" t="n"/>
      <c r="O17" s="145" t="n"/>
      <c r="P17" s="1" t="n"/>
      <c r="Q17" s="1" t="n"/>
      <c r="R17" s="1" t="n"/>
      <c r="S17" s="1" t="n"/>
      <c r="T17" s="1" t="n"/>
      <c r="U17" s="1" t="n"/>
      <c r="V17" s="1" t="n"/>
      <c r="W17" s="1" t="n"/>
      <c r="X17" s="1" t="n"/>
      <c r="Y17" s="1" t="n"/>
      <c r="Z17" s="1" t="n"/>
    </row>
    <row r="18" ht="15" customHeight="1" s="311">
      <c r="A18" s="145" t="n"/>
      <c r="B18" s="46" t="inlineStr">
        <is>
          <t>Datos móviles (tú)</t>
        </is>
      </c>
      <c r="C18" s="61">
        <f t="array" ref="C18">INDEX(Escenarios!$D$23:$H$23,Panel!$D$5)</f>
        <v/>
      </c>
      <c r="D18" s="61" t="n"/>
      <c r="E18" s="61" t="n"/>
      <c r="F18" s="68">
        <f>N($C18)+N($D18)+N($E18)</f>
        <v/>
      </c>
      <c r="G18" s="61" t="n"/>
      <c r="H18" s="61" t="n"/>
      <c r="I18" s="61">
        <f>$F18*12</f>
        <v/>
      </c>
      <c r="J18" s="71">
        <f>IFERROR($F18/$F$13,"")</f>
        <v/>
      </c>
      <c r="K18" s="145" t="n"/>
      <c r="L18" s="1" t="n"/>
      <c r="M18" s="145" t="n"/>
      <c r="N18" s="145" t="n"/>
      <c r="O18" s="145" t="n"/>
      <c r="P18" s="1" t="n"/>
      <c r="Q18" s="1" t="n"/>
      <c r="R18" s="1" t="n"/>
      <c r="S18" s="1" t="n"/>
      <c r="T18" s="1" t="n"/>
      <c r="U18" s="1" t="n"/>
      <c r="V18" s="1" t="n"/>
      <c r="W18" s="1" t="n"/>
      <c r="X18" s="1" t="n"/>
      <c r="Y18" s="1" t="n"/>
      <c r="Z18" s="1" t="n"/>
    </row>
    <row r="19" ht="15" customHeight="1" s="311">
      <c r="A19" s="145" t="n"/>
      <c r="B19" s="46" t="inlineStr">
        <is>
          <t>Comida (tú)</t>
        </is>
      </c>
      <c r="C19" s="61">
        <f t="array" ref="C19">INDEX(Escenarios!$D$24:$H$24,Panel!$D$5)</f>
        <v/>
      </c>
      <c r="D19" s="61" t="n"/>
      <c r="E19" s="61" t="n"/>
      <c r="F19" s="68">
        <f>N($C19)+N($D19)+N($E19)</f>
        <v/>
      </c>
      <c r="G19" s="61" t="n"/>
      <c r="H19" s="61" t="n"/>
      <c r="I19" s="61">
        <f>$F19*12</f>
        <v/>
      </c>
      <c r="J19" s="71">
        <f>IFERROR($F19/$F$13,"")</f>
        <v/>
      </c>
      <c r="K19" s="145" t="n"/>
      <c r="L19" s="1" t="n"/>
      <c r="M19" s="145" t="n"/>
      <c r="N19" s="145" t="n"/>
      <c r="O19" s="145" t="n"/>
      <c r="P19" s="1" t="n"/>
      <c r="Q19" s="1" t="n"/>
      <c r="R19" s="1" t="n"/>
      <c r="S19" s="1" t="n"/>
      <c r="T19" s="1" t="n"/>
      <c r="U19" s="1" t="n"/>
      <c r="V19" s="1" t="n"/>
      <c r="W19" s="1" t="n"/>
      <c r="X19" s="1" t="n"/>
      <c r="Y19" s="1" t="n"/>
      <c r="Z19" s="1" t="n"/>
    </row>
    <row r="20" ht="15" customHeight="1" s="311">
      <c r="A20" s="145" t="n"/>
      <c r="B20" s="46" t="inlineStr">
        <is>
          <t>Otros gastos personales (tú)</t>
        </is>
      </c>
      <c r="C20" s="61">
        <f t="array" ref="C20">INDEX(Escenarios!$D$25:$H$25,Panel!$D$5)</f>
        <v/>
      </c>
      <c r="D20" s="61" t="n"/>
      <c r="E20" s="61" t="n"/>
      <c r="F20" s="68">
        <f>N($C20)+N($D20)+N($E20)</f>
        <v/>
      </c>
      <c r="G20" s="61" t="n"/>
      <c r="H20" s="61" t="n"/>
      <c r="I20" s="61">
        <f>$F20*12</f>
        <v/>
      </c>
      <c r="J20" s="71">
        <f>IFERROR($F20/$F$13,"")</f>
        <v/>
      </c>
      <c r="K20" s="145" t="n"/>
      <c r="L20" s="1" t="n"/>
      <c r="M20" s="145" t="n"/>
      <c r="N20" s="145" t="n"/>
      <c r="O20" s="145" t="n"/>
      <c r="P20" s="1" t="n"/>
      <c r="Q20" s="1" t="n"/>
      <c r="R20" s="1" t="n"/>
      <c r="S20" s="1" t="n"/>
      <c r="T20" s="1" t="n"/>
      <c r="U20" s="1" t="n"/>
      <c r="V20" s="1" t="n"/>
      <c r="W20" s="1" t="n"/>
      <c r="X20" s="1" t="n"/>
      <c r="Y20" s="1" t="n"/>
      <c r="Z20" s="1" t="n"/>
    </row>
    <row r="21" ht="21.75" customHeight="1" s="311">
      <c r="A21" s="145" t="n"/>
      <c r="B21" s="46" t="inlineStr">
        <is>
          <t>Tu aporte al hogar</t>
        </is>
      </c>
      <c r="C21" s="61">
        <f t="array" ref="C21">INDEX(Escenarios!$D$29:$H$29,Panel!$D$5)</f>
        <v/>
      </c>
      <c r="D21" s="61" t="n"/>
      <c r="E21" s="61">
        <f t="array" ref="E21">-INDEX(Escenarios!$D$29:$H$29,Panel!$D$5)</f>
        <v/>
      </c>
      <c r="F21" s="68">
        <f>N($C21)+N($D21)+N($E21)</f>
        <v/>
      </c>
      <c r="G21" s="61" t="n"/>
      <c r="H21" s="61" t="n"/>
      <c r="I21" s="61">
        <f>$F21*12</f>
        <v/>
      </c>
      <c r="J21" s="71">
        <f>IFERROR($F21/$F$13,"")</f>
        <v/>
      </c>
      <c r="K21" s="20" t="inlineStr">
        <is>
          <t>ELIMINACIÓN: es gasto para ti e ingreso para la casa. Dentro de la familia no se consume nada al moverlo.</t>
        </is>
      </c>
      <c r="L21" s="1" t="n"/>
      <c r="M21" s="145" t="n"/>
      <c r="N21" s="145" t="n"/>
      <c r="O21" s="145" t="n"/>
      <c r="P21" s="1" t="n"/>
      <c r="Q21" s="1" t="n"/>
      <c r="R21" s="1" t="n"/>
      <c r="S21" s="1" t="n"/>
      <c r="T21" s="1" t="n"/>
      <c r="U21" s="1" t="n"/>
      <c r="V21" s="1" t="n"/>
      <c r="W21" s="1" t="n"/>
      <c r="X21" s="1" t="n"/>
      <c r="Y21" s="1" t="n"/>
      <c r="Z21" s="1" t="n"/>
    </row>
    <row r="22" ht="15" customHeight="1" s="311">
      <c r="A22" s="145" t="n"/>
      <c r="B22" s="46" t="inlineStr">
        <is>
          <t>Alimentación (hogar)</t>
        </is>
      </c>
      <c r="C22" s="61" t="n"/>
      <c r="D22" s="61">
        <f t="array" ref="D22">INDEX(Escenarios!$D$42:$H$42,Panel!$D$5)</f>
        <v/>
      </c>
      <c r="E22" s="61" t="n"/>
      <c r="F22" s="68">
        <f>N($C22)+N($D22)+N($E22)</f>
        <v/>
      </c>
      <c r="G22" s="61">
        <f>SUMIFS(Facturas!$I$6:$I$205,Facturas!$D$6:$D$205,"Alimentación",Facturas!$O$6:$O$205,$C$4)</f>
        <v/>
      </c>
      <c r="H22" s="61">
        <f>IF($G22="","",$G22-$F22)</f>
        <v/>
      </c>
      <c r="I22" s="61">
        <f>$F22*12</f>
        <v/>
      </c>
      <c r="J22" s="71">
        <f>IFERROR($F22/$F$13,"")</f>
        <v/>
      </c>
      <c r="K22" s="145" t="n"/>
      <c r="L22" s="1" t="n"/>
      <c r="M22" s="145" t="n"/>
      <c r="N22" s="145" t="n"/>
      <c r="O22" s="145" t="n"/>
      <c r="P22" s="1" t="n"/>
      <c r="Q22" s="1" t="n"/>
      <c r="R22" s="1" t="n"/>
      <c r="S22" s="1" t="n"/>
      <c r="T22" s="1" t="n"/>
      <c r="U22" s="1" t="n"/>
      <c r="V22" s="1" t="n"/>
      <c r="W22" s="1" t="n"/>
      <c r="X22" s="1" t="n"/>
      <c r="Y22" s="1" t="n"/>
      <c r="Z22" s="1" t="n"/>
    </row>
    <row r="23" ht="15" customHeight="1" s="311">
      <c r="A23" s="145" t="n"/>
      <c r="B23" s="46" t="inlineStr">
        <is>
          <t>Agua (hogar)</t>
        </is>
      </c>
      <c r="C23" s="61" t="n"/>
      <c r="D23" s="61">
        <f t="array" ref="D23">INDEX(Escenarios!$D$44:$H$44,Panel!$D$5)</f>
        <v/>
      </c>
      <c r="E23" s="61" t="n"/>
      <c r="F23" s="68">
        <f>N($C23)+N($D23)+N($E23)</f>
        <v/>
      </c>
      <c r="G23" s="61">
        <f>SUMIFS(Facturas!$I$6:$I$205,Facturas!$D$6:$D$205,"Agua",Facturas!$O$6:$O$205,$C$4)</f>
        <v/>
      </c>
      <c r="H23" s="61">
        <f>IF($G23="","",$G23-$F23)</f>
        <v/>
      </c>
      <c r="I23" s="61">
        <f>$F23*12</f>
        <v/>
      </c>
      <c r="J23" s="71">
        <f>IFERROR($F23/$F$13,"")</f>
        <v/>
      </c>
      <c r="K23" s="145" t="n"/>
      <c r="L23" s="1" t="n"/>
      <c r="M23" s="145" t="n"/>
      <c r="N23" s="145" t="n"/>
      <c r="O23" s="145" t="n"/>
      <c r="P23" s="1" t="n"/>
      <c r="Q23" s="1" t="n"/>
      <c r="R23" s="1" t="n"/>
      <c r="S23" s="1" t="n"/>
      <c r="T23" s="1" t="n"/>
      <c r="U23" s="1" t="n"/>
      <c r="V23" s="1" t="n"/>
      <c r="W23" s="1" t="n"/>
      <c r="X23" s="1" t="n"/>
      <c r="Y23" s="1" t="n"/>
      <c r="Z23" s="1" t="n"/>
    </row>
    <row r="24" ht="15" customHeight="1" s="311">
      <c r="A24" s="145" t="n"/>
      <c r="B24" s="46" t="inlineStr">
        <is>
          <t>Luz (hogar)</t>
        </is>
      </c>
      <c r="C24" s="61" t="n"/>
      <c r="D24" s="61">
        <f t="array" ref="D24">INDEX(Escenarios!$D$45:$H$45,Panel!$D$5)</f>
        <v/>
      </c>
      <c r="E24" s="61" t="n"/>
      <c r="F24" s="68">
        <f>N($C24)+N($D24)+N($E24)</f>
        <v/>
      </c>
      <c r="G24" s="61">
        <f>SUMIFS(Facturas!$I$6:$I$205,Facturas!$D$6:$D$205,"Luz",Facturas!$O$6:$O$205,$C$4)</f>
        <v/>
      </c>
      <c r="H24" s="61">
        <f>IF($G24="","",$G24-$F24)</f>
        <v/>
      </c>
      <c r="I24" s="61">
        <f>$F24*12</f>
        <v/>
      </c>
      <c r="J24" s="71">
        <f>IFERROR($F24/$F$13,"")</f>
        <v/>
      </c>
      <c r="K24" s="145" t="n"/>
      <c r="L24" s="1" t="n"/>
      <c r="M24" s="145" t="n"/>
      <c r="N24" s="145" t="n"/>
      <c r="O24" s="145" t="n"/>
      <c r="P24" s="1" t="n"/>
      <c r="Q24" s="1" t="n"/>
      <c r="R24" s="1" t="n"/>
      <c r="S24" s="1" t="n"/>
      <c r="T24" s="1" t="n"/>
      <c r="U24" s="1" t="n"/>
      <c r="V24" s="1" t="n"/>
      <c r="W24" s="1" t="n"/>
      <c r="X24" s="1" t="n"/>
      <c r="Y24" s="1" t="n"/>
      <c r="Z24" s="1" t="n"/>
    </row>
    <row r="25" ht="21.75" customHeight="1" s="311">
      <c r="A25" s="145" t="n"/>
      <c r="B25" s="46" t="inlineStr">
        <is>
          <t>Gas (hogar)</t>
        </is>
      </c>
      <c r="C25" s="61" t="n"/>
      <c r="D25" s="61" t="n">
        <v>0</v>
      </c>
      <c r="E25" s="61" t="n"/>
      <c r="F25" s="68">
        <f>N($C25)+N($D25)+N($E25)</f>
        <v/>
      </c>
      <c r="G25" s="61">
        <f>SUMIFS(Facturas!$I$6:$I$205,Facturas!$D$6:$D$205,"Gas",Facturas!$O$6:$O$205,$C$4)</f>
        <v/>
      </c>
      <c r="H25" s="61">
        <f>IF($G25="","",$G25-$F25)</f>
        <v/>
      </c>
      <c r="I25" s="61">
        <f>$F25*12</f>
        <v/>
      </c>
      <c r="J25" s="71">
        <f>IFERROR($F25/$F$13,"")</f>
        <v/>
      </c>
      <c r="K25" s="20" t="inlineStr">
        <is>
          <t>No estaba en tu presupuesto pero sí tienes facturas de gas. Ponle un importe mensual.</t>
        </is>
      </c>
      <c r="L25" s="1" t="n"/>
      <c r="M25" s="145" t="n"/>
      <c r="N25" s="145" t="n"/>
      <c r="O25" s="145" t="n"/>
      <c r="P25" s="1" t="n"/>
      <c r="Q25" s="1" t="n"/>
      <c r="R25" s="1" t="n"/>
      <c r="S25" s="1" t="n"/>
      <c r="T25" s="1" t="n"/>
      <c r="U25" s="1" t="n"/>
      <c r="V25" s="1" t="n"/>
      <c r="W25" s="1" t="n"/>
      <c r="X25" s="1" t="n"/>
      <c r="Y25" s="1" t="n"/>
      <c r="Z25" s="1" t="n"/>
    </row>
    <row r="26" ht="15" customHeight="1" s="311">
      <c r="A26" s="145" t="n"/>
      <c r="B26" s="46" t="inlineStr">
        <is>
          <t>Telefonía y datos (hogar)</t>
        </is>
      </c>
      <c r="C26" s="61" t="n"/>
      <c r="D26" s="61">
        <f t="array" ref="D26">INDEX(Escenarios!$D$43:$H$43,Panel!$D$5)</f>
        <v/>
      </c>
      <c r="E26" s="61" t="n"/>
      <c r="F26" s="68">
        <f>N($C26)+N($D26)+N($E26)</f>
        <v/>
      </c>
      <c r="G26" s="61">
        <f>SUMIFS(Facturas!$I$6:$I$205,Facturas!$D$6:$D$205,"Telefonía y datos",Facturas!$O$6:$O$205,$C$4)</f>
        <v/>
      </c>
      <c r="H26" s="61">
        <f>IF($G26="","",$G26-$F26)</f>
        <v/>
      </c>
      <c r="I26" s="61">
        <f>$F26*12</f>
        <v/>
      </c>
      <c r="J26" s="71">
        <f>IFERROR($F26/$F$13,"")</f>
        <v/>
      </c>
      <c r="K26" s="145" t="n"/>
      <c r="L26" s="1" t="n"/>
      <c r="M26" s="145" t="n"/>
      <c r="N26" s="145" t="n"/>
      <c r="O26" s="145" t="n"/>
      <c r="P26" s="1" t="n"/>
      <c r="Q26" s="1" t="n"/>
      <c r="R26" s="1" t="n"/>
      <c r="S26" s="1" t="n"/>
      <c r="T26" s="1" t="n"/>
      <c r="U26" s="1" t="n"/>
      <c r="V26" s="1" t="n"/>
      <c r="W26" s="1" t="n"/>
      <c r="X26" s="1" t="n"/>
      <c r="Y26" s="1" t="n"/>
      <c r="Z26" s="1" t="n"/>
    </row>
    <row r="27" ht="15" customHeight="1" s="311">
      <c r="A27" s="145" t="n"/>
      <c r="B27" s="46" t="inlineStr">
        <is>
          <t>Comunidad (hogar)</t>
        </is>
      </c>
      <c r="C27" s="61" t="n"/>
      <c r="D27" s="61">
        <f t="array" ref="D27">INDEX(Escenarios!$D$46:$H$46,Panel!$D$5)</f>
        <v/>
      </c>
      <c r="E27" s="61" t="n"/>
      <c r="F27" s="68">
        <f>N($C27)+N($D27)+N($E27)</f>
        <v/>
      </c>
      <c r="G27" s="61">
        <f>SUMIFS(Facturas!$I$6:$I$205,Facturas!$D$6:$D$205,"Comunidad",Facturas!$O$6:$O$205,$C$4)</f>
        <v/>
      </c>
      <c r="H27" s="61">
        <f>IF($G27="","",$G27-$F27)</f>
        <v/>
      </c>
      <c r="I27" s="61">
        <f>$F27*12</f>
        <v/>
      </c>
      <c r="J27" s="71">
        <f>IFERROR($F27/$F$13,"")</f>
        <v/>
      </c>
      <c r="K27" s="145" t="n"/>
      <c r="L27" s="1" t="n"/>
      <c r="M27" s="145" t="n"/>
      <c r="N27" s="145" t="n"/>
      <c r="O27" s="145" t="n"/>
      <c r="P27" s="1" t="n"/>
      <c r="Q27" s="1" t="n"/>
      <c r="R27" s="1" t="n"/>
      <c r="S27" s="1" t="n"/>
      <c r="T27" s="1" t="n"/>
      <c r="U27" s="1" t="n"/>
      <c r="V27" s="1" t="n"/>
      <c r="W27" s="1" t="n"/>
      <c r="X27" s="1" t="n"/>
      <c r="Y27" s="1" t="n"/>
      <c r="Z27" s="1" t="n"/>
    </row>
    <row r="28" ht="15" customHeight="1" s="311">
      <c r="A28" s="145" t="n"/>
      <c r="B28" s="46" t="inlineStr">
        <is>
          <t>Imprevistos (hogar)</t>
        </is>
      </c>
      <c r="C28" s="61" t="n"/>
      <c r="D28" s="61">
        <f t="array" ref="D28">INDEX(Escenarios!$D$47:$H$47,Panel!$D$5)</f>
        <v/>
      </c>
      <c r="E28" s="61" t="n"/>
      <c r="F28" s="68">
        <f>N($C28)+N($D28)+N($E28)</f>
        <v/>
      </c>
      <c r="G28" s="61" t="n"/>
      <c r="H28" s="61" t="n"/>
      <c r="I28" s="61">
        <f>$F28*12</f>
        <v/>
      </c>
      <c r="J28" s="71">
        <f>IFERROR($F28/$F$13,"")</f>
        <v/>
      </c>
      <c r="K28" s="145" t="n"/>
      <c r="L28" s="1" t="n"/>
      <c r="M28" s="145" t="n"/>
      <c r="N28" s="145" t="n"/>
      <c r="O28" s="145" t="n"/>
      <c r="P28" s="1" t="n"/>
      <c r="Q28" s="1" t="n"/>
      <c r="R28" s="1" t="n"/>
      <c r="S28" s="1" t="n"/>
      <c r="T28" s="1" t="n"/>
      <c r="U28" s="1" t="n"/>
      <c r="V28" s="1" t="n"/>
      <c r="W28" s="1" t="n"/>
      <c r="X28" s="1" t="n"/>
      <c r="Y28" s="1" t="n"/>
      <c r="Z28" s="1" t="n"/>
    </row>
    <row r="29" ht="15" customHeight="1" s="311">
      <c r="A29" s="145" t="n"/>
      <c r="B29" s="46" t="inlineStr">
        <is>
          <t>Seguros, salud, impuestos y otros (hogar)</t>
        </is>
      </c>
      <c r="C29" s="61" t="n"/>
      <c r="D29" s="61" t="n">
        <v>0</v>
      </c>
      <c r="E29" s="61" t="n"/>
      <c r="F29" s="68">
        <f>N($C29)+N($D29)+N($E29)</f>
        <v/>
      </c>
      <c r="G29" s="61">
        <f>SUMIFS(Facturas!$I$6:$I$205,Facturas!$D$6:$D$205,"Otros",Facturas!$O$6:$O$205,$C$4)+SUMIFS(Facturas!$I$6:$I$205,Facturas!$D$6:$D$205,"Impuestos y hacienda",Facturas!$O$6:$O$205,$C$4)</f>
        <v/>
      </c>
      <c r="H29" s="61">
        <f>IF($G29="","",$G29-$F29)</f>
        <v/>
      </c>
      <c r="I29" s="61">
        <f>$F29*12</f>
        <v/>
      </c>
      <c r="J29" s="71">
        <f>IFERROR($F29/$F$13,"")</f>
        <v/>
      </c>
      <c r="K29" s="145" t="inlineStr">
        <is>
          <t>Ahora también recoge las facturas de "Impuestos y hacienda": antes el fraccionamiento de Hacienda no aparecía en ninguna línea del resultado y los gastos salían más bajos de lo real. Ponle un importe mensual en la columna D para poder medir la desviación.</t>
        </is>
      </c>
      <c r="L29" s="1" t="n"/>
      <c r="M29" s="145" t="n"/>
      <c r="N29" s="145" t="n"/>
      <c r="O29" s="145" t="n"/>
      <c r="P29" s="1" t="n"/>
      <c r="Q29" s="1" t="n"/>
      <c r="R29" s="1" t="n"/>
      <c r="S29" s="1" t="n"/>
      <c r="T29" s="1" t="n"/>
      <c r="U29" s="1" t="n"/>
      <c r="V29" s="1" t="n"/>
      <c r="W29" s="1" t="n"/>
      <c r="X29" s="1" t="n"/>
      <c r="Y29" s="1" t="n"/>
      <c r="Z29" s="1" t="n"/>
    </row>
    <row r="30" ht="15" customHeight="1" s="311">
      <c r="A30" s="145" t="n"/>
      <c r="B30" s="177" t="inlineStr">
        <is>
          <t>TOTAL GASTOS DE VIDA</t>
        </is>
      </c>
      <c r="C30" s="178">
        <f>SUM(C16:C29)</f>
        <v/>
      </c>
      <c r="D30" s="178">
        <f>SUM(D16:D29)</f>
        <v/>
      </c>
      <c r="E30" s="178">
        <f>SUM(E16:E29)</f>
        <v/>
      </c>
      <c r="F30" s="178">
        <f>SUM(F16:F29)</f>
        <v/>
      </c>
      <c r="G30" s="178">
        <f>SUM(G16:G29)</f>
        <v/>
      </c>
      <c r="H30" s="178">
        <f>IF($G30=0,"",$G30-$F30)</f>
        <v/>
      </c>
      <c r="I30" s="178">
        <f>SUM(I16:I29)</f>
        <v/>
      </c>
      <c r="J30" s="179">
        <f>IFERROR($F30/$F$13,"")</f>
        <v/>
      </c>
      <c r="K30" s="145" t="n"/>
      <c r="L30" s="1" t="n"/>
      <c r="M30" s="145" t="n"/>
      <c r="N30" s="145" t="n"/>
      <c r="O30" s="145" t="n"/>
      <c r="P30" s="1" t="n"/>
      <c r="Q30" s="1" t="n"/>
      <c r="R30" s="1" t="n"/>
      <c r="S30" s="1" t="n"/>
      <c r="T30" s="1" t="n"/>
      <c r="U30" s="1" t="n"/>
      <c r="V30" s="1" t="n"/>
      <c r="W30" s="1" t="n"/>
      <c r="X30" s="1" t="n"/>
      <c r="Y30" s="1" t="n"/>
      <c r="Z30" s="1" t="n"/>
    </row>
    <row r="31" ht="15.75" customHeight="1" s="311">
      <c r="A31" s="145" t="n"/>
      <c r="B31" s="145" t="n"/>
      <c r="C31" s="145" t="n"/>
      <c r="D31" s="145" t="n"/>
      <c r="E31" s="145" t="n"/>
      <c r="F31" s="145" t="n"/>
      <c r="G31" s="145" t="n"/>
      <c r="H31" s="145" t="n"/>
      <c r="I31" s="145" t="n"/>
      <c r="J31" s="145" t="n"/>
      <c r="K31" s="145" t="n"/>
      <c r="L31" s="1" t="n"/>
      <c r="M31" s="145" t="n"/>
      <c r="N31" s="145" t="n"/>
      <c r="O31" s="145" t="n"/>
      <c r="P31" s="1" t="n"/>
      <c r="Q31" s="1" t="n"/>
      <c r="R31" s="1" t="n"/>
      <c r="S31" s="1" t="n"/>
      <c r="T31" s="1" t="n"/>
      <c r="U31" s="1" t="n"/>
      <c r="V31" s="1" t="n"/>
      <c r="W31" s="1" t="n"/>
      <c r="X31" s="1" t="n"/>
      <c r="Y31" s="1" t="n"/>
      <c r="Z31" s="1" t="n"/>
    </row>
    <row r="32" ht="21.75" customHeight="1" s="311">
      <c r="A32" s="145" t="n"/>
      <c r="B32" s="21" t="inlineStr">
        <is>
          <t>GASTOS FINANCIEROS  —  solo intereses y comisiones</t>
        </is>
      </c>
      <c r="C32" s="22" t="n"/>
      <c r="D32" s="22" t="n"/>
      <c r="E32" s="22" t="n"/>
      <c r="F32" s="22" t="n"/>
      <c r="G32" s="22" t="n"/>
      <c r="H32" s="22" t="n"/>
      <c r="I32" s="22" t="n"/>
      <c r="J32" s="22" t="n"/>
      <c r="K32" s="22" t="n"/>
      <c r="L32" s="1" t="n"/>
      <c r="M32" s="145" t="n"/>
      <c r="N32" s="145" t="n"/>
      <c r="O32" s="145" t="n"/>
      <c r="P32" s="1" t="n"/>
      <c r="Q32" s="1" t="n"/>
      <c r="R32" s="1" t="n"/>
      <c r="S32" s="1" t="n"/>
      <c r="T32" s="1" t="n"/>
      <c r="U32" s="1" t="n"/>
      <c r="V32" s="1" t="n"/>
      <c r="W32" s="1" t="n"/>
      <c r="X32" s="1" t="n"/>
      <c r="Y32" s="1" t="n"/>
      <c r="Z32" s="1" t="n"/>
    </row>
    <row r="33" ht="15" customHeight="1" s="311">
      <c r="A33" s="145" t="n"/>
      <c r="B33" s="46" t="inlineStr">
        <is>
          <t>Tipo medio de tus tarjetas (anual)</t>
        </is>
      </c>
      <c r="C33" s="180" t="n">
        <v>0.228</v>
      </c>
      <c r="D33" s="46" t="inlineStr">
        <is>
          <t>Tipo medio de las del hogar</t>
        </is>
      </c>
      <c r="E33" s="180" t="n">
        <v>0.21</v>
      </c>
      <c r="F33" s="145" t="n"/>
      <c r="G33" s="46" t="inlineStr">
        <is>
          <t>Tipo de la hipoteca (anual)</t>
        </is>
      </c>
      <c r="H33" s="180" t="n">
        <v>0.0375</v>
      </c>
      <c r="I33" s="145" t="n"/>
      <c r="J33" s="145" t="n"/>
      <c r="K33" s="20" t="inlineStr">
        <is>
          <t>Sustituye por el TAE real de cada contrato.</t>
        </is>
      </c>
      <c r="L33" s="1" t="n"/>
      <c r="M33" s="145" t="n"/>
      <c r="N33" s="145" t="n"/>
      <c r="O33" s="145" t="n"/>
      <c r="P33" s="1" t="n"/>
      <c r="Q33" s="1" t="n"/>
      <c r="R33" s="1" t="n"/>
      <c r="S33" s="1" t="n"/>
      <c r="T33" s="1" t="n"/>
      <c r="U33" s="1" t="n"/>
      <c r="V33" s="1" t="n"/>
      <c r="W33" s="1" t="n"/>
      <c r="X33" s="1" t="n"/>
      <c r="Y33" s="1" t="n"/>
      <c r="Z33" s="1" t="n"/>
    </row>
    <row r="34" ht="32.25" customHeight="1" s="311">
      <c r="A34" s="145" t="n"/>
      <c r="B34" s="46" t="inlineStr">
        <is>
          <t>Intereses de la hipoteca</t>
        </is>
      </c>
      <c r="C34" s="61" t="n"/>
      <c r="D34" s="61">
        <f>(Balance!$D$29+Balance!$D$35)*$H$33/12</f>
        <v/>
      </c>
      <c r="E34" s="61" t="n"/>
      <c r="F34" s="68">
        <f>N($C34)+N($D34)+N($E34)</f>
        <v/>
      </c>
      <c r="G34" s="61" t="n"/>
      <c r="H34" s="61" t="n"/>
      <c r="I34" s="61">
        <f>$F34*12</f>
        <v/>
      </c>
      <c r="J34" s="71">
        <f>IFERROR($F34/$F$13,"")</f>
        <v/>
      </c>
      <c r="K34" s="20" t="inlineStr">
        <is>
          <t>Se calcula solo: capital vivo de la hipoteca (hoja Balance) × tipo ÷ 12. La cuota completa de 431 € se parte aquí: 178,75 € de intereses (gasto real) y el resto de amortización, que va a la fila 49 porque no te empobrece. La columna de facturas emitidas se deja vacía a propósito para no comparar peras con manzanas.</t>
        </is>
      </c>
      <c r="L34" s="1" t="n"/>
      <c r="M34" s="145" t="n"/>
      <c r="N34" s="145" t="n"/>
      <c r="O34" s="145" t="n"/>
      <c r="P34" s="1" t="n"/>
      <c r="Q34" s="1" t="n"/>
      <c r="R34" s="1" t="n"/>
      <c r="S34" s="1" t="n"/>
      <c r="T34" s="1" t="n"/>
      <c r="U34" s="1" t="n"/>
      <c r="V34" s="1" t="n"/>
      <c r="W34" s="1" t="n"/>
      <c r="X34" s="1" t="n"/>
      <c r="Y34" s="1" t="n"/>
      <c r="Z34" s="1" t="n"/>
    </row>
    <row r="35" ht="15" customHeight="1" s="311">
      <c r="A35" s="145" t="n"/>
      <c r="B35" s="46" t="inlineStr">
        <is>
          <t>Intereses de tus tarjetas de crédito</t>
        </is>
      </c>
      <c r="C35" s="61">
        <f>Disponibilidad!$G$23*$C$33/12</f>
        <v/>
      </c>
      <c r="D35" s="61" t="n"/>
      <c r="E35" s="61" t="n"/>
      <c r="F35" s="68">
        <f>N($C35)+N($D35)+N($E35)</f>
        <v/>
      </c>
      <c r="G35" s="61" t="n"/>
      <c r="H35" s="61" t="n"/>
      <c r="I35" s="61">
        <f>$F35*12</f>
        <v/>
      </c>
      <c r="J35" s="71">
        <f>IFERROR($F35/$F$13,"")</f>
        <v/>
      </c>
      <c r="K35" s="145" t="n"/>
      <c r="L35" s="1" t="n"/>
      <c r="M35" s="145" t="n"/>
      <c r="N35" s="145" t="n"/>
      <c r="O35" s="145" t="n"/>
      <c r="P35" s="1" t="n"/>
      <c r="Q35" s="1" t="n"/>
      <c r="R35" s="1" t="n"/>
      <c r="S35" s="1" t="n"/>
      <c r="T35" s="1" t="n"/>
      <c r="U35" s="1" t="n"/>
      <c r="V35" s="1" t="n"/>
      <c r="W35" s="1" t="n"/>
      <c r="X35" s="1" t="n"/>
      <c r="Y35" s="1" t="n"/>
      <c r="Z35" s="1" t="n"/>
    </row>
    <row r="36" ht="19.5" customHeight="1" s="311">
      <c r="A36" s="145" t="n"/>
      <c r="B36" s="46" t="inlineStr">
        <is>
          <t>Intereses de las tarjetas del hogar</t>
        </is>
      </c>
      <c r="C36" s="61" t="n"/>
      <c r="D36" s="61">
        <f>(Disponibilidad!$G$24+Disponibilidad!$G$25)*$E$33/12</f>
        <v/>
      </c>
      <c r="E36" s="61" t="n"/>
      <c r="F36" s="68">
        <f>N($C36)+N($D36)+N($E36)</f>
        <v/>
      </c>
      <c r="G36" s="61" t="n"/>
      <c r="H36" s="61" t="n"/>
      <c r="I36" s="61">
        <f>$F36*12</f>
        <v/>
      </c>
      <c r="J36" s="71">
        <f>IFERROR($F36/$F$13,"")</f>
        <v/>
      </c>
      <c r="K36" s="145" t="n"/>
      <c r="L36" s="1" t="n"/>
      <c r="M36" s="33" t="inlineStr">
        <is>
          <t>Concepto</t>
        </is>
      </c>
      <c r="N36" s="33" t="inlineStr">
        <is>
          <t>Tú</t>
        </is>
      </c>
      <c r="O36" s="33" t="inlineStr">
        <is>
          <t>Hogar</t>
        </is>
      </c>
      <c r="P36" s="1" t="n"/>
      <c r="Q36" s="1" t="n"/>
      <c r="R36" s="1" t="n"/>
      <c r="S36" s="1" t="n"/>
      <c r="T36" s="1" t="n"/>
      <c r="U36" s="1" t="n"/>
      <c r="V36" s="1" t="n"/>
      <c r="W36" s="1" t="n"/>
      <c r="X36" s="1" t="n"/>
      <c r="Y36" s="1" t="n"/>
      <c r="Z36" s="1" t="n"/>
    </row>
    <row r="37" ht="21.75" customHeight="1" s="311">
      <c r="A37" s="145" t="n"/>
      <c r="B37" s="46" t="inlineStr">
        <is>
          <t>Intereses de empeño y préstamos</t>
        </is>
      </c>
      <c r="C37" s="61" t="n"/>
      <c r="D37" s="61">
        <f>SUMIFS(Facturas!$I$6:$I$205,Facturas!$D$6:$D$205,"Intereses de empeño",Facturas!$O$6:$O$205,$C$4)</f>
        <v/>
      </c>
      <c r="E37" s="61" t="n"/>
      <c r="F37" s="68">
        <f>N($C37)+N($D37)+N($E37)</f>
        <v/>
      </c>
      <c r="G37" s="61" t="n"/>
      <c r="H37" s="61" t="n"/>
      <c r="I37" s="61">
        <f>$F37*12</f>
        <v/>
      </c>
      <c r="J37" s="71">
        <f>IFERROR($F37/$F$13,"")</f>
        <v/>
      </c>
      <c r="K37" s="20" t="inlineStr">
        <is>
          <t>Se lee sola de la hoja Facturas: las facturas con categoría "Intereses de empeño" que VENCEN en el periodo elegido en el Panel. Si sale 0 no es un error: tus 580,90 € de Quick Gold vencen el 27/07 y el 10/09, así que en agosto no hay ninguno. Cambia el mes en el Panel para verlos.</t>
        </is>
      </c>
      <c r="L37" s="1" t="n"/>
      <c r="M37" s="40" t="inlineStr">
        <is>
          <t>Ingresos</t>
        </is>
      </c>
      <c r="N37" s="42">
        <f>$C$13</f>
        <v/>
      </c>
      <c r="O37" s="42">
        <f>$D$13</f>
        <v/>
      </c>
      <c r="P37" s="1" t="n"/>
      <c r="Q37" s="1" t="n"/>
      <c r="R37" s="1" t="n"/>
      <c r="S37" s="1" t="n"/>
      <c r="T37" s="1" t="n"/>
      <c r="U37" s="1" t="n"/>
      <c r="V37" s="1" t="n"/>
      <c r="W37" s="1" t="n"/>
      <c r="X37" s="1" t="n"/>
      <c r="Y37" s="1" t="n"/>
      <c r="Z37" s="1" t="n"/>
    </row>
    <row r="38" ht="15" customHeight="1" s="311">
      <c r="A38" s="145" t="n"/>
      <c r="B38" s="46" t="inlineStr">
        <is>
          <t>Comisiones bancarias</t>
        </is>
      </c>
      <c r="C38" s="61" t="n">
        <v>0</v>
      </c>
      <c r="D38" s="61" t="n">
        <v>0</v>
      </c>
      <c r="E38" s="61" t="n"/>
      <c r="F38" s="68">
        <f>N($C38)+N($D38)+N($E38)</f>
        <v/>
      </c>
      <c r="G38" s="61" t="n"/>
      <c r="H38" s="61" t="n"/>
      <c r="I38" s="61">
        <f>$F38*12</f>
        <v/>
      </c>
      <c r="J38" s="71">
        <f>IFERROR($F38/$F$13,"")</f>
        <v/>
      </c>
      <c r="K38" s="145" t="n"/>
      <c r="L38" s="1" t="n"/>
      <c r="M38" s="40" t="inlineStr">
        <is>
          <t>Gastos de vida</t>
        </is>
      </c>
      <c r="N38" s="42">
        <f>$C$30</f>
        <v/>
      </c>
      <c r="O38" s="42">
        <f>$D$30</f>
        <v/>
      </c>
      <c r="P38" s="1" t="n"/>
      <c r="Q38" s="1" t="n"/>
      <c r="R38" s="1" t="n"/>
      <c r="S38" s="1" t="n"/>
      <c r="T38" s="1" t="n"/>
      <c r="U38" s="1" t="n"/>
      <c r="V38" s="1" t="n"/>
      <c r="W38" s="1" t="n"/>
      <c r="X38" s="1" t="n"/>
      <c r="Y38" s="1" t="n"/>
      <c r="Z38" s="1" t="n"/>
    </row>
    <row r="39" ht="15" customHeight="1" s="311">
      <c r="A39" s="145" t="n"/>
      <c r="B39" s="177" t="inlineStr">
        <is>
          <t>TOTAL GASTOS FINANCIEROS</t>
        </is>
      </c>
      <c r="C39" s="178">
        <f>SUM(C34:C38)</f>
        <v/>
      </c>
      <c r="D39" s="178">
        <f>SUM(D34:D38)</f>
        <v/>
      </c>
      <c r="E39" s="178">
        <f>SUM(E34:E38)</f>
        <v/>
      </c>
      <c r="F39" s="178">
        <f>SUM(F34:F38)</f>
        <v/>
      </c>
      <c r="G39" s="178">
        <f>SUM(G34:G38)</f>
        <v/>
      </c>
      <c r="H39" s="178">
        <f>IF($G39=0,"",$G39-$F39)</f>
        <v/>
      </c>
      <c r="I39" s="178">
        <f>SUM(I34:I38)</f>
        <v/>
      </c>
      <c r="J39" s="179">
        <f>IFERROR($F39/$F$13,"")</f>
        <v/>
      </c>
      <c r="K39" s="145" t="n"/>
      <c r="L39" s="1" t="n"/>
      <c r="M39" s="40" t="inlineStr">
        <is>
          <t>Gastos financieros</t>
        </is>
      </c>
      <c r="N39" s="42">
        <f>$C$39</f>
        <v/>
      </c>
      <c r="O39" s="42">
        <f>$D$39</f>
        <v/>
      </c>
      <c r="P39" s="1" t="n"/>
      <c r="Q39" s="1" t="n"/>
      <c r="R39" s="1" t="n"/>
      <c r="S39" s="1" t="n"/>
      <c r="T39" s="1" t="n"/>
      <c r="U39" s="1" t="n"/>
      <c r="V39" s="1" t="n"/>
      <c r="W39" s="1" t="n"/>
      <c r="X39" s="1" t="n"/>
      <c r="Y39" s="1" t="n"/>
      <c r="Z39" s="1" t="n"/>
    </row>
    <row r="40" ht="15" customHeight="1" s="311">
      <c r="A40" s="145" t="n"/>
      <c r="B40" s="145" t="n"/>
      <c r="C40" s="145" t="n"/>
      <c r="D40" s="145" t="n"/>
      <c r="E40" s="145" t="n"/>
      <c r="F40" s="145" t="n"/>
      <c r="G40" s="145" t="n"/>
      <c r="H40" s="145" t="n"/>
      <c r="I40" s="145" t="n"/>
      <c r="J40" s="145" t="n"/>
      <c r="K40" s="145" t="n"/>
      <c r="L40" s="1" t="n"/>
      <c r="M40" s="40" t="inlineStr">
        <is>
          <t>Resultado</t>
        </is>
      </c>
      <c r="N40" s="42">
        <f>$C$43</f>
        <v/>
      </c>
      <c r="O40" s="42">
        <f>$D$43</f>
        <v/>
      </c>
      <c r="P40" s="1" t="n"/>
      <c r="Q40" s="1" t="n"/>
      <c r="R40" s="1" t="n"/>
      <c r="S40" s="1" t="n"/>
      <c r="T40" s="1" t="n"/>
      <c r="U40" s="1" t="n"/>
      <c r="V40" s="1" t="n"/>
      <c r="W40" s="1" t="n"/>
      <c r="X40" s="1" t="n"/>
      <c r="Y40" s="1" t="n"/>
      <c r="Z40" s="1" t="n"/>
    </row>
    <row r="41" ht="15" customHeight="1" s="311">
      <c r="A41" s="145" t="n"/>
      <c r="B41" s="181" t="inlineStr">
        <is>
          <t>TOTAL GASTOS</t>
        </is>
      </c>
      <c r="C41" s="91">
        <f>C30+C39</f>
        <v/>
      </c>
      <c r="D41" s="91">
        <f>D30+D39</f>
        <v/>
      </c>
      <c r="E41" s="91">
        <f>E30+E39</f>
        <v/>
      </c>
      <c r="F41" s="91">
        <f>F30+F39</f>
        <v/>
      </c>
      <c r="G41" s="91">
        <f>G30+G39</f>
        <v/>
      </c>
      <c r="H41" s="91">
        <f>IF($G$41=0,"",$G$41-$F$41)</f>
        <v/>
      </c>
      <c r="I41" s="91">
        <f>I30+I39</f>
        <v/>
      </c>
      <c r="J41" s="92">
        <f>IFERROR($F$41/$F$13,"")</f>
        <v/>
      </c>
      <c r="K41" s="145" t="n"/>
      <c r="L41" s="1" t="n"/>
      <c r="M41" s="145" t="n"/>
      <c r="N41" s="145" t="n"/>
      <c r="O41" s="145" t="n"/>
      <c r="P41" s="1" t="n"/>
      <c r="Q41" s="1" t="n"/>
      <c r="R41" s="1" t="n"/>
      <c r="S41" s="1" t="n"/>
      <c r="T41" s="1" t="n"/>
      <c r="U41" s="1" t="n"/>
      <c r="V41" s="1" t="n"/>
      <c r="W41" s="1" t="n"/>
      <c r="X41" s="1" t="n"/>
      <c r="Y41" s="1" t="n"/>
      <c r="Z41" s="1" t="n"/>
    </row>
    <row r="42" ht="15.75" customHeight="1" s="311">
      <c r="A42" s="145" t="n"/>
      <c r="B42" s="145" t="n"/>
      <c r="C42" s="145" t="n"/>
      <c r="D42" s="145" t="n"/>
      <c r="E42" s="145" t="n"/>
      <c r="F42" s="145" t="n"/>
      <c r="G42" s="145" t="n"/>
      <c r="H42" s="145" t="n"/>
      <c r="I42" s="145" t="n"/>
      <c r="J42" s="145" t="n"/>
      <c r="K42" s="145" t="n"/>
      <c r="L42" s="1" t="n"/>
      <c r="M42" s="145" t="n"/>
      <c r="N42" s="145" t="n"/>
      <c r="O42" s="145" t="n"/>
      <c r="P42" s="1" t="n"/>
      <c r="Q42" s="1" t="n"/>
      <c r="R42" s="1" t="n"/>
      <c r="S42" s="1" t="n"/>
      <c r="T42" s="1" t="n"/>
      <c r="U42" s="1" t="n"/>
      <c r="V42" s="1" t="n"/>
      <c r="W42" s="1" t="n"/>
      <c r="X42" s="1" t="n"/>
      <c r="Y42" s="1" t="n"/>
      <c r="Z42" s="1" t="n"/>
    </row>
    <row r="43" ht="15" customHeight="1" s="311">
      <c r="A43" s="145" t="n"/>
      <c r="B43" s="182" t="inlineStr">
        <is>
          <t>RESULTADO DEL PERIODO  (superávit / déficit)</t>
        </is>
      </c>
      <c r="C43" s="82">
        <f>C13-C41</f>
        <v/>
      </c>
      <c r="D43" s="82">
        <f>D13-D41</f>
        <v/>
      </c>
      <c r="E43" s="82">
        <f>E13-E41</f>
        <v/>
      </c>
      <c r="F43" s="84">
        <f>F13-F41</f>
        <v/>
      </c>
      <c r="G43" s="183" t="n"/>
      <c r="H43" s="183" t="n"/>
      <c r="I43" s="82">
        <f>I13-I41</f>
        <v/>
      </c>
      <c r="J43" s="85">
        <f>IFERROR($F$43/$F$13,"")</f>
        <v/>
      </c>
      <c r="K43" s="145" t="n"/>
      <c r="L43" s="1" t="n"/>
      <c r="M43" s="145" t="n"/>
      <c r="N43" s="145" t="n"/>
      <c r="O43" s="145" t="n"/>
      <c r="P43" s="1" t="n"/>
      <c r="Q43" s="1" t="n"/>
      <c r="R43" s="1" t="n"/>
      <c r="S43" s="1" t="n"/>
      <c r="T43" s="1" t="n"/>
      <c r="U43" s="1" t="n"/>
      <c r="V43" s="1" t="n"/>
      <c r="W43" s="1" t="n"/>
      <c r="X43" s="1" t="n"/>
      <c r="Y43" s="1" t="n"/>
      <c r="Z43" s="1" t="n"/>
    </row>
    <row r="44" ht="15" customHeight="1" s="311">
      <c r="A44" s="145" t="n"/>
      <c r="B44" s="46" t="inlineStr">
        <is>
          <t>Margen de ahorro sobre ingresos</t>
        </is>
      </c>
      <c r="C44" s="145" t="n"/>
      <c r="D44" s="145" t="n"/>
      <c r="E44" s="145" t="n"/>
      <c r="F44" s="107">
        <f>IFERROR($F$43/$F$13,"")</f>
        <v/>
      </c>
      <c r="G44" s="145" t="n"/>
      <c r="H44" s="145" t="n"/>
      <c r="I44" s="145" t="n"/>
      <c r="J44" s="145" t="n"/>
      <c r="K44" s="145" t="n"/>
      <c r="L44" s="1" t="n"/>
      <c r="M44" s="145" t="n"/>
      <c r="N44" s="145" t="n"/>
      <c r="O44" s="145" t="n"/>
      <c r="P44" s="1" t="n"/>
      <c r="Q44" s="1" t="n"/>
      <c r="R44" s="1" t="n"/>
      <c r="S44" s="1" t="n"/>
      <c r="T44" s="1" t="n"/>
      <c r="U44" s="1" t="n"/>
      <c r="V44" s="1" t="n"/>
      <c r="W44" s="1" t="n"/>
      <c r="X44" s="1" t="n"/>
      <c r="Y44" s="1" t="n"/>
      <c r="Z44" s="1" t="n"/>
    </row>
    <row r="45" ht="15" customHeight="1" s="311">
      <c r="A45" s="145" t="n"/>
      <c r="B45" s="23" t="inlineStr">
        <is>
          <t>Diagnóstico</t>
        </is>
      </c>
      <c r="C45" s="324">
        <f>IF($F$13=0,"Sin ingresos cargados",IF($F$43&lt;0,"🔴 Déficit: gastas más de lo que entra",IF($F$44&lt;0.1,"🟡 Superávit muy justo (menos del 10%)",IF($F$44&lt;0.2,"🟢 Superávit razonable","✅ Superávit holgado"))))</f>
        <v/>
      </c>
      <c r="D45" s="313" t="n"/>
      <c r="E45" s="313" t="n"/>
      <c r="F45" s="314" t="n"/>
      <c r="G45" s="145" t="n"/>
      <c r="H45" s="145" t="n"/>
      <c r="I45" s="145" t="n"/>
      <c r="J45" s="145" t="n"/>
      <c r="K45" s="145" t="n"/>
      <c r="L45" s="1" t="n"/>
      <c r="M45" s="145" t="n"/>
      <c r="N45" s="145" t="n"/>
      <c r="O45" s="145" t="n"/>
      <c r="P45" s="1" t="n"/>
      <c r="Q45" s="1" t="n"/>
      <c r="R45" s="1" t="n"/>
      <c r="S45" s="1" t="n"/>
      <c r="T45" s="1" t="n"/>
      <c r="U45" s="1" t="n"/>
      <c r="V45" s="1" t="n"/>
      <c r="W45" s="1" t="n"/>
      <c r="X45" s="1" t="n"/>
      <c r="Y45" s="1" t="n"/>
      <c r="Z45" s="1" t="n"/>
    </row>
    <row r="46" ht="15" customHeight="1" s="311">
      <c r="A46" s="145" t="n"/>
      <c r="B46" s="23" t="inlineStr">
        <is>
          <t>⚠️ Aviso</t>
        </is>
      </c>
      <c r="C46" s="402">
        <f t="array" ref="C46">IF(AND(Balance!$D$29+Balance!$D$35=0,INDEX(Escenarios!$D$41:$H$41,Panel!$D$5)&gt;0),"⚠️ No has cargado el capital vivo de la hipoteca: los 431 € se cuentan como amortización pura y el resultado sale mejor de lo que es","✅ Hipoteca desglosada entre intereses y amortización")</f>
        <v/>
      </c>
      <c r="D46" s="313" t="n"/>
      <c r="E46" s="313" t="n"/>
      <c r="F46" s="313" t="n"/>
      <c r="G46" s="145" t="n"/>
      <c r="H46" s="145" t="n"/>
      <c r="I46" s="145" t="n"/>
      <c r="J46" s="145" t="n"/>
      <c r="K46" s="145" t="n"/>
      <c r="L46" s="1" t="n"/>
      <c r="M46" s="145" t="n"/>
      <c r="N46" s="145" t="n"/>
      <c r="O46" s="145" t="n"/>
      <c r="P46" s="1" t="n"/>
      <c r="Q46" s="1" t="n"/>
      <c r="R46" s="1" t="n"/>
      <c r="S46" s="1" t="n"/>
      <c r="T46" s="1" t="n"/>
      <c r="U46" s="1" t="n"/>
      <c r="V46" s="1" t="n"/>
      <c r="W46" s="1" t="n"/>
      <c r="X46" s="1" t="n"/>
      <c r="Y46" s="1" t="n"/>
      <c r="Z46" s="1" t="n"/>
    </row>
    <row r="47" ht="21.75" customHeight="1" s="311">
      <c r="A47" s="145" t="n"/>
      <c r="B47" s="21" t="inlineStr">
        <is>
          <t>MEMORIA  —  salidas de dinero que NO son gasto</t>
        </is>
      </c>
      <c r="C47" s="22" t="n"/>
      <c r="D47" s="22" t="n"/>
      <c r="E47" s="22" t="n"/>
      <c r="F47" s="22" t="n"/>
      <c r="G47" s="22" t="n"/>
      <c r="H47" s="22" t="n"/>
      <c r="I47" s="22" t="n"/>
      <c r="J47" s="22" t="n"/>
      <c r="K47" s="22" t="n"/>
      <c r="L47" s="1" t="n"/>
      <c r="M47" s="145" t="n"/>
      <c r="N47" s="145" t="n"/>
      <c r="O47" s="145" t="n"/>
      <c r="P47" s="1" t="n"/>
      <c r="Q47" s="1" t="n"/>
      <c r="R47" s="1" t="n"/>
      <c r="S47" s="1" t="n"/>
      <c r="T47" s="1" t="n"/>
      <c r="U47" s="1" t="n"/>
      <c r="V47" s="1" t="n"/>
      <c r="W47" s="1" t="n"/>
      <c r="X47" s="1" t="n"/>
      <c r="Y47" s="1" t="n"/>
      <c r="Z47" s="1" t="n"/>
    </row>
    <row r="48" ht="32.25" customHeight="1" s="311">
      <c r="A48" s="145" t="n"/>
      <c r="B48" s="20" t="inlineStr">
        <is>
          <t>Reducen tu caja pero no tu riqueza: cambian dinero por otro activo o por menos deuda. Por eso están fuera del resultado.</t>
        </is>
      </c>
      <c r="E48" s="145" t="n"/>
      <c r="F48" s="145" t="n"/>
      <c r="G48" s="145" t="n"/>
      <c r="H48" s="145" t="n"/>
      <c r="I48" s="145" t="n"/>
      <c r="J48" s="145" t="n"/>
      <c r="K48" s="145" t="n"/>
      <c r="L48" s="1" t="n"/>
      <c r="M48" s="145" t="n"/>
      <c r="N48" s="145" t="n"/>
      <c r="O48" s="145" t="n"/>
      <c r="P48" s="1" t="n"/>
      <c r="Q48" s="1" t="n"/>
      <c r="R48" s="1" t="n"/>
      <c r="S48" s="1" t="n"/>
      <c r="T48" s="1" t="n"/>
      <c r="U48" s="1" t="n"/>
      <c r="V48" s="1" t="n"/>
      <c r="W48" s="1" t="n"/>
      <c r="X48" s="1" t="n"/>
      <c r="Y48" s="1" t="n"/>
      <c r="Z48" s="1" t="n"/>
    </row>
    <row r="49" ht="15" customHeight="1" s="311">
      <c r="A49" s="145" t="n"/>
      <c r="B49" s="46" t="inlineStr">
        <is>
          <t>Amortización de principal de la hipoteca</t>
        </is>
      </c>
      <c r="C49" s="61" t="n"/>
      <c r="D49" s="61">
        <f t="array" ref="D49">INDEX(Escenarios!$D$41:$H$41,Panel!$D$5)-$D$34</f>
        <v/>
      </c>
      <c r="E49" s="61" t="n"/>
      <c r="F49" s="68">
        <f>N($C49)+N($D49)+N($E49)</f>
        <v/>
      </c>
      <c r="G49" s="61" t="n"/>
      <c r="H49" s="61" t="n"/>
      <c r="I49" s="61">
        <f>$F49*12</f>
        <v/>
      </c>
      <c r="J49" s="71" t="n"/>
      <c r="K49" s="20" t="inlineStr">
        <is>
          <t>La cuota completa menos la parte de intereses.</t>
        </is>
      </c>
      <c r="L49" s="1" t="n"/>
      <c r="M49" s="145" t="n"/>
      <c r="N49" s="145" t="n"/>
      <c r="O49" s="145" t="n"/>
      <c r="P49" s="1" t="n"/>
      <c r="Q49" s="1" t="n"/>
      <c r="R49" s="1" t="n"/>
      <c r="S49" s="1" t="n"/>
      <c r="T49" s="1" t="n"/>
      <c r="U49" s="1" t="n"/>
      <c r="V49" s="1" t="n"/>
      <c r="W49" s="1" t="n"/>
      <c r="X49" s="1" t="n"/>
      <c r="Y49" s="1" t="n"/>
      <c r="Z49" s="1" t="n"/>
    </row>
    <row r="50" ht="15" customHeight="1" s="311">
      <c r="A50" s="145" t="n"/>
      <c r="B50" s="46" t="inlineStr">
        <is>
          <t>Amortización de tarjetas, préstamos y créditos</t>
        </is>
      </c>
      <c r="C50" s="61" t="n"/>
      <c r="D50" s="61">
        <f>SUMIFS(Facturas!$I$6:$I$205,Facturas!$D$6:$D$205,"Tarjeta de crédito",Facturas!$O$6:$O$205,$C$4)+SUMIFS(Facturas!$I$6:$I$205,Facturas!$D$6:$D$205,"Empeño",Facturas!$O$6:$O$205,$C$4)+SUMIFS(Facturas!$I$6:$I$205,Facturas!$D$6:$D$205,"Préstamo particular",Facturas!$O$6:$O$205,$C$4)+SUMIFS(Facturas!$I$6:$I$205,Facturas!$D$6:$D$205,"Crédito comercial",Facturas!$O$6:$O$205,$C$4)</f>
        <v/>
      </c>
      <c r="E50" s="61" t="n"/>
      <c r="F50" s="68">
        <f>N($C50)+N($D50)+N($E50)</f>
        <v/>
      </c>
      <c r="G50" s="61" t="n"/>
      <c r="H50" s="61" t="n"/>
      <c r="I50" s="61">
        <f>$F50*12</f>
        <v/>
      </c>
      <c r="J50" s="71" t="n"/>
      <c r="K50" s="145" t="inlineStr">
        <is>
          <t>Ya no está a cero: se lee sola de la hoja Facturas. Suma los vencimientos del mes de las categorías Tarjeta de crédito, Empeño, Préstamo particular y Crédito comercial. Devolver principal no es gasto (cambias dinero por menos deuda), pero SÍ te vacía la caja: por eso está aquí y por eso la fila 55 es el número que manda en tesorería.</t>
        </is>
      </c>
      <c r="L50" s="1" t="n"/>
      <c r="M50" s="145" t="n"/>
      <c r="N50" s="145" t="n"/>
      <c r="O50" s="145" t="n"/>
      <c r="P50" s="1" t="n"/>
      <c r="Q50" s="1" t="n"/>
      <c r="R50" s="1" t="n"/>
      <c r="S50" s="1" t="n"/>
      <c r="T50" s="1" t="n"/>
      <c r="U50" s="1" t="n"/>
      <c r="V50" s="1" t="n"/>
      <c r="W50" s="1" t="n"/>
      <c r="X50" s="1" t="n"/>
      <c r="Y50" s="1" t="n"/>
      <c r="Z50" s="1" t="n"/>
    </row>
    <row r="51" ht="15" customHeight="1" s="311">
      <c r="A51" s="145" t="n"/>
      <c r="B51" s="46" t="inlineStr">
        <is>
          <t>Aporte a la cartera de inversión</t>
        </is>
      </c>
      <c r="C51" s="61">
        <f t="array" ref="C51">INDEX(Escenarios!$D$13:$H$13,Panel!$D$5)</f>
        <v/>
      </c>
      <c r="D51" s="61" t="n"/>
      <c r="E51" s="61" t="n"/>
      <c r="F51" s="68">
        <f>N($C51)+N($D51)+N($E51)</f>
        <v/>
      </c>
      <c r="G51" s="61" t="n"/>
      <c r="H51" s="61" t="n"/>
      <c r="I51" s="61">
        <f>$F51*12</f>
        <v/>
      </c>
      <c r="J51" s="71" t="n"/>
      <c r="K51" s="145" t="n"/>
      <c r="L51" s="1" t="n"/>
      <c r="M51" s="145" t="n"/>
      <c r="N51" s="145" t="n"/>
      <c r="O51" s="145" t="n"/>
      <c r="P51" s="1" t="n"/>
      <c r="Q51" s="1" t="n"/>
      <c r="R51" s="1" t="n"/>
      <c r="S51" s="1" t="n"/>
      <c r="T51" s="1" t="n"/>
      <c r="U51" s="1" t="n"/>
      <c r="V51" s="1" t="n"/>
      <c r="W51" s="1" t="n"/>
      <c r="X51" s="1" t="n"/>
      <c r="Y51" s="1" t="n"/>
      <c r="Z51" s="1" t="n"/>
    </row>
    <row r="52" ht="15" customHeight="1" s="311">
      <c r="A52" s="145" t="n"/>
      <c r="B52" s="46" t="inlineStr">
        <is>
          <t>Aporte al fondo de emergencia</t>
        </is>
      </c>
      <c r="C52" s="61">
        <f t="array" ref="C52">INDEX(Escenarios!$D$14:$H$14,Panel!$D$5)</f>
        <v/>
      </c>
      <c r="D52" s="61" t="n"/>
      <c r="E52" s="61" t="n"/>
      <c r="F52" s="68">
        <f>N($C52)+N($D52)+N($E52)</f>
        <v/>
      </c>
      <c r="G52" s="61" t="n"/>
      <c r="H52" s="61" t="n"/>
      <c r="I52" s="61">
        <f>$F52*12</f>
        <v/>
      </c>
      <c r="J52" s="71" t="n"/>
      <c r="K52" s="145" t="n"/>
      <c r="L52" s="1" t="n"/>
      <c r="M52" s="145" t="n"/>
      <c r="N52" s="145" t="n"/>
      <c r="O52" s="145" t="n"/>
      <c r="P52" s="1" t="n"/>
      <c r="Q52" s="1" t="n"/>
      <c r="R52" s="1" t="n"/>
      <c r="S52" s="1" t="n"/>
      <c r="T52" s="1" t="n"/>
      <c r="U52" s="1" t="n"/>
      <c r="V52" s="1" t="n"/>
      <c r="W52" s="1" t="n"/>
      <c r="X52" s="1" t="n"/>
      <c r="Y52" s="1" t="n"/>
      <c r="Z52" s="1" t="n"/>
    </row>
    <row r="53" ht="15" customHeight="1" s="311">
      <c r="A53" s="145" t="n"/>
      <c r="B53" s="38" t="inlineStr">
        <is>
          <t>TOTAL DESTINADO A PATRIMONIO</t>
        </is>
      </c>
      <c r="C53" s="68">
        <f>SUM(C49:C52)</f>
        <v/>
      </c>
      <c r="D53" s="68">
        <f>SUM(D49:D52)</f>
        <v/>
      </c>
      <c r="E53" s="68">
        <f>SUM(E49:E52)</f>
        <v/>
      </c>
      <c r="F53" s="68">
        <f>SUM(F49:F52)</f>
        <v/>
      </c>
      <c r="G53" s="68">
        <f>SUM(G49:G52)</f>
        <v/>
      </c>
      <c r="H53" s="68">
        <f>IF($G53=0,"",$G53-$F53)</f>
        <v/>
      </c>
      <c r="I53" s="68">
        <f>SUM(I49:I52)</f>
        <v/>
      </c>
      <c r="J53" s="77" t="n"/>
      <c r="K53" s="145" t="n"/>
      <c r="L53" s="1" t="n"/>
      <c r="M53" s="145" t="n"/>
      <c r="N53" s="145" t="n"/>
      <c r="O53" s="145" t="n"/>
      <c r="P53" s="1" t="n"/>
      <c r="Q53" s="1" t="n"/>
      <c r="R53" s="1" t="n"/>
      <c r="S53" s="1" t="n"/>
      <c r="T53" s="1" t="n"/>
      <c r="U53" s="1" t="n"/>
      <c r="V53" s="1" t="n"/>
      <c r="W53" s="1" t="n"/>
      <c r="X53" s="1" t="n"/>
      <c r="Y53" s="1" t="n"/>
      <c r="Z53" s="1" t="n"/>
    </row>
    <row r="54" ht="15.75" customHeight="1" s="311">
      <c r="A54" s="145" t="n"/>
      <c r="B54" s="145" t="n"/>
      <c r="C54" s="145" t="n"/>
      <c r="D54" s="145" t="n"/>
      <c r="E54" s="145" t="n"/>
      <c r="F54" s="145" t="n"/>
      <c r="G54" s="145" t="n"/>
      <c r="H54" s="145" t="n"/>
      <c r="I54" s="145" t="n"/>
      <c r="J54" s="145" t="n"/>
      <c r="K54" s="145" t="n"/>
      <c r="L54" s="1" t="n"/>
      <c r="M54" s="145" t="n"/>
      <c r="N54" s="145" t="n"/>
      <c r="O54" s="145" t="n"/>
      <c r="P54" s="1" t="n"/>
      <c r="Q54" s="1" t="n"/>
      <c r="R54" s="1" t="n"/>
      <c r="S54" s="1" t="n"/>
      <c r="T54" s="1" t="n"/>
      <c r="U54" s="1" t="n"/>
      <c r="V54" s="1" t="n"/>
      <c r="W54" s="1" t="n"/>
      <c r="X54" s="1" t="n"/>
      <c r="Y54" s="1" t="n"/>
      <c r="Z54" s="1" t="n"/>
    </row>
    <row r="55" ht="21.75" customHeight="1" s="311">
      <c r="A55" s="145" t="n"/>
      <c r="B55" s="23" t="inlineStr">
        <is>
          <t>CONTROL: resultado − destinado a patrimonio = variación teórica de caja</t>
        </is>
      </c>
      <c r="C55" s="145" t="n"/>
      <c r="D55" s="145" t="n"/>
      <c r="E55" s="145" t="n"/>
      <c r="F55" s="80">
        <f>$F$43-$F$53</f>
        <v/>
      </c>
      <c r="G55" s="145" t="n"/>
      <c r="H55" s="145" t="n"/>
      <c r="I55" s="145" t="n"/>
      <c r="J55" s="145" t="n"/>
      <c r="K55" s="20" t="inlineStr">
        <is>
          <t>Si sale negativo, cada mes sales de caja aunque el resultado sea positivo: estás financiando patrimonio con liquidez que no tienes.</t>
        </is>
      </c>
      <c r="L55" s="1" t="n"/>
      <c r="M55" s="145" t="n"/>
      <c r="N55" s="145" t="n"/>
      <c r="O55" s="145" t="n"/>
      <c r="P55" s="1" t="n"/>
      <c r="Q55" s="1" t="n"/>
      <c r="R55" s="1" t="n"/>
      <c r="S55" s="1" t="n"/>
      <c r="T55" s="1" t="n"/>
      <c r="U55" s="1" t="n"/>
      <c r="V55" s="1" t="n"/>
      <c r="W55" s="1" t="n"/>
      <c r="X55" s="1" t="n"/>
      <c r="Y55" s="1" t="n"/>
      <c r="Z55" s="1" t="n"/>
    </row>
    <row r="56" ht="25.5" customHeight="1" s="311">
      <c r="A56" s="145" t="n"/>
      <c r="B56" s="20" t="inlineStr">
        <is>
          <t>Usa los cobros y pagos reales del libro de Caja en cuanto haya apuntes del mes. Si el mes está vacío, cae al presupuesto y a las facturas emitidas. La última columna te dice cuál de las dos cosas estás viendo.</t>
        </is>
      </c>
      <c r="F56" s="145" t="n"/>
      <c r="G56" s="145" t="n"/>
      <c r="H56" s="145" t="n"/>
      <c r="I56" s="145" t="n"/>
      <c r="J56" s="145" t="n"/>
      <c r="K56" s="145" t="n"/>
      <c r="L56" s="1" t="n"/>
      <c r="M56" s="145" t="n"/>
      <c r="N56" s="145" t="n"/>
      <c r="O56" s="145" t="n"/>
      <c r="P56" s="1" t="n"/>
      <c r="Q56" s="1" t="n"/>
      <c r="R56" s="1" t="n"/>
      <c r="S56" s="1" t="n"/>
      <c r="T56" s="1" t="n"/>
      <c r="U56" s="1" t="n"/>
      <c r="V56" s="1" t="n"/>
      <c r="W56" s="1" t="n"/>
      <c r="X56" s="1" t="n"/>
      <c r="Y56" s="1" t="n"/>
      <c r="Z56" s="1" t="n"/>
    </row>
    <row r="57" ht="21.75" customHeight="1" s="311">
      <c r="A57" s="145" t="n"/>
      <c r="B57" s="21" t="inlineStr">
        <is>
          <t>EVOLUCIÓN MENSUAL  —  ingresos frente a gastos</t>
        </is>
      </c>
      <c r="C57" s="22" t="n"/>
      <c r="D57" s="22" t="n"/>
      <c r="E57" s="22" t="n"/>
      <c r="F57" s="22" t="n"/>
      <c r="G57" s="22" t="n"/>
      <c r="H57" s="22" t="n"/>
      <c r="I57" s="22" t="n"/>
      <c r="J57" s="22" t="n"/>
      <c r="K57" s="22" t="n"/>
      <c r="L57" s="1" t="n"/>
      <c r="M57" s="145" t="n"/>
      <c r="N57" s="145" t="n"/>
      <c r="O57" s="145" t="n"/>
      <c r="P57" s="1" t="n"/>
      <c r="Q57" s="1" t="n"/>
      <c r="R57" s="1" t="n"/>
      <c r="S57" s="1" t="n"/>
      <c r="T57" s="1" t="n"/>
      <c r="U57" s="1" t="n"/>
      <c r="V57" s="1" t="n"/>
      <c r="W57" s="1" t="n"/>
      <c r="X57" s="1" t="n"/>
      <c r="Y57" s="1" t="n"/>
      <c r="Z57" s="1" t="n"/>
    </row>
    <row r="58" ht="25.5" customHeight="1" s="311">
      <c r="A58" s="145" t="n"/>
      <c r="B58" s="185" t="inlineStr">
        <is>
          <t>Base de los datos:</t>
        </is>
      </c>
      <c r="C58" s="83" t="inlineStr">
        <is>
          <t>Automática</t>
        </is>
      </c>
      <c r="D58" s="33" t="inlineStr">
        <is>
          <t>Gasto de vida
presupuestado</t>
        </is>
      </c>
      <c r="E58" s="186" t="inlineStr">
        <is>
          <t>"Automática" usa Caja cuando ese mes tiene apuntes. Si acabas de empezar y solo has registrado dos o tres movimientos, pon "Solo estimación" para que un mes a medio cargar no parezca un mes barato.</t>
        </is>
      </c>
      <c r="F58" s="33" t="inlineStr">
        <is>
          <t>Desviación</t>
        </is>
      </c>
      <c r="G58" s="33" t="inlineStr">
        <is>
          <t>Resultado con
facturas reales</t>
        </is>
      </c>
      <c r="H58" s="145" t="n"/>
      <c r="I58" s="145" t="n"/>
      <c r="J58" s="145" t="n"/>
      <c r="K58" s="145" t="n"/>
      <c r="L58" s="1" t="n"/>
      <c r="M58" s="145" t="n"/>
      <c r="N58" s="145" t="n"/>
      <c r="O58" s="145" t="n"/>
      <c r="P58" s="1" t="n"/>
      <c r="Q58" s="1" t="n"/>
      <c r="R58" s="1" t="n"/>
      <c r="S58" s="1" t="n"/>
      <c r="T58" s="1" t="n"/>
      <c r="U58" s="1" t="n"/>
      <c r="V58" s="1" t="n"/>
      <c r="W58" s="1" t="n"/>
      <c r="X58" s="1" t="n"/>
      <c r="Y58" s="1" t="n"/>
      <c r="Z58" s="1" t="n"/>
    </row>
    <row r="59" ht="42" customHeight="1" s="311">
      <c r="A59" s="145" t="n"/>
      <c r="B59" s="33" t="inlineStr">
        <is>
          <t>Mes</t>
        </is>
      </c>
      <c r="C59" s="187" t="inlineStr">
        <is>
          <t>INGRESOS (€)</t>
        </is>
      </c>
      <c r="D59" s="187" t="inlineStr">
        <is>
          <t>GASTOS (€)</t>
        </is>
      </c>
      <c r="E59" s="187" t="inlineStr">
        <is>
          <t>RESULTADO (€)</t>
        </is>
      </c>
      <c r="F59" s="187" t="inlineStr">
        <is>
          <t>Variación de
ingresos</t>
        </is>
      </c>
      <c r="G59" s="187" t="inlineStr">
        <is>
          <t>Variación de
gastos</t>
        </is>
      </c>
      <c r="H59" s="33" t="inlineStr">
        <is>
          <t>Tasa de
ahorro</t>
        </is>
      </c>
      <c r="I59" s="33" t="inlineStr">
        <is>
          <t>Origen del dato</t>
        </is>
      </c>
      <c r="J59" s="145" t="n"/>
      <c r="K59" s="145" t="n"/>
      <c r="L59" s="1" t="n"/>
      <c r="M59" s="145" t="n"/>
      <c r="N59" s="145" t="n"/>
      <c r="O59" s="145" t="n"/>
      <c r="P59" s="1" t="n"/>
      <c r="Q59" s="1" t="n"/>
      <c r="R59" s="1" t="n"/>
      <c r="S59" s="1" t="n"/>
      <c r="T59" s="1" t="n"/>
      <c r="U59" s="1" t="n"/>
      <c r="V59" s="1" t="n"/>
      <c r="W59" s="1" t="n"/>
      <c r="X59" s="1" t="n"/>
      <c r="Y59" s="1" t="n"/>
      <c r="Z59" s="1" t="n"/>
    </row>
    <row r="60" ht="15" customHeight="1" s="311">
      <c r="A60" s="145" t="n"/>
      <c r="B60" s="62">
        <f>TEXT(EDATE(Panel!$H$5,-5),"YYYY-MM")</f>
        <v/>
      </c>
      <c r="C60" s="80">
        <f>IF($C$58="Solo estimación",$F$13,IF($C$58="Solo libro de Caja",SUMIFS(Caja!$H$6:$H$505,Caja!$K$6:$K$505,$B60,Caja!$C$6:$C$505,"Cobro",Caja!$E$6:$E$505,"&lt;&gt;Traspaso entre cuentas"),IF(COUNTIFS(Caja!$K$6:$K$505,$B60,Caja!$C$6:$C$505,"Cobro")&gt;0,SUMIFS(Caja!$H$6:$H$505,Caja!$K$6:$K$505,$B60,Caja!$C$6:$C$505,"Cobro",Caja!$E$6:$E$505,"&lt;&gt;Traspaso entre cuentas"),$F$13)))</f>
        <v/>
      </c>
      <c r="D60" s="80">
        <f>IF($C$58="Solo estimación",SUM($C$16:$C$20)+SUMIFS(Facturas!$I$6:$I$205,Facturas!$O$6:$O$205,$B60)+$F$39,IF($C$58="Solo libro de Caja",SUMIFS(Caja!$H$6:$H$505,Caja!$K$6:$K$505,$B60,Caja!$C$6:$C$505,"Pago",Caja!$E$6:$E$505,"&lt;&gt;Traspaso entre cuentas"),IF(COUNTIFS(Caja!$K$6:$K$505,$B60,Caja!$C$6:$C$505,"Pago")&gt;0,SUMIFS(Caja!$H$6:$H$505,Caja!$K$6:$K$505,$B60,Caja!$C$6:$C$505,"Pago",Caja!$E$6:$E$505,"&lt;&gt;Traspaso entre cuentas"),SUM($C$16:$C$20)+SUMIFS(Facturas!$I$6:$I$205,Facturas!$O$6:$O$205,$B60)+$F$39)))</f>
        <v/>
      </c>
      <c r="E60" s="80">
        <f>$C60-$D60</f>
        <v/>
      </c>
      <c r="F60" s="61" t="inlineStr">
        <is>
          <t>—</t>
        </is>
      </c>
      <c r="G60" s="61" t="inlineStr">
        <is>
          <t>—</t>
        </is>
      </c>
      <c r="H60" s="71">
        <f>IFERROR($E60/$C60,"")</f>
        <v/>
      </c>
      <c r="I60" s="41">
        <f>IF($C$58="Solo estimación","🕐 Estimado",IF($C$58="Solo libro de Caja","📗 Caja real",IF(COUNTIFS(Caja!$K$6:$K$505,$B60)&gt;0,"📗 Caja real ("&amp;COUNTIFS(Caja!$K$6:$K$505,$B60)&amp;" apuntes)","🕐 Estimado")))</f>
        <v/>
      </c>
      <c r="J60" s="145" t="n"/>
      <c r="K60" s="145" t="n"/>
      <c r="L60" s="1" t="n"/>
      <c r="M60" s="145" t="n"/>
      <c r="N60" s="145" t="n"/>
      <c r="O60" s="145" t="n"/>
      <c r="P60" s="1" t="n"/>
      <c r="Q60" s="1" t="n"/>
      <c r="R60" s="1" t="n"/>
      <c r="S60" s="1" t="n"/>
      <c r="T60" s="1" t="n"/>
      <c r="U60" s="1" t="n"/>
      <c r="V60" s="1" t="n"/>
      <c r="W60" s="1" t="n"/>
      <c r="X60" s="1" t="n"/>
      <c r="Y60" s="1" t="n"/>
      <c r="Z60" s="1" t="n"/>
    </row>
    <row r="61" ht="15" customHeight="1" s="311">
      <c r="A61" s="145" t="n"/>
      <c r="B61" s="62">
        <f>TEXT(EDATE(Panel!$H$5,-4),"YYYY-MM")</f>
        <v/>
      </c>
      <c r="C61" s="80">
        <f>IF($C$58="Solo estimación",$F$13,IF($C$58="Solo libro de Caja",SUMIFS(Caja!$H$6:$H$505,Caja!$K$6:$K$505,$B61,Caja!$C$6:$C$505,"Cobro",Caja!$E$6:$E$505,"&lt;&gt;Traspaso entre cuentas"),IF(COUNTIFS(Caja!$K$6:$K$505,$B61,Caja!$C$6:$C$505,"Cobro")&gt;0,SUMIFS(Caja!$H$6:$H$505,Caja!$K$6:$K$505,$B61,Caja!$C$6:$C$505,"Cobro",Caja!$E$6:$E$505,"&lt;&gt;Traspaso entre cuentas"),$F$13)))</f>
        <v/>
      </c>
      <c r="D61" s="80">
        <f>IF($C$58="Solo estimación",SUM($C$16:$C$20)+SUMIFS(Facturas!$I$6:$I$205,Facturas!$O$6:$O$205,$B61)+$F$39,IF($C$58="Solo libro de Caja",SUMIFS(Caja!$H$6:$H$505,Caja!$K$6:$K$505,$B61,Caja!$C$6:$C$505,"Pago",Caja!$E$6:$E$505,"&lt;&gt;Traspaso entre cuentas"),IF(COUNTIFS(Caja!$K$6:$K$505,$B61,Caja!$C$6:$C$505,"Pago")&gt;0,SUMIFS(Caja!$H$6:$H$505,Caja!$K$6:$K$505,$B61,Caja!$C$6:$C$505,"Pago",Caja!$E$6:$E$505,"&lt;&gt;Traspaso entre cuentas"),SUM($C$16:$C$20)+SUMIFS(Facturas!$I$6:$I$205,Facturas!$O$6:$O$205,$B61)+$F$39)))</f>
        <v/>
      </c>
      <c r="E61" s="80">
        <f>$C61-$D61</f>
        <v/>
      </c>
      <c r="F61" s="71">
        <f>IFERROR($C61/$C60-1,"")</f>
        <v/>
      </c>
      <c r="G61" s="71">
        <f>IFERROR($D61/$D60-1,"")</f>
        <v/>
      </c>
      <c r="H61" s="71">
        <f>IFERROR($E61/$C61,"")</f>
        <v/>
      </c>
      <c r="I61" s="41">
        <f>IF($C$58="Solo estimación","🕐 Estimado",IF($C$58="Solo libro de Caja","📗 Caja real",IF(COUNTIFS(Caja!$K$6:$K$505,$B61)&gt;0,"📗 Caja real ("&amp;COUNTIFS(Caja!$K$6:$K$505,$B61)&amp;" apuntes)","🕐 Estimado")))</f>
        <v/>
      </c>
      <c r="J61" s="145" t="n"/>
      <c r="K61" s="145" t="n"/>
      <c r="L61" s="1" t="n"/>
      <c r="M61" s="145" t="n"/>
      <c r="N61" s="145" t="n"/>
      <c r="O61" s="145" t="n"/>
      <c r="P61" s="1" t="n"/>
      <c r="Q61" s="1" t="n"/>
      <c r="R61" s="1" t="n"/>
      <c r="S61" s="1" t="n"/>
      <c r="T61" s="1" t="n"/>
      <c r="U61" s="1" t="n"/>
      <c r="V61" s="1" t="n"/>
      <c r="W61" s="1" t="n"/>
      <c r="X61" s="1" t="n"/>
      <c r="Y61" s="1" t="n"/>
      <c r="Z61" s="1" t="n"/>
    </row>
    <row r="62" ht="15" customHeight="1" s="311">
      <c r="A62" s="145" t="n"/>
      <c r="B62" s="62">
        <f>TEXT(EDATE(Panel!$H$5,-3),"YYYY-MM")</f>
        <v/>
      </c>
      <c r="C62" s="80">
        <f>IF($C$58="Solo estimación",$F$13,IF($C$58="Solo libro de Caja",SUMIFS(Caja!$H$6:$H$505,Caja!$K$6:$K$505,$B62,Caja!$C$6:$C$505,"Cobro",Caja!$E$6:$E$505,"&lt;&gt;Traspaso entre cuentas"),IF(COUNTIFS(Caja!$K$6:$K$505,$B62,Caja!$C$6:$C$505,"Cobro")&gt;0,SUMIFS(Caja!$H$6:$H$505,Caja!$K$6:$K$505,$B62,Caja!$C$6:$C$505,"Cobro",Caja!$E$6:$E$505,"&lt;&gt;Traspaso entre cuentas"),$F$13)))</f>
        <v/>
      </c>
      <c r="D62" s="80">
        <f>IF($C$58="Solo estimación",SUM($C$16:$C$20)+SUMIFS(Facturas!$I$6:$I$205,Facturas!$O$6:$O$205,$B62)+$F$39,IF($C$58="Solo libro de Caja",SUMIFS(Caja!$H$6:$H$505,Caja!$K$6:$K$505,$B62,Caja!$C$6:$C$505,"Pago",Caja!$E$6:$E$505,"&lt;&gt;Traspaso entre cuentas"),IF(COUNTIFS(Caja!$K$6:$K$505,$B62,Caja!$C$6:$C$505,"Pago")&gt;0,SUMIFS(Caja!$H$6:$H$505,Caja!$K$6:$K$505,$B62,Caja!$C$6:$C$505,"Pago",Caja!$E$6:$E$505,"&lt;&gt;Traspaso entre cuentas"),SUM($C$16:$C$20)+SUMIFS(Facturas!$I$6:$I$205,Facturas!$O$6:$O$205,$B62)+$F$39)))</f>
        <v/>
      </c>
      <c r="E62" s="80">
        <f>$C62-$D62</f>
        <v/>
      </c>
      <c r="F62" s="71">
        <f>IFERROR($C62/$C61-1,"")</f>
        <v/>
      </c>
      <c r="G62" s="71">
        <f>IFERROR($D62/$D61-1,"")</f>
        <v/>
      </c>
      <c r="H62" s="71">
        <f>IFERROR($E62/$C62,"")</f>
        <v/>
      </c>
      <c r="I62" s="41">
        <f>IF($C$58="Solo estimación","🕐 Estimado",IF($C$58="Solo libro de Caja","📗 Caja real",IF(COUNTIFS(Caja!$K$6:$K$505,$B62)&gt;0,"📗 Caja real ("&amp;COUNTIFS(Caja!$K$6:$K$505,$B62)&amp;" apuntes)","🕐 Estimado")))</f>
        <v/>
      </c>
      <c r="J62" s="145" t="n"/>
      <c r="K62" s="145" t="n"/>
      <c r="L62" s="1" t="n"/>
      <c r="M62" s="145" t="n"/>
      <c r="N62" s="145" t="n"/>
      <c r="O62" s="145" t="n"/>
      <c r="P62" s="1" t="n"/>
      <c r="Q62" s="1" t="n"/>
      <c r="R62" s="1" t="n"/>
      <c r="S62" s="1" t="n"/>
      <c r="T62" s="1" t="n"/>
      <c r="U62" s="1" t="n"/>
      <c r="V62" s="1" t="n"/>
      <c r="W62" s="1" t="n"/>
      <c r="X62" s="1" t="n"/>
      <c r="Y62" s="1" t="n"/>
      <c r="Z62" s="1" t="n"/>
    </row>
    <row r="63" ht="15" customHeight="1" s="311">
      <c r="A63" s="145" t="n"/>
      <c r="B63" s="62">
        <f>TEXT(EDATE(Panel!$H$5,-2),"YYYY-MM")</f>
        <v/>
      </c>
      <c r="C63" s="80">
        <f>IF($C$58="Solo estimación",$F$13,IF($C$58="Solo libro de Caja",SUMIFS(Caja!$H$6:$H$505,Caja!$K$6:$K$505,$B63,Caja!$C$6:$C$505,"Cobro",Caja!$E$6:$E$505,"&lt;&gt;Traspaso entre cuentas"),IF(COUNTIFS(Caja!$K$6:$K$505,$B63,Caja!$C$6:$C$505,"Cobro")&gt;0,SUMIFS(Caja!$H$6:$H$505,Caja!$K$6:$K$505,$B63,Caja!$C$6:$C$505,"Cobro",Caja!$E$6:$E$505,"&lt;&gt;Traspaso entre cuentas"),$F$13)))</f>
        <v/>
      </c>
      <c r="D63" s="80">
        <f>IF($C$58="Solo estimación",SUM($C$16:$C$20)+SUMIFS(Facturas!$I$6:$I$205,Facturas!$O$6:$O$205,$B63)+$F$39,IF($C$58="Solo libro de Caja",SUMIFS(Caja!$H$6:$H$505,Caja!$K$6:$K$505,$B63,Caja!$C$6:$C$505,"Pago",Caja!$E$6:$E$505,"&lt;&gt;Traspaso entre cuentas"),IF(COUNTIFS(Caja!$K$6:$K$505,$B63,Caja!$C$6:$C$505,"Pago")&gt;0,SUMIFS(Caja!$H$6:$H$505,Caja!$K$6:$K$505,$B63,Caja!$C$6:$C$505,"Pago",Caja!$E$6:$E$505,"&lt;&gt;Traspaso entre cuentas"),SUM($C$16:$C$20)+SUMIFS(Facturas!$I$6:$I$205,Facturas!$O$6:$O$205,$B63)+$F$39)))</f>
        <v/>
      </c>
      <c r="E63" s="80">
        <f>$C63-$D63</f>
        <v/>
      </c>
      <c r="F63" s="71">
        <f>IFERROR($C63/$C62-1,"")</f>
        <v/>
      </c>
      <c r="G63" s="71">
        <f>IFERROR($D63/$D62-1,"")</f>
        <v/>
      </c>
      <c r="H63" s="71">
        <f>IFERROR($E63/$C63,"")</f>
        <v/>
      </c>
      <c r="I63" s="41">
        <f>IF($C$58="Solo estimación","🕐 Estimado",IF($C$58="Solo libro de Caja","📗 Caja real",IF(COUNTIFS(Caja!$K$6:$K$505,$B63)&gt;0,"📗 Caja real ("&amp;COUNTIFS(Caja!$K$6:$K$505,$B63)&amp;" apuntes)","🕐 Estimado")))</f>
        <v/>
      </c>
      <c r="J63" s="145" t="n"/>
      <c r="K63" s="145" t="n"/>
      <c r="L63" s="1" t="n"/>
      <c r="M63" s="145" t="n"/>
      <c r="N63" s="145" t="n"/>
      <c r="O63" s="145" t="n"/>
      <c r="P63" s="1" t="n"/>
      <c r="Q63" s="1" t="n"/>
      <c r="R63" s="1" t="n"/>
      <c r="S63" s="1" t="n"/>
      <c r="T63" s="1" t="n"/>
      <c r="U63" s="1" t="n"/>
      <c r="V63" s="1" t="n"/>
      <c r="W63" s="1" t="n"/>
      <c r="X63" s="1" t="n"/>
      <c r="Y63" s="1" t="n"/>
      <c r="Z63" s="1" t="n"/>
    </row>
    <row r="64" ht="15" customHeight="1" s="311">
      <c r="A64" s="145" t="n"/>
      <c r="B64" s="62">
        <f>TEXT(EDATE(Panel!$H$5,-1),"YYYY-MM")</f>
        <v/>
      </c>
      <c r="C64" s="80">
        <f>IF($C$58="Solo estimación",$F$13,IF($C$58="Solo libro de Caja",SUMIFS(Caja!$H$6:$H$505,Caja!$K$6:$K$505,$B64,Caja!$C$6:$C$505,"Cobro",Caja!$E$6:$E$505,"&lt;&gt;Traspaso entre cuentas"),IF(COUNTIFS(Caja!$K$6:$K$505,$B64,Caja!$C$6:$C$505,"Cobro")&gt;0,SUMIFS(Caja!$H$6:$H$505,Caja!$K$6:$K$505,$B64,Caja!$C$6:$C$505,"Cobro",Caja!$E$6:$E$505,"&lt;&gt;Traspaso entre cuentas"),$F$13)))</f>
        <v/>
      </c>
      <c r="D64" s="80">
        <f>IF($C$58="Solo estimación",SUM($C$16:$C$20)+SUMIFS(Facturas!$I$6:$I$205,Facturas!$O$6:$O$205,$B64)+$F$39,IF($C$58="Solo libro de Caja",SUMIFS(Caja!$H$6:$H$505,Caja!$K$6:$K$505,$B64,Caja!$C$6:$C$505,"Pago",Caja!$E$6:$E$505,"&lt;&gt;Traspaso entre cuentas"),IF(COUNTIFS(Caja!$K$6:$K$505,$B64,Caja!$C$6:$C$505,"Pago")&gt;0,SUMIFS(Caja!$H$6:$H$505,Caja!$K$6:$K$505,$B64,Caja!$C$6:$C$505,"Pago",Caja!$E$6:$E$505,"&lt;&gt;Traspaso entre cuentas"),SUM($C$16:$C$20)+SUMIFS(Facturas!$I$6:$I$205,Facturas!$O$6:$O$205,$B64)+$F$39)))</f>
        <v/>
      </c>
      <c r="E64" s="80">
        <f>$C64-$D64</f>
        <v/>
      </c>
      <c r="F64" s="71">
        <f>IFERROR($C64/$C63-1,"")</f>
        <v/>
      </c>
      <c r="G64" s="71">
        <f>IFERROR($D64/$D63-1,"")</f>
        <v/>
      </c>
      <c r="H64" s="71">
        <f>IFERROR($E64/$C64,"")</f>
        <v/>
      </c>
      <c r="I64" s="41">
        <f>IF($C$58="Solo estimación","🕐 Estimado",IF($C$58="Solo libro de Caja","📗 Caja real",IF(COUNTIFS(Caja!$K$6:$K$505,$B64)&gt;0,"📗 Caja real ("&amp;COUNTIFS(Caja!$K$6:$K$505,$B64)&amp;" apuntes)","🕐 Estimado")))</f>
        <v/>
      </c>
      <c r="J64" s="145" t="n"/>
      <c r="K64" s="145" t="n"/>
      <c r="L64" s="1" t="n"/>
      <c r="M64" s="145" t="n"/>
      <c r="N64" s="145" t="n"/>
      <c r="O64" s="145" t="n"/>
      <c r="P64" s="1" t="n"/>
      <c r="Q64" s="1" t="n"/>
      <c r="R64" s="1" t="n"/>
      <c r="S64" s="1" t="n"/>
      <c r="T64" s="1" t="n"/>
      <c r="U64" s="1" t="n"/>
      <c r="V64" s="1" t="n"/>
      <c r="W64" s="1" t="n"/>
      <c r="X64" s="1" t="n"/>
      <c r="Y64" s="1" t="n"/>
      <c r="Z64" s="1" t="n"/>
    </row>
    <row r="65" ht="15" customHeight="1" s="311">
      <c r="A65" s="145" t="n"/>
      <c r="B65" s="62">
        <f>TEXT(EDATE(Panel!$H$5,0),"YYYY-MM")</f>
        <v/>
      </c>
      <c r="C65" s="80">
        <f>IF($C$58="Solo estimación",$F$13,IF($C$58="Solo libro de Caja",SUMIFS(Caja!$H$6:$H$505,Caja!$K$6:$K$505,$B65,Caja!$C$6:$C$505,"Cobro",Caja!$E$6:$E$505,"&lt;&gt;Traspaso entre cuentas"),IF(COUNTIFS(Caja!$K$6:$K$505,$B65,Caja!$C$6:$C$505,"Cobro")&gt;0,SUMIFS(Caja!$H$6:$H$505,Caja!$K$6:$K$505,$B65,Caja!$C$6:$C$505,"Cobro",Caja!$E$6:$E$505,"&lt;&gt;Traspaso entre cuentas"),$F$13)))</f>
        <v/>
      </c>
      <c r="D65" s="80">
        <f>IF($C$58="Solo estimación",SUM($C$16:$C$20)+SUMIFS(Facturas!$I$6:$I$205,Facturas!$O$6:$O$205,$B65)+$F$39,IF($C$58="Solo libro de Caja",SUMIFS(Caja!$H$6:$H$505,Caja!$K$6:$K$505,$B65,Caja!$C$6:$C$505,"Pago",Caja!$E$6:$E$505,"&lt;&gt;Traspaso entre cuentas"),IF(COUNTIFS(Caja!$K$6:$K$505,$B65,Caja!$C$6:$C$505,"Pago")&gt;0,SUMIFS(Caja!$H$6:$H$505,Caja!$K$6:$K$505,$B65,Caja!$C$6:$C$505,"Pago",Caja!$E$6:$E$505,"&lt;&gt;Traspaso entre cuentas"),SUM($C$16:$C$20)+SUMIFS(Facturas!$I$6:$I$205,Facturas!$O$6:$O$205,$B65)+$F$39)))</f>
        <v/>
      </c>
      <c r="E65" s="80">
        <f>$C65-$D65</f>
        <v/>
      </c>
      <c r="F65" s="71">
        <f>IFERROR($C65/$C64-1,"")</f>
        <v/>
      </c>
      <c r="G65" s="71">
        <f>IFERROR($D65/$D64-1,"")</f>
        <v/>
      </c>
      <c r="H65" s="71">
        <f>IFERROR($E65/$C65,"")</f>
        <v/>
      </c>
      <c r="I65" s="41">
        <f>IF($C$58="Solo estimación","🕐 Estimado",IF($C$58="Solo libro de Caja","📗 Caja real",IF(COUNTIFS(Caja!$K$6:$K$505,$B65)&gt;0,"📗 Caja real ("&amp;COUNTIFS(Caja!$K$6:$K$505,$B65)&amp;" apuntes)","🕐 Estimado")))</f>
        <v/>
      </c>
      <c r="J65" s="145" t="n"/>
      <c r="K65" s="145" t="n"/>
      <c r="L65" s="1" t="n"/>
      <c r="M65" s="145" t="n"/>
      <c r="N65" s="145" t="n"/>
      <c r="O65" s="145" t="n"/>
      <c r="P65" s="1" t="n"/>
      <c r="Q65" s="1" t="n"/>
      <c r="R65" s="1" t="n"/>
      <c r="S65" s="1" t="n"/>
      <c r="T65" s="1" t="n"/>
      <c r="U65" s="1" t="n"/>
      <c r="V65" s="1" t="n"/>
      <c r="W65" s="1" t="n"/>
      <c r="X65" s="1" t="n"/>
      <c r="Y65" s="1" t="n"/>
      <c r="Z65" s="1" t="n"/>
    </row>
    <row r="66" ht="15" customHeight="1" s="311">
      <c r="A66" s="145" t="n"/>
      <c r="B66" s="62">
        <f>TEXT(EDATE(Panel!$H$5,1),"YYYY-MM")</f>
        <v/>
      </c>
      <c r="C66" s="80">
        <f>IF($C$58="Solo estimación",$F$13,IF($C$58="Solo libro de Caja",SUMIFS(Caja!$H$6:$H$505,Caja!$K$6:$K$505,$B66,Caja!$C$6:$C$505,"Cobro",Caja!$E$6:$E$505,"&lt;&gt;Traspaso entre cuentas"),IF(COUNTIFS(Caja!$K$6:$K$505,$B66,Caja!$C$6:$C$505,"Cobro")&gt;0,SUMIFS(Caja!$H$6:$H$505,Caja!$K$6:$K$505,$B66,Caja!$C$6:$C$505,"Cobro",Caja!$E$6:$E$505,"&lt;&gt;Traspaso entre cuentas"),$F$13)))</f>
        <v/>
      </c>
      <c r="D66" s="80">
        <f>IF($C$58="Solo estimación",SUM($C$16:$C$20)+SUMIFS(Facturas!$I$6:$I$205,Facturas!$O$6:$O$205,$B66)+$F$39,IF($C$58="Solo libro de Caja",SUMIFS(Caja!$H$6:$H$505,Caja!$K$6:$K$505,$B66,Caja!$C$6:$C$505,"Pago",Caja!$E$6:$E$505,"&lt;&gt;Traspaso entre cuentas"),IF(COUNTIFS(Caja!$K$6:$K$505,$B66,Caja!$C$6:$C$505,"Pago")&gt;0,SUMIFS(Caja!$H$6:$H$505,Caja!$K$6:$K$505,$B66,Caja!$C$6:$C$505,"Pago",Caja!$E$6:$E$505,"&lt;&gt;Traspaso entre cuentas"),SUM($C$16:$C$20)+SUMIFS(Facturas!$I$6:$I$205,Facturas!$O$6:$O$205,$B66)+$F$39)))</f>
        <v/>
      </c>
      <c r="E66" s="80">
        <f>$C66-$D66</f>
        <v/>
      </c>
      <c r="F66" s="71">
        <f>IFERROR($C66/$C65-1,"")</f>
        <v/>
      </c>
      <c r="G66" s="71">
        <f>IFERROR($D66/$D65-1,"")</f>
        <v/>
      </c>
      <c r="H66" s="71">
        <f>IFERROR($E66/$C66,"")</f>
        <v/>
      </c>
      <c r="I66" s="41">
        <f>IF($C$58="Solo estimación","🕐 Estimado",IF($C$58="Solo libro de Caja","📗 Caja real",IF(COUNTIFS(Caja!$K$6:$K$505,$B66)&gt;0,"📗 Caja real ("&amp;COUNTIFS(Caja!$K$6:$K$505,$B66)&amp;" apuntes)","🕐 Estimado")))</f>
        <v/>
      </c>
      <c r="J66" s="145" t="n"/>
      <c r="K66" s="145" t="n"/>
      <c r="L66" s="1" t="n"/>
      <c r="M66" s="145" t="n"/>
      <c r="N66" s="145" t="n"/>
      <c r="O66" s="145" t="n"/>
      <c r="P66" s="1" t="n"/>
      <c r="Q66" s="1" t="n"/>
      <c r="R66" s="1" t="n"/>
      <c r="S66" s="1" t="n"/>
      <c r="T66" s="1" t="n"/>
      <c r="U66" s="1" t="n"/>
      <c r="V66" s="1" t="n"/>
      <c r="W66" s="1" t="n"/>
      <c r="X66" s="1" t="n"/>
      <c r="Y66" s="1" t="n"/>
      <c r="Z66" s="1" t="n"/>
    </row>
    <row r="67" ht="15" customHeight="1" s="311">
      <c r="A67" s="145" t="n"/>
      <c r="B67" s="62">
        <f>TEXT(EDATE(Panel!$H$5,2),"YYYY-MM")</f>
        <v/>
      </c>
      <c r="C67" s="80">
        <f>IF($C$58="Solo estimación",$F$13,IF($C$58="Solo libro de Caja",SUMIFS(Caja!$H$6:$H$505,Caja!$K$6:$K$505,$B67,Caja!$C$6:$C$505,"Cobro",Caja!$E$6:$E$505,"&lt;&gt;Traspaso entre cuentas"),IF(COUNTIFS(Caja!$K$6:$K$505,$B67,Caja!$C$6:$C$505,"Cobro")&gt;0,SUMIFS(Caja!$H$6:$H$505,Caja!$K$6:$K$505,$B67,Caja!$C$6:$C$505,"Cobro",Caja!$E$6:$E$505,"&lt;&gt;Traspaso entre cuentas"),$F$13)))</f>
        <v/>
      </c>
      <c r="D67" s="80">
        <f>IF($C$58="Solo estimación",SUM($C$16:$C$20)+SUMIFS(Facturas!$I$6:$I$205,Facturas!$O$6:$O$205,$B67)+$F$39,IF($C$58="Solo libro de Caja",SUMIFS(Caja!$H$6:$H$505,Caja!$K$6:$K$505,$B67,Caja!$C$6:$C$505,"Pago",Caja!$E$6:$E$505,"&lt;&gt;Traspaso entre cuentas"),IF(COUNTIFS(Caja!$K$6:$K$505,$B67,Caja!$C$6:$C$505,"Pago")&gt;0,SUMIFS(Caja!$H$6:$H$505,Caja!$K$6:$K$505,$B67,Caja!$C$6:$C$505,"Pago",Caja!$E$6:$E$505,"&lt;&gt;Traspaso entre cuentas"),SUM($C$16:$C$20)+SUMIFS(Facturas!$I$6:$I$205,Facturas!$O$6:$O$205,$B67)+$F$39)))</f>
        <v/>
      </c>
      <c r="E67" s="80">
        <f>$C67-$D67</f>
        <v/>
      </c>
      <c r="F67" s="71">
        <f>IFERROR($C67/$C66-1,"")</f>
        <v/>
      </c>
      <c r="G67" s="71">
        <f>IFERROR($D67/$D66-1,"")</f>
        <v/>
      </c>
      <c r="H67" s="71">
        <f>IFERROR($E67/$C67,"")</f>
        <v/>
      </c>
      <c r="I67" s="41">
        <f>IF($C$58="Solo estimación","🕐 Estimado",IF($C$58="Solo libro de Caja","📗 Caja real",IF(COUNTIFS(Caja!$K$6:$K$505,$B67)&gt;0,"📗 Caja real ("&amp;COUNTIFS(Caja!$K$6:$K$505,$B67)&amp;" apuntes)","🕐 Estimado")))</f>
        <v/>
      </c>
      <c r="J67" s="145" t="n"/>
      <c r="K67" s="145" t="n"/>
      <c r="L67" s="1" t="n"/>
      <c r="M67" s="145" t="n"/>
      <c r="N67" s="145" t="n"/>
      <c r="O67" s="145" t="n"/>
      <c r="P67" s="1" t="n"/>
      <c r="Q67" s="1" t="n"/>
      <c r="R67" s="1" t="n"/>
      <c r="S67" s="1" t="n"/>
      <c r="T67" s="1" t="n"/>
      <c r="U67" s="1" t="n"/>
      <c r="V67" s="1" t="n"/>
      <c r="W67" s="1" t="n"/>
      <c r="X67" s="1" t="n"/>
      <c r="Y67" s="1" t="n"/>
      <c r="Z67" s="1" t="n"/>
    </row>
    <row r="68" ht="15" customHeight="1" s="311">
      <c r="A68" s="145" t="n"/>
      <c r="B68" s="62">
        <f>TEXT(EDATE(Panel!$H$5,3),"YYYY-MM")</f>
        <v/>
      </c>
      <c r="C68" s="80">
        <f>IF($C$58="Solo estimación",$F$13,IF($C$58="Solo libro de Caja",SUMIFS(Caja!$H$6:$H$505,Caja!$K$6:$K$505,$B68,Caja!$C$6:$C$505,"Cobro",Caja!$E$6:$E$505,"&lt;&gt;Traspaso entre cuentas"),IF(COUNTIFS(Caja!$K$6:$K$505,$B68,Caja!$C$6:$C$505,"Cobro")&gt;0,SUMIFS(Caja!$H$6:$H$505,Caja!$K$6:$K$505,$B68,Caja!$C$6:$C$505,"Cobro",Caja!$E$6:$E$505,"&lt;&gt;Traspaso entre cuentas"),$F$13)))</f>
        <v/>
      </c>
      <c r="D68" s="80">
        <f>IF($C$58="Solo estimación",SUM($C$16:$C$20)+SUMIFS(Facturas!$I$6:$I$205,Facturas!$O$6:$O$205,$B68)+$F$39,IF($C$58="Solo libro de Caja",SUMIFS(Caja!$H$6:$H$505,Caja!$K$6:$K$505,$B68,Caja!$C$6:$C$505,"Pago",Caja!$E$6:$E$505,"&lt;&gt;Traspaso entre cuentas"),IF(COUNTIFS(Caja!$K$6:$K$505,$B68,Caja!$C$6:$C$505,"Pago")&gt;0,SUMIFS(Caja!$H$6:$H$505,Caja!$K$6:$K$505,$B68,Caja!$C$6:$C$505,"Pago",Caja!$E$6:$E$505,"&lt;&gt;Traspaso entre cuentas"),SUM($C$16:$C$20)+SUMIFS(Facturas!$I$6:$I$205,Facturas!$O$6:$O$205,$B68)+$F$39)))</f>
        <v/>
      </c>
      <c r="E68" s="80">
        <f>$C68-$D68</f>
        <v/>
      </c>
      <c r="F68" s="71">
        <f>IFERROR($C68/$C67-1,"")</f>
        <v/>
      </c>
      <c r="G68" s="71">
        <f>IFERROR($D68/$D67-1,"")</f>
        <v/>
      </c>
      <c r="H68" s="71">
        <f>IFERROR($E68/$C68,"")</f>
        <v/>
      </c>
      <c r="I68" s="41">
        <f>IF($C$58="Solo estimación","🕐 Estimado",IF($C$58="Solo libro de Caja","📗 Caja real",IF(COUNTIFS(Caja!$K$6:$K$505,$B68)&gt;0,"📗 Caja real ("&amp;COUNTIFS(Caja!$K$6:$K$505,$B68)&amp;" apuntes)","🕐 Estimado")))</f>
        <v/>
      </c>
      <c r="J68" s="145" t="n"/>
      <c r="K68" s="145" t="n"/>
      <c r="L68" s="1" t="n"/>
      <c r="M68" s="145" t="n"/>
      <c r="N68" s="145" t="n"/>
      <c r="O68" s="145" t="n"/>
      <c r="P68" s="1" t="n"/>
      <c r="Q68" s="1" t="n"/>
      <c r="R68" s="1" t="n"/>
      <c r="S68" s="1" t="n"/>
      <c r="T68" s="1" t="n"/>
      <c r="U68" s="1" t="n"/>
      <c r="V68" s="1" t="n"/>
      <c r="W68" s="1" t="n"/>
      <c r="X68" s="1" t="n"/>
      <c r="Y68" s="1" t="n"/>
      <c r="Z68" s="1" t="n"/>
    </row>
    <row r="69" ht="15" customHeight="1" s="311">
      <c r="A69" s="145" t="n"/>
      <c r="B69" s="62">
        <f>TEXT(EDATE(Panel!$H$5,4),"YYYY-MM")</f>
        <v/>
      </c>
      <c r="C69" s="80">
        <f>IF($C$58="Solo estimación",$F$13,IF($C$58="Solo libro de Caja",SUMIFS(Caja!$H$6:$H$505,Caja!$K$6:$K$505,$B69,Caja!$C$6:$C$505,"Cobro",Caja!$E$6:$E$505,"&lt;&gt;Traspaso entre cuentas"),IF(COUNTIFS(Caja!$K$6:$K$505,$B69,Caja!$C$6:$C$505,"Cobro")&gt;0,SUMIFS(Caja!$H$6:$H$505,Caja!$K$6:$K$505,$B69,Caja!$C$6:$C$505,"Cobro",Caja!$E$6:$E$505,"&lt;&gt;Traspaso entre cuentas"),$F$13)))</f>
        <v/>
      </c>
      <c r="D69" s="80">
        <f>IF($C$58="Solo estimación",SUM($C$16:$C$20)+SUMIFS(Facturas!$I$6:$I$205,Facturas!$O$6:$O$205,$B69)+$F$39,IF($C$58="Solo libro de Caja",SUMIFS(Caja!$H$6:$H$505,Caja!$K$6:$K$505,$B69,Caja!$C$6:$C$505,"Pago",Caja!$E$6:$E$505,"&lt;&gt;Traspaso entre cuentas"),IF(COUNTIFS(Caja!$K$6:$K$505,$B69,Caja!$C$6:$C$505,"Pago")&gt;0,SUMIFS(Caja!$H$6:$H$505,Caja!$K$6:$K$505,$B69,Caja!$C$6:$C$505,"Pago",Caja!$E$6:$E$505,"&lt;&gt;Traspaso entre cuentas"),SUM($C$16:$C$20)+SUMIFS(Facturas!$I$6:$I$205,Facturas!$O$6:$O$205,$B69)+$F$39)))</f>
        <v/>
      </c>
      <c r="E69" s="80">
        <f>$C69-$D69</f>
        <v/>
      </c>
      <c r="F69" s="71">
        <f>IFERROR($C69/$C68-1,"")</f>
        <v/>
      </c>
      <c r="G69" s="71">
        <f>IFERROR($D69/$D68-1,"")</f>
        <v/>
      </c>
      <c r="H69" s="71">
        <f>IFERROR($E69/$C69,"")</f>
        <v/>
      </c>
      <c r="I69" s="41">
        <f>IF($C$58="Solo estimación","🕐 Estimado",IF($C$58="Solo libro de Caja","📗 Caja real",IF(COUNTIFS(Caja!$K$6:$K$505,$B69)&gt;0,"📗 Caja real ("&amp;COUNTIFS(Caja!$K$6:$K$505,$B69)&amp;" apuntes)","🕐 Estimado")))</f>
        <v/>
      </c>
      <c r="J69" s="145" t="n"/>
      <c r="K69" s="145" t="n"/>
      <c r="L69" s="1" t="n"/>
      <c r="M69" s="145" t="n"/>
      <c r="N69" s="145" t="n"/>
      <c r="O69" s="145" t="n"/>
      <c r="P69" s="1" t="n"/>
      <c r="Q69" s="1" t="n"/>
      <c r="R69" s="1" t="n"/>
      <c r="S69" s="1" t="n"/>
      <c r="T69" s="1" t="n"/>
      <c r="U69" s="1" t="n"/>
      <c r="V69" s="1" t="n"/>
      <c r="W69" s="1" t="n"/>
      <c r="X69" s="1" t="n"/>
      <c r="Y69" s="1" t="n"/>
      <c r="Z69" s="1" t="n"/>
    </row>
    <row r="70" ht="15" customHeight="1" s="311">
      <c r="A70" s="145" t="n"/>
      <c r="B70" s="62">
        <f>TEXT(EDATE(Panel!$H$5,5),"YYYY-MM")</f>
        <v/>
      </c>
      <c r="C70" s="80">
        <f>IF($C$58="Solo estimación",$F$13,IF($C$58="Solo libro de Caja",SUMIFS(Caja!$H$6:$H$505,Caja!$K$6:$K$505,$B70,Caja!$C$6:$C$505,"Cobro",Caja!$E$6:$E$505,"&lt;&gt;Traspaso entre cuentas"),IF(COUNTIFS(Caja!$K$6:$K$505,$B70,Caja!$C$6:$C$505,"Cobro")&gt;0,SUMIFS(Caja!$H$6:$H$505,Caja!$K$6:$K$505,$B70,Caja!$C$6:$C$505,"Cobro",Caja!$E$6:$E$505,"&lt;&gt;Traspaso entre cuentas"),$F$13)))</f>
        <v/>
      </c>
      <c r="D70" s="80">
        <f>IF($C$58="Solo estimación",SUM($C$16:$C$20)+SUMIFS(Facturas!$I$6:$I$205,Facturas!$O$6:$O$205,$B70)+$F$39,IF($C$58="Solo libro de Caja",SUMIFS(Caja!$H$6:$H$505,Caja!$K$6:$K$505,$B70,Caja!$C$6:$C$505,"Pago",Caja!$E$6:$E$505,"&lt;&gt;Traspaso entre cuentas"),IF(COUNTIFS(Caja!$K$6:$K$505,$B70,Caja!$C$6:$C$505,"Pago")&gt;0,SUMIFS(Caja!$H$6:$H$505,Caja!$K$6:$K$505,$B70,Caja!$C$6:$C$505,"Pago",Caja!$E$6:$E$505,"&lt;&gt;Traspaso entre cuentas"),SUM($C$16:$C$20)+SUMIFS(Facturas!$I$6:$I$205,Facturas!$O$6:$O$205,$B70)+$F$39)))</f>
        <v/>
      </c>
      <c r="E70" s="80">
        <f>$C70-$D70</f>
        <v/>
      </c>
      <c r="F70" s="71">
        <f>IFERROR($C70/$C69-1,"")</f>
        <v/>
      </c>
      <c r="G70" s="71">
        <f>IFERROR($D70/$D69-1,"")</f>
        <v/>
      </c>
      <c r="H70" s="71">
        <f>IFERROR($E70/$C70,"")</f>
        <v/>
      </c>
      <c r="I70" s="41">
        <f>IF($C$58="Solo estimación","🕐 Estimado",IF($C$58="Solo libro de Caja","📗 Caja real",IF(COUNTIFS(Caja!$K$6:$K$505,$B70)&gt;0,"📗 Caja real ("&amp;COUNTIFS(Caja!$K$6:$K$505,$B70)&amp;" apuntes)","🕐 Estimado")))</f>
        <v/>
      </c>
      <c r="J70" s="145" t="n"/>
      <c r="K70" s="145" t="n"/>
      <c r="L70" s="1" t="n"/>
      <c r="M70" s="145" t="n"/>
      <c r="N70" s="145" t="n"/>
      <c r="O70" s="145" t="n"/>
      <c r="P70" s="1" t="n"/>
      <c r="Q70" s="1" t="n"/>
      <c r="R70" s="1" t="n"/>
      <c r="S70" s="1" t="n"/>
      <c r="T70" s="1" t="n"/>
      <c r="U70" s="1" t="n"/>
      <c r="V70" s="1" t="n"/>
      <c r="W70" s="1" t="n"/>
      <c r="X70" s="1" t="n"/>
      <c r="Y70" s="1" t="n"/>
      <c r="Z70" s="1" t="n"/>
    </row>
    <row r="71" ht="15" customHeight="1" s="311">
      <c r="A71" s="145" t="n"/>
      <c r="B71" s="62">
        <f>TEXT(EDATE(Panel!$H$5,6),"YYYY-MM")</f>
        <v/>
      </c>
      <c r="C71" s="80">
        <f>IF($C$58="Solo estimación",$F$13,IF($C$58="Solo libro de Caja",SUMIFS(Caja!$H$6:$H$505,Caja!$K$6:$K$505,$B71,Caja!$C$6:$C$505,"Cobro",Caja!$E$6:$E$505,"&lt;&gt;Traspaso entre cuentas"),IF(COUNTIFS(Caja!$K$6:$K$505,$B71,Caja!$C$6:$C$505,"Cobro")&gt;0,SUMIFS(Caja!$H$6:$H$505,Caja!$K$6:$K$505,$B71,Caja!$C$6:$C$505,"Cobro",Caja!$E$6:$E$505,"&lt;&gt;Traspaso entre cuentas"),$F$13)))</f>
        <v/>
      </c>
      <c r="D71" s="80">
        <f>IF($C$58="Solo estimación",SUM($C$16:$C$20)+SUMIFS(Facturas!$I$6:$I$205,Facturas!$O$6:$O$205,$B71)+$F$39,IF($C$58="Solo libro de Caja",SUMIFS(Caja!$H$6:$H$505,Caja!$K$6:$K$505,$B71,Caja!$C$6:$C$505,"Pago",Caja!$E$6:$E$505,"&lt;&gt;Traspaso entre cuentas"),IF(COUNTIFS(Caja!$K$6:$K$505,$B71,Caja!$C$6:$C$505,"Pago")&gt;0,SUMIFS(Caja!$H$6:$H$505,Caja!$K$6:$K$505,$B71,Caja!$C$6:$C$505,"Pago",Caja!$E$6:$E$505,"&lt;&gt;Traspaso entre cuentas"),SUM($C$16:$C$20)+SUMIFS(Facturas!$I$6:$I$205,Facturas!$O$6:$O$205,$B71)+$F$39)))</f>
        <v/>
      </c>
      <c r="E71" s="80">
        <f>$C71-$D71</f>
        <v/>
      </c>
      <c r="F71" s="71">
        <f>IFERROR($C71/$C70-1,"")</f>
        <v/>
      </c>
      <c r="G71" s="71">
        <f>IFERROR($D71/$D70-1,"")</f>
        <v/>
      </c>
      <c r="H71" s="71">
        <f>IFERROR($E71/$C71,"")</f>
        <v/>
      </c>
      <c r="I71" s="41">
        <f>IF($C$58="Solo estimación","🕐 Estimado",IF($C$58="Solo libro de Caja","📗 Caja real",IF(COUNTIFS(Caja!$K$6:$K$505,$B71)&gt;0,"📗 Caja real ("&amp;COUNTIFS(Caja!$K$6:$K$505,$B71)&amp;" apuntes)","🕐 Estimado")))</f>
        <v/>
      </c>
      <c r="J71" s="145" t="n"/>
      <c r="K71" s="145" t="n"/>
      <c r="L71" s="1" t="n"/>
      <c r="M71" s="145" t="n"/>
      <c r="N71" s="145" t="n"/>
      <c r="O71" s="145" t="n"/>
      <c r="P71" s="1" t="n"/>
      <c r="Q71" s="1" t="n"/>
      <c r="R71" s="1" t="n"/>
      <c r="S71" s="1" t="n"/>
      <c r="T71" s="1" t="n"/>
      <c r="U71" s="1" t="n"/>
      <c r="V71" s="1" t="n"/>
      <c r="W71" s="1" t="n"/>
      <c r="X71" s="1" t="n"/>
      <c r="Y71" s="1" t="n"/>
      <c r="Z71" s="1" t="n"/>
    </row>
    <row r="72" ht="42.75" customHeight="1" s="311">
      <c r="A72" s="145" t="n"/>
      <c r="B72" s="38" t="inlineStr">
        <is>
          <t>MEDIA DEL PERIODO</t>
        </is>
      </c>
      <c r="C72" s="68">
        <f>AVERAGE(C$60:C$71)</f>
        <v/>
      </c>
      <c r="D72" s="68">
        <f>AVERAGE(D$60:D$71)</f>
        <v/>
      </c>
      <c r="E72" s="68">
        <f>AVERAGE(E$60:E$71)</f>
        <v/>
      </c>
      <c r="F72" s="39" t="n"/>
      <c r="G72" s="39" t="n"/>
      <c r="H72" s="77">
        <f>IFERROR($E$72/$C$72,"")</f>
        <v/>
      </c>
      <c r="I72" s="39" t="n"/>
      <c r="J72" s="145" t="n"/>
      <c r="K72" s="145" t="n"/>
      <c r="L72" s="1" t="n"/>
      <c r="M72" s="145" t="n"/>
      <c r="N72" s="145" t="n"/>
      <c r="O72" s="145" t="n"/>
      <c r="P72" s="1" t="n"/>
      <c r="Q72" s="1" t="n"/>
      <c r="R72" s="1" t="n"/>
      <c r="S72" s="1" t="n"/>
      <c r="T72" s="1" t="n"/>
      <c r="U72" s="1" t="n"/>
      <c r="V72" s="1" t="n"/>
      <c r="W72" s="1" t="n"/>
      <c r="X72" s="1" t="n"/>
      <c r="Y72" s="1" t="n"/>
      <c r="Z72" s="1" t="n"/>
    </row>
    <row r="73" ht="15" customHeight="1" s="311">
      <c r="A73" s="145" t="n"/>
      <c r="B73" s="23" t="inlineStr">
        <is>
          <t>MES CON MÁS GASTO</t>
        </is>
      </c>
      <c r="C73" s="62">
        <f t="array" ref="C73">IFERROR(INDEX($B$60:$B$71,MATCH(MAX($D$60:$D$71),$D$60:$D$71,0)),"")</f>
        <v/>
      </c>
      <c r="D73" s="80">
        <f>MAX($D$60:$D$71)</f>
        <v/>
      </c>
      <c r="E73" s="145" t="n"/>
      <c r="F73" s="145" t="n"/>
      <c r="G73" s="145" t="n"/>
      <c r="H73" s="145" t="n"/>
      <c r="I73" s="145" t="n"/>
      <c r="J73" s="145" t="n"/>
      <c r="K73" s="145" t="n"/>
      <c r="L73" s="1" t="n"/>
      <c r="M73" s="145" t="n"/>
      <c r="N73" s="145" t="n"/>
      <c r="O73" s="145" t="n"/>
      <c r="P73" s="1" t="n"/>
      <c r="Q73" s="1" t="n"/>
      <c r="R73" s="1" t="n"/>
      <c r="S73" s="1" t="n"/>
      <c r="T73" s="1" t="n"/>
      <c r="U73" s="1" t="n"/>
      <c r="V73" s="1" t="n"/>
      <c r="W73" s="1" t="n"/>
      <c r="X73" s="1" t="n"/>
      <c r="Y73" s="1" t="n"/>
      <c r="Z73" s="1" t="n"/>
    </row>
    <row r="74" ht="15" customHeight="1" s="311">
      <c r="A74" s="145" t="n"/>
      <c r="B74" s="23" t="inlineStr">
        <is>
          <t>MES CON PEOR RESULTADO</t>
        </is>
      </c>
      <c r="C74" s="62">
        <f t="array" ref="C74">IFERROR(INDEX($B$60:$B$71,MATCH(MIN($E$60:$E$71),$E$60:$E$71,0)),"")</f>
        <v/>
      </c>
      <c r="D74" s="80">
        <f>MIN($E$60:$E$71)</f>
        <v/>
      </c>
      <c r="E74" s="145" t="n"/>
      <c r="F74" s="145" t="n"/>
      <c r="G74" s="145" t="n"/>
      <c r="H74" s="145" t="n"/>
      <c r="I74" s="145" t="n"/>
      <c r="J74" s="145" t="n"/>
      <c r="K74" s="145" t="n"/>
      <c r="L74" s="1" t="n"/>
      <c r="M74" s="145" t="n"/>
      <c r="N74" s="145" t="n"/>
      <c r="O74" s="145" t="n"/>
      <c r="P74" s="1" t="n"/>
      <c r="Q74" s="1" t="n"/>
      <c r="R74" s="1" t="n"/>
      <c r="S74" s="1" t="n"/>
      <c r="T74" s="1" t="n"/>
      <c r="U74" s="1" t="n"/>
      <c r="V74" s="1" t="n"/>
      <c r="W74" s="1" t="n"/>
      <c r="X74" s="1" t="n"/>
      <c r="Y74" s="1" t="n"/>
      <c r="Z74" s="1" t="n"/>
    </row>
    <row r="75" ht="15.75" customHeight="1" s="311">
      <c r="A75" s="145" t="n"/>
      <c r="B75" s="145" t="n"/>
      <c r="C75" s="145" t="n"/>
      <c r="D75" s="145" t="n"/>
      <c r="E75" s="145" t="n"/>
      <c r="F75" s="145" t="n"/>
      <c r="G75" s="145" t="n"/>
      <c r="H75" s="145" t="n"/>
      <c r="I75" s="145" t="n"/>
      <c r="J75" s="145" t="n"/>
      <c r="K75" s="145" t="n"/>
      <c r="L75" s="1" t="n"/>
      <c r="M75" s="145" t="n"/>
      <c r="N75" s="145" t="n"/>
      <c r="O75" s="145" t="n"/>
      <c r="P75" s="1" t="n"/>
      <c r="Q75" s="1" t="n"/>
      <c r="R75" s="1" t="n"/>
      <c r="S75" s="1" t="n"/>
      <c r="T75" s="1" t="n"/>
      <c r="U75" s="1" t="n"/>
      <c r="V75" s="1" t="n"/>
      <c r="W75" s="1" t="n"/>
      <c r="X75" s="1" t="n"/>
      <c r="Y75" s="1" t="n"/>
      <c r="Z75" s="1" t="n"/>
    </row>
    <row r="76" ht="15.75" customHeight="1" s="311">
      <c r="A76" s="145" t="n"/>
      <c r="B76" s="145" t="n"/>
      <c r="C76" s="145" t="n"/>
      <c r="D76" s="145" t="n"/>
      <c r="E76" s="145" t="n"/>
      <c r="F76" s="145" t="n"/>
      <c r="G76" s="145" t="n"/>
      <c r="H76" s="145" t="n"/>
      <c r="I76" s="145" t="n"/>
      <c r="J76" s="145" t="n"/>
      <c r="K76" s="145" t="n"/>
      <c r="L76" s="1" t="n"/>
      <c r="M76" s="145" t="n"/>
      <c r="N76" s="145" t="n"/>
      <c r="O76" s="145" t="n"/>
      <c r="P76" s="1" t="n"/>
      <c r="Q76" s="1" t="n"/>
      <c r="R76" s="1" t="n"/>
      <c r="S76" s="1" t="n"/>
      <c r="T76" s="1" t="n"/>
      <c r="U76" s="1" t="n"/>
      <c r="V76" s="1" t="n"/>
      <c r="W76" s="1" t="n"/>
      <c r="X76" s="1" t="n"/>
      <c r="Y76" s="1" t="n"/>
      <c r="Z76" s="1" t="n"/>
    </row>
    <row r="77" ht="15.75" customHeight="1" s="311">
      <c r="A77" s="145" t="n"/>
      <c r="B77" s="145" t="n"/>
      <c r="C77" s="145" t="n"/>
      <c r="D77" s="145" t="n"/>
      <c r="E77" s="145" t="n"/>
      <c r="F77" s="145" t="n"/>
      <c r="G77" s="145" t="n"/>
      <c r="H77" s="145" t="n"/>
      <c r="I77" s="145" t="n"/>
      <c r="J77" s="145" t="n"/>
      <c r="K77" s="145" t="n"/>
      <c r="L77" s="1" t="n"/>
      <c r="M77" s="145" t="n"/>
      <c r="N77" s="145" t="n"/>
      <c r="O77" s="145" t="n"/>
      <c r="P77" s="1" t="n"/>
      <c r="Q77" s="1" t="n"/>
      <c r="R77" s="1" t="n"/>
      <c r="S77" s="1" t="n"/>
      <c r="T77" s="1" t="n"/>
      <c r="U77" s="1" t="n"/>
      <c r="V77" s="1" t="n"/>
      <c r="W77" s="1" t="n"/>
      <c r="X77" s="1" t="n"/>
      <c r="Y77" s="1" t="n"/>
      <c r="Z77" s="1" t="n"/>
    </row>
    <row r="78" ht="15.75" customHeight="1" s="311">
      <c r="A78" s="145" t="n"/>
      <c r="B78" s="145" t="n"/>
      <c r="C78" s="145" t="n"/>
      <c r="D78" s="145" t="n"/>
      <c r="E78" s="145" t="n"/>
      <c r="F78" s="145" t="n"/>
      <c r="G78" s="145" t="n"/>
      <c r="H78" s="145" t="n"/>
      <c r="I78" s="145" t="n"/>
      <c r="J78" s="145" t="n"/>
      <c r="K78" s="145" t="n"/>
      <c r="L78" s="1" t="n"/>
      <c r="M78" s="145" t="n"/>
      <c r="N78" s="145" t="n"/>
      <c r="O78" s="145" t="n"/>
      <c r="P78" s="1" t="n"/>
      <c r="Q78" s="1" t="n"/>
      <c r="R78" s="1" t="n"/>
      <c r="S78" s="1" t="n"/>
      <c r="T78" s="1" t="n"/>
      <c r="U78" s="1" t="n"/>
      <c r="V78" s="1" t="n"/>
      <c r="W78" s="1" t="n"/>
      <c r="X78" s="1" t="n"/>
      <c r="Y78" s="1" t="n"/>
      <c r="Z78" s="1" t="n"/>
    </row>
    <row r="79" ht="15.75" customHeight="1" s="311">
      <c r="A79" s="145" t="n"/>
      <c r="B79" s="145" t="n"/>
      <c r="C79" s="145" t="n"/>
      <c r="D79" s="145" t="n"/>
      <c r="E79" s="145" t="n"/>
      <c r="F79" s="145" t="n"/>
      <c r="G79" s="145" t="n"/>
      <c r="H79" s="145" t="n"/>
      <c r="I79" s="145" t="n"/>
      <c r="J79" s="145" t="n"/>
      <c r="K79" s="145" t="n"/>
      <c r="L79" s="1" t="n"/>
      <c r="M79" s="145" t="n"/>
      <c r="N79" s="145" t="n"/>
      <c r="O79" s="145" t="n"/>
      <c r="P79" s="1" t="n"/>
      <c r="Q79" s="1" t="n"/>
      <c r="R79" s="1" t="n"/>
      <c r="S79" s="1" t="n"/>
      <c r="T79" s="1" t="n"/>
      <c r="U79" s="1" t="n"/>
      <c r="V79" s="1" t="n"/>
      <c r="W79" s="1" t="n"/>
      <c r="X79" s="1" t="n"/>
      <c r="Y79" s="1" t="n"/>
      <c r="Z79" s="1" t="n"/>
    </row>
    <row r="80" ht="15.75" customHeight="1" s="311">
      <c r="A80" s="145" t="n"/>
      <c r="B80" s="145" t="n"/>
      <c r="C80" s="145" t="n"/>
      <c r="D80" s="145" t="n"/>
      <c r="E80" s="145" t="n"/>
      <c r="F80" s="145" t="n"/>
      <c r="G80" s="145" t="n"/>
      <c r="H80" s="145" t="n"/>
      <c r="I80" s="145" t="n"/>
      <c r="J80" s="145" t="n"/>
      <c r="K80" s="145" t="n"/>
      <c r="L80" s="1" t="n"/>
      <c r="M80" s="145" t="n"/>
      <c r="N80" s="145" t="n"/>
      <c r="O80" s="145" t="n"/>
      <c r="P80" s="1" t="n"/>
      <c r="Q80" s="1" t="n"/>
      <c r="R80" s="1" t="n"/>
      <c r="S80" s="1" t="n"/>
      <c r="T80" s="1" t="n"/>
      <c r="U80" s="1" t="n"/>
      <c r="V80" s="1" t="n"/>
      <c r="W80" s="1" t="n"/>
      <c r="X80" s="1" t="n"/>
      <c r="Y80" s="1" t="n"/>
      <c r="Z80" s="1" t="n"/>
    </row>
    <row r="81" ht="15.75" customHeight="1" s="311">
      <c r="A81" s="145" t="n"/>
      <c r="B81" s="145" t="n"/>
      <c r="C81" s="145" t="n"/>
      <c r="D81" s="145" t="n"/>
      <c r="E81" s="145" t="n"/>
      <c r="F81" s="145" t="n"/>
      <c r="G81" s="145" t="n"/>
      <c r="H81" s="145" t="n"/>
      <c r="I81" s="145" t="n"/>
      <c r="J81" s="145" t="n"/>
      <c r="K81" s="145" t="n"/>
      <c r="L81" s="1" t="n"/>
      <c r="M81" s="145" t="n"/>
      <c r="N81" s="145" t="n"/>
      <c r="O81" s="145" t="n"/>
      <c r="P81" s="1" t="n"/>
      <c r="Q81" s="1" t="n"/>
      <c r="R81" s="1" t="n"/>
      <c r="S81" s="1" t="n"/>
      <c r="T81" s="1" t="n"/>
      <c r="U81" s="1" t="n"/>
      <c r="V81" s="1" t="n"/>
      <c r="W81" s="1" t="n"/>
      <c r="X81" s="1" t="n"/>
      <c r="Y81" s="1" t="n"/>
      <c r="Z81" s="1" t="n"/>
    </row>
    <row r="82" ht="15.75" customHeight="1" s="311">
      <c r="A82" s="145" t="n"/>
      <c r="B82" s="145" t="n"/>
      <c r="C82" s="145" t="n"/>
      <c r="D82" s="145" t="n"/>
      <c r="E82" s="145" t="n"/>
      <c r="F82" s="145" t="n"/>
      <c r="G82" s="145" t="n"/>
      <c r="H82" s="145" t="n"/>
      <c r="I82" s="145" t="n"/>
      <c r="J82" s="145" t="n"/>
      <c r="K82" s="145" t="n"/>
      <c r="L82" s="1" t="n"/>
      <c r="M82" s="145" t="n"/>
      <c r="N82" s="145" t="n"/>
      <c r="O82" s="145" t="n"/>
      <c r="P82" s="1" t="n"/>
      <c r="Q82" s="1" t="n"/>
      <c r="R82" s="1" t="n"/>
      <c r="S82" s="1" t="n"/>
      <c r="T82" s="1" t="n"/>
      <c r="U82" s="1" t="n"/>
      <c r="V82" s="1" t="n"/>
      <c r="W82" s="1" t="n"/>
      <c r="X82" s="1" t="n"/>
      <c r="Y82" s="1" t="n"/>
      <c r="Z82" s="1" t="n"/>
    </row>
    <row r="83" ht="15.75" customHeight="1" s="311">
      <c r="A83" s="145" t="n"/>
      <c r="B83" s="145" t="n"/>
      <c r="C83" s="145" t="n"/>
      <c r="D83" s="145" t="n"/>
      <c r="E83" s="145" t="n"/>
      <c r="F83" s="145" t="n"/>
      <c r="G83" s="145" t="n"/>
      <c r="H83" s="145" t="n"/>
      <c r="I83" s="145" t="n"/>
      <c r="J83" s="145" t="n"/>
      <c r="K83" s="145" t="n"/>
      <c r="L83" s="1" t="n"/>
      <c r="M83" s="145" t="n"/>
      <c r="N83" s="145" t="n"/>
      <c r="O83" s="145" t="n"/>
      <c r="P83" s="1" t="n"/>
      <c r="Q83" s="1" t="n"/>
      <c r="R83" s="1" t="n"/>
      <c r="S83" s="1" t="n"/>
      <c r="T83" s="1" t="n"/>
      <c r="U83" s="1" t="n"/>
      <c r="V83" s="1" t="n"/>
      <c r="W83" s="1" t="n"/>
      <c r="X83" s="1" t="n"/>
      <c r="Y83" s="1" t="n"/>
      <c r="Z83" s="1" t="n"/>
    </row>
    <row r="84" ht="15.75" customHeight="1" s="311">
      <c r="A84" s="145" t="n"/>
      <c r="B84" s="145" t="n"/>
      <c r="C84" s="145" t="n"/>
      <c r="D84" s="145" t="n"/>
      <c r="E84" s="145" t="n"/>
      <c r="F84" s="145" t="n"/>
      <c r="G84" s="145" t="n"/>
      <c r="H84" s="145" t="n"/>
      <c r="I84" s="145" t="n"/>
      <c r="J84" s="145" t="n"/>
      <c r="K84" s="145" t="n"/>
      <c r="L84" s="1" t="n"/>
      <c r="M84" s="145" t="n"/>
      <c r="N84" s="145" t="n"/>
      <c r="O84" s="145" t="n"/>
      <c r="P84" s="1" t="n"/>
      <c r="Q84" s="1" t="n"/>
      <c r="R84" s="1" t="n"/>
      <c r="S84" s="1" t="n"/>
      <c r="T84" s="1" t="n"/>
      <c r="U84" s="1" t="n"/>
      <c r="V84" s="1" t="n"/>
      <c r="W84" s="1" t="n"/>
      <c r="X84" s="1" t="n"/>
      <c r="Y84" s="1" t="n"/>
      <c r="Z84" s="1" t="n"/>
    </row>
    <row r="85" ht="15.75" customHeight="1" s="311">
      <c r="A85" s="145" t="n"/>
      <c r="B85" s="145" t="n"/>
      <c r="C85" s="145" t="n"/>
      <c r="D85" s="145" t="n"/>
      <c r="E85" s="145" t="n"/>
      <c r="F85" s="145" t="n"/>
      <c r="G85" s="145" t="n"/>
      <c r="H85" s="145" t="n"/>
      <c r="I85" s="145" t="n"/>
      <c r="J85" s="145" t="n"/>
      <c r="K85" s="145" t="n"/>
      <c r="L85" s="1" t="n"/>
      <c r="M85" s="145" t="n"/>
      <c r="N85" s="145" t="n"/>
      <c r="O85" s="145" t="n"/>
      <c r="P85" s="1" t="n"/>
      <c r="Q85" s="1" t="n"/>
      <c r="R85" s="1" t="n"/>
      <c r="S85" s="1" t="n"/>
      <c r="T85" s="1" t="n"/>
      <c r="U85" s="1" t="n"/>
      <c r="V85" s="1" t="n"/>
      <c r="W85" s="1" t="n"/>
      <c r="X85" s="1" t="n"/>
      <c r="Y85" s="1" t="n"/>
      <c r="Z85" s="1" t="n"/>
    </row>
    <row r="86" ht="15.75" customHeight="1" s="311">
      <c r="A86" s="145" t="n"/>
      <c r="B86" s="145" t="n"/>
      <c r="C86" s="145" t="n"/>
      <c r="D86" s="145" t="n"/>
      <c r="E86" s="145" t="n"/>
      <c r="F86" s="145" t="n"/>
      <c r="G86" s="145" t="n"/>
      <c r="H86" s="145" t="n"/>
      <c r="I86" s="145" t="n"/>
      <c r="J86" s="145" t="n"/>
      <c r="K86" s="145" t="n"/>
      <c r="L86" s="1" t="n"/>
      <c r="M86" s="145" t="n"/>
      <c r="N86" s="145" t="n"/>
      <c r="O86" s="145" t="n"/>
      <c r="P86" s="1" t="n"/>
      <c r="Q86" s="1" t="n"/>
      <c r="R86" s="1" t="n"/>
      <c r="S86" s="1" t="n"/>
      <c r="T86" s="1" t="n"/>
      <c r="U86" s="1" t="n"/>
      <c r="V86" s="1" t="n"/>
      <c r="W86" s="1" t="n"/>
      <c r="X86" s="1" t="n"/>
      <c r="Y86" s="1" t="n"/>
      <c r="Z86" s="1" t="n"/>
    </row>
    <row r="87" ht="15.75" customHeight="1" s="311">
      <c r="A87" s="145" t="n"/>
      <c r="B87" s="145" t="n"/>
      <c r="C87" s="145" t="n"/>
      <c r="D87" s="145" t="n"/>
      <c r="E87" s="145" t="n"/>
      <c r="F87" s="145" t="n"/>
      <c r="G87" s="145" t="n"/>
      <c r="H87" s="145" t="n"/>
      <c r="I87" s="145" t="n"/>
      <c r="J87" s="145" t="n"/>
      <c r="K87" s="145" t="n"/>
      <c r="L87" s="1" t="n"/>
      <c r="M87" s="145" t="n"/>
      <c r="N87" s="145" t="n"/>
      <c r="O87" s="145" t="n"/>
      <c r="P87" s="1" t="n"/>
      <c r="Q87" s="1" t="n"/>
      <c r="R87" s="1" t="n"/>
      <c r="S87" s="1" t="n"/>
      <c r="T87" s="1" t="n"/>
      <c r="U87" s="1" t="n"/>
      <c r="V87" s="1" t="n"/>
      <c r="W87" s="1" t="n"/>
      <c r="X87" s="1" t="n"/>
      <c r="Y87" s="1" t="n"/>
      <c r="Z87" s="1" t="n"/>
    </row>
    <row r="88" ht="15.75" customHeight="1" s="311">
      <c r="A88" s="145" t="n"/>
      <c r="B88" s="145" t="n"/>
      <c r="C88" s="145" t="n"/>
      <c r="D88" s="145" t="n"/>
      <c r="E88" s="145" t="n"/>
      <c r="F88" s="145" t="n"/>
      <c r="G88" s="145" t="n"/>
      <c r="H88" s="145" t="n"/>
      <c r="I88" s="145" t="n"/>
      <c r="J88" s="145" t="n"/>
      <c r="K88" s="145" t="n"/>
      <c r="L88" s="1" t="n"/>
      <c r="M88" s="145" t="n"/>
      <c r="N88" s="145" t="n"/>
      <c r="O88" s="145" t="n"/>
      <c r="P88" s="1" t="n"/>
      <c r="Q88" s="1" t="n"/>
      <c r="R88" s="1" t="n"/>
      <c r="S88" s="1" t="n"/>
      <c r="T88" s="1" t="n"/>
      <c r="U88" s="1" t="n"/>
      <c r="V88" s="1" t="n"/>
      <c r="W88" s="1" t="n"/>
      <c r="X88" s="1" t="n"/>
      <c r="Y88" s="1" t="n"/>
      <c r="Z88" s="1" t="n"/>
    </row>
    <row r="89" ht="15.75" customHeight="1" s="311">
      <c r="A89" s="145" t="n"/>
      <c r="B89" s="145" t="n"/>
      <c r="C89" s="145" t="n"/>
      <c r="D89" s="145" t="n"/>
      <c r="E89" s="145" t="n"/>
      <c r="F89" s="145" t="n"/>
      <c r="G89" s="145" t="n"/>
      <c r="H89" s="145" t="n"/>
      <c r="I89" s="145" t="n"/>
      <c r="J89" s="145" t="n"/>
      <c r="K89" s="145" t="n"/>
      <c r="L89" s="1" t="n"/>
      <c r="M89" s="145" t="n"/>
      <c r="N89" s="145" t="n"/>
      <c r="O89" s="145" t="n"/>
      <c r="P89" s="1" t="n"/>
      <c r="Q89" s="1" t="n"/>
      <c r="R89" s="1" t="n"/>
      <c r="S89" s="1" t="n"/>
      <c r="T89" s="1" t="n"/>
      <c r="U89" s="1" t="n"/>
      <c r="V89" s="1" t="n"/>
      <c r="W89" s="1" t="n"/>
      <c r="X89" s="1" t="n"/>
      <c r="Y89" s="1" t="n"/>
      <c r="Z89" s="1" t="n"/>
    </row>
    <row r="90" ht="15.75" customHeight="1" s="311">
      <c r="A90" s="145" t="n"/>
      <c r="B90" s="145" t="n"/>
      <c r="C90" s="145" t="n"/>
      <c r="D90" s="145" t="n"/>
      <c r="E90" s="145" t="n"/>
      <c r="F90" s="145" t="n"/>
      <c r="G90" s="145" t="n"/>
      <c r="H90" s="145" t="n"/>
      <c r="I90" s="145" t="n"/>
      <c r="J90" s="145" t="n"/>
      <c r="K90" s="145" t="n"/>
      <c r="L90" s="1" t="n"/>
      <c r="M90" s="145" t="n"/>
      <c r="N90" s="145" t="n"/>
      <c r="O90" s="145" t="n"/>
      <c r="P90" s="1" t="n"/>
      <c r="Q90" s="1" t="n"/>
      <c r="R90" s="1" t="n"/>
      <c r="S90" s="1" t="n"/>
      <c r="T90" s="1" t="n"/>
      <c r="U90" s="1" t="n"/>
      <c r="V90" s="1" t="n"/>
      <c r="W90" s="1" t="n"/>
      <c r="X90" s="1" t="n"/>
      <c r="Y90" s="1" t="n"/>
      <c r="Z90" s="1" t="n"/>
    </row>
    <row r="91" ht="15.75" customHeight="1" s="311">
      <c r="A91" s="145" t="n"/>
      <c r="B91" s="145" t="n"/>
      <c r="C91" s="145" t="n"/>
      <c r="D91" s="145" t="n"/>
      <c r="E91" s="145" t="n"/>
      <c r="F91" s="145" t="n"/>
      <c r="G91" s="145" t="n"/>
      <c r="H91" s="145" t="n"/>
      <c r="I91" s="145" t="n"/>
      <c r="J91" s="145" t="n"/>
      <c r="K91" s="145" t="n"/>
      <c r="L91" s="1" t="n"/>
      <c r="M91" s="145" t="n"/>
      <c r="N91" s="145" t="n"/>
      <c r="O91" s="145" t="n"/>
      <c r="P91" s="1" t="n"/>
      <c r="Q91" s="1" t="n"/>
      <c r="R91" s="1" t="n"/>
      <c r="S91" s="1" t="n"/>
      <c r="T91" s="1" t="n"/>
      <c r="U91" s="1" t="n"/>
      <c r="V91" s="1" t="n"/>
      <c r="W91" s="1" t="n"/>
      <c r="X91" s="1" t="n"/>
      <c r="Y91" s="1" t="n"/>
      <c r="Z91" s="1" t="n"/>
    </row>
    <row r="92" ht="15.75" customHeight="1" s="311">
      <c r="A92" s="145" t="n"/>
      <c r="B92" s="145" t="n"/>
      <c r="C92" s="145" t="n"/>
      <c r="D92" s="145" t="n"/>
      <c r="E92" s="145" t="n"/>
      <c r="F92" s="145" t="n"/>
      <c r="G92" s="145" t="n"/>
      <c r="H92" s="145" t="n"/>
      <c r="I92" s="145" t="n"/>
      <c r="J92" s="145" t="n"/>
      <c r="K92" s="145" t="n"/>
      <c r="L92" s="1" t="n"/>
      <c r="M92" s="145" t="n"/>
      <c r="N92" s="145" t="n"/>
      <c r="O92" s="145" t="n"/>
      <c r="P92" s="1" t="n"/>
      <c r="Q92" s="1" t="n"/>
      <c r="R92" s="1" t="n"/>
      <c r="S92" s="1" t="n"/>
      <c r="T92" s="1" t="n"/>
      <c r="U92" s="1" t="n"/>
      <c r="V92" s="1" t="n"/>
      <c r="W92" s="1" t="n"/>
      <c r="X92" s="1" t="n"/>
      <c r="Y92" s="1" t="n"/>
      <c r="Z92" s="1" t="n"/>
    </row>
    <row r="93" ht="15.75" customHeight="1" s="311">
      <c r="A93" s="145" t="n"/>
      <c r="B93" s="145" t="n"/>
      <c r="C93" s="145" t="n"/>
      <c r="D93" s="145" t="n"/>
      <c r="E93" s="145" t="n"/>
      <c r="F93" s="145" t="n"/>
      <c r="G93" s="145" t="n"/>
      <c r="H93" s="145" t="n"/>
      <c r="I93" s="145" t="n"/>
      <c r="J93" s="145" t="n"/>
      <c r="K93" s="145" t="n"/>
      <c r="L93" s="1" t="n"/>
      <c r="M93" s="145" t="n"/>
      <c r="N93" s="145" t="n"/>
      <c r="O93" s="145" t="n"/>
      <c r="P93" s="1" t="n"/>
      <c r="Q93" s="1" t="n"/>
      <c r="R93" s="1" t="n"/>
      <c r="S93" s="1" t="n"/>
      <c r="T93" s="1" t="n"/>
      <c r="U93" s="1" t="n"/>
      <c r="V93" s="1" t="n"/>
      <c r="W93" s="1" t="n"/>
      <c r="X93" s="1" t="n"/>
      <c r="Y93" s="1" t="n"/>
      <c r="Z93" s="1" t="n"/>
    </row>
    <row r="94" ht="15.75" customHeight="1" s="311">
      <c r="A94" s="145" t="n"/>
      <c r="B94" s="145" t="n"/>
      <c r="C94" s="145" t="n"/>
      <c r="D94" s="145" t="n"/>
      <c r="E94" s="145" t="n"/>
      <c r="F94" s="145" t="n"/>
      <c r="G94" s="145" t="n"/>
      <c r="H94" s="145" t="n"/>
      <c r="I94" s="145" t="n"/>
      <c r="J94" s="145" t="n"/>
      <c r="K94" s="145" t="n"/>
      <c r="L94" s="1" t="n"/>
      <c r="M94" s="145" t="n"/>
      <c r="N94" s="145" t="n"/>
      <c r="O94" s="145" t="n"/>
      <c r="P94" s="1" t="n"/>
      <c r="Q94" s="1" t="n"/>
      <c r="R94" s="1" t="n"/>
      <c r="S94" s="1" t="n"/>
      <c r="T94" s="1" t="n"/>
      <c r="U94" s="1" t="n"/>
      <c r="V94" s="1" t="n"/>
      <c r="W94" s="1" t="n"/>
      <c r="X94" s="1" t="n"/>
      <c r="Y94" s="1" t="n"/>
      <c r="Z94" s="1" t="n"/>
    </row>
    <row r="95" ht="15.75" customHeight="1" s="311">
      <c r="A95" s="145" t="n"/>
      <c r="B95" s="145" t="n"/>
      <c r="C95" s="145" t="n"/>
      <c r="D95" s="145" t="n"/>
      <c r="E95" s="145" t="n"/>
      <c r="F95" s="145" t="n"/>
      <c r="G95" s="145" t="n"/>
      <c r="H95" s="145" t="n"/>
      <c r="I95" s="145" t="n"/>
      <c r="J95" s="145" t="n"/>
      <c r="K95" s="145" t="n"/>
      <c r="L95" s="1" t="n"/>
      <c r="M95" s="145" t="n"/>
      <c r="N95" s="145" t="n"/>
      <c r="O95" s="145" t="n"/>
      <c r="P95" s="1" t="n"/>
      <c r="Q95" s="1" t="n"/>
      <c r="R95" s="1" t="n"/>
      <c r="S95" s="1" t="n"/>
      <c r="T95" s="1" t="n"/>
      <c r="U95" s="1" t="n"/>
      <c r="V95" s="1" t="n"/>
      <c r="W95" s="1" t="n"/>
      <c r="X95" s="1" t="n"/>
      <c r="Y95" s="1" t="n"/>
      <c r="Z95" s="1" t="n"/>
    </row>
    <row r="96" ht="15.75" customHeight="1" s="311">
      <c r="A96" s="145" t="n"/>
      <c r="B96" s="145" t="n"/>
      <c r="C96" s="145" t="n"/>
      <c r="D96" s="145" t="n"/>
      <c r="E96" s="145" t="n"/>
      <c r="F96" s="145" t="n"/>
      <c r="G96" s="145" t="n"/>
      <c r="H96" s="145" t="n"/>
      <c r="I96" s="145" t="n"/>
      <c r="J96" s="145" t="n"/>
      <c r="K96" s="145" t="n"/>
      <c r="L96" s="1" t="n"/>
      <c r="M96" s="145" t="n"/>
      <c r="N96" s="145" t="n"/>
      <c r="O96" s="145" t="n"/>
      <c r="P96" s="1" t="n"/>
      <c r="Q96" s="1" t="n"/>
      <c r="R96" s="1" t="n"/>
      <c r="S96" s="1" t="n"/>
      <c r="T96" s="1" t="n"/>
      <c r="U96" s="1" t="n"/>
      <c r="V96" s="1" t="n"/>
      <c r="W96" s="1" t="n"/>
      <c r="X96" s="1" t="n"/>
      <c r="Y96" s="1" t="n"/>
      <c r="Z96" s="1" t="n"/>
    </row>
    <row r="97" ht="15.75" customHeight="1" s="311">
      <c r="A97" s="145" t="n"/>
      <c r="B97" s="145" t="n"/>
      <c r="C97" s="145" t="n"/>
      <c r="D97" s="145" t="n"/>
      <c r="E97" s="145" t="n"/>
      <c r="F97" s="145" t="n"/>
      <c r="G97" s="145" t="n"/>
      <c r="H97" s="145" t="n"/>
      <c r="I97" s="145" t="n"/>
      <c r="J97" s="145" t="n"/>
      <c r="K97" s="145" t="n"/>
      <c r="L97" s="1" t="n"/>
      <c r="M97" s="145" t="n"/>
      <c r="N97" s="145" t="n"/>
      <c r="O97" s="145" t="n"/>
      <c r="P97" s="1" t="n"/>
      <c r="Q97" s="1" t="n"/>
      <c r="R97" s="1" t="n"/>
      <c r="S97" s="1" t="n"/>
      <c r="T97" s="1" t="n"/>
      <c r="U97" s="1" t="n"/>
      <c r="V97" s="1" t="n"/>
      <c r="W97" s="1" t="n"/>
      <c r="X97" s="1" t="n"/>
      <c r="Y97" s="1" t="n"/>
      <c r="Z97" s="1" t="n"/>
    </row>
    <row r="98" ht="15.75" customHeight="1" s="311">
      <c r="A98" s="145" t="n"/>
      <c r="B98" s="145" t="n"/>
      <c r="C98" s="145" t="n"/>
      <c r="D98" s="145" t="n"/>
      <c r="E98" s="145" t="n"/>
      <c r="F98" s="145" t="n"/>
      <c r="G98" s="145" t="n"/>
      <c r="H98" s="145" t="n"/>
      <c r="I98" s="145" t="n"/>
      <c r="J98" s="145" t="n"/>
      <c r="K98" s="145" t="n"/>
      <c r="L98" s="1" t="n"/>
      <c r="M98" s="145" t="n"/>
      <c r="N98" s="145" t="n"/>
      <c r="O98" s="145" t="n"/>
      <c r="P98" s="1" t="n"/>
      <c r="Q98" s="1" t="n"/>
      <c r="R98" s="1" t="n"/>
      <c r="S98" s="1" t="n"/>
      <c r="T98" s="1" t="n"/>
      <c r="U98" s="1" t="n"/>
      <c r="V98" s="1" t="n"/>
      <c r="W98" s="1" t="n"/>
      <c r="X98" s="1" t="n"/>
      <c r="Y98" s="1" t="n"/>
      <c r="Z98" s="1" t="n"/>
    </row>
    <row r="99" ht="15.75" customHeight="1" s="311">
      <c r="A99" s="145" t="n"/>
      <c r="B99" s="145" t="n"/>
      <c r="C99" s="145" t="n"/>
      <c r="D99" s="145" t="n"/>
      <c r="E99" s="145" t="n"/>
      <c r="F99" s="145" t="n"/>
      <c r="G99" s="145" t="n"/>
      <c r="H99" s="145" t="n"/>
      <c r="I99" s="145" t="n"/>
      <c r="J99" s="145" t="n"/>
      <c r="K99" s="145" t="n"/>
      <c r="L99" s="1" t="n"/>
      <c r="M99" s="145" t="n"/>
      <c r="N99" s="145" t="n"/>
      <c r="O99" s="145" t="n"/>
      <c r="P99" s="1" t="n"/>
      <c r="Q99" s="1" t="n"/>
      <c r="R99" s="1" t="n"/>
      <c r="S99" s="1" t="n"/>
      <c r="T99" s="1" t="n"/>
      <c r="U99" s="1" t="n"/>
      <c r="V99" s="1" t="n"/>
      <c r="W99" s="1" t="n"/>
      <c r="X99" s="1" t="n"/>
      <c r="Y99" s="1" t="n"/>
      <c r="Z99" s="1" t="n"/>
    </row>
    <row r="100" ht="15.75" customHeight="1" s="311">
      <c r="A100" s="145" t="n"/>
      <c r="B100" s="145" t="n"/>
      <c r="C100" s="145" t="n"/>
      <c r="D100" s="145" t="n"/>
      <c r="E100" s="145" t="n"/>
      <c r="F100" s="145" t="n"/>
      <c r="G100" s="145" t="n"/>
      <c r="H100" s="145" t="n"/>
      <c r="I100" s="145" t="n"/>
      <c r="J100" s="145" t="n"/>
      <c r="K100" s="145" t="n"/>
      <c r="L100" s="1" t="n"/>
      <c r="M100" s="145" t="n"/>
      <c r="N100" s="145" t="n"/>
      <c r="O100" s="145" t="n"/>
      <c r="P100" s="1" t="n"/>
      <c r="Q100" s="1" t="n"/>
      <c r="R100" s="1" t="n"/>
      <c r="S100" s="1" t="n"/>
      <c r="T100" s="1" t="n"/>
      <c r="U100" s="1" t="n"/>
      <c r="V100" s="1" t="n"/>
      <c r="W100" s="1" t="n"/>
      <c r="X100" s="1" t="n"/>
      <c r="Y100" s="1" t="n"/>
      <c r="Z100" s="1" t="n"/>
    </row>
    <row r="101" ht="15.75" customHeight="1" s="311">
      <c r="A101" s="145" t="n"/>
      <c r="B101" s="145" t="n"/>
      <c r="C101" s="145" t="n"/>
      <c r="D101" s="145" t="n"/>
      <c r="E101" s="145" t="n"/>
      <c r="F101" s="145" t="n"/>
      <c r="G101" s="145" t="n"/>
      <c r="H101" s="145" t="n"/>
      <c r="I101" s="145" t="n"/>
      <c r="J101" s="145" t="n"/>
      <c r="K101" s="145" t="n"/>
      <c r="L101" s="1" t="n"/>
      <c r="M101" s="145" t="n"/>
      <c r="N101" s="145" t="n"/>
      <c r="O101" s="145" t="n"/>
      <c r="P101" s="1" t="n"/>
      <c r="Q101" s="1" t="n"/>
      <c r="R101" s="1" t="n"/>
      <c r="S101" s="1" t="n"/>
      <c r="T101" s="1" t="n"/>
      <c r="U101" s="1" t="n"/>
      <c r="V101" s="1" t="n"/>
      <c r="W101" s="1" t="n"/>
      <c r="X101" s="1" t="n"/>
      <c r="Y101" s="1" t="n"/>
      <c r="Z101" s="1" t="n"/>
    </row>
    <row r="102" ht="15.75" customHeight="1" s="311">
      <c r="A102" s="145" t="n"/>
      <c r="B102" s="145" t="n"/>
      <c r="C102" s="145" t="n"/>
      <c r="D102" s="145" t="n"/>
      <c r="E102" s="145" t="n"/>
      <c r="F102" s="145" t="n"/>
      <c r="G102" s="145" t="n"/>
      <c r="H102" s="145" t="n"/>
      <c r="I102" s="145" t="n"/>
      <c r="J102" s="145" t="n"/>
      <c r="K102" s="145" t="n"/>
      <c r="L102" s="1" t="n"/>
      <c r="M102" s="145" t="n"/>
      <c r="N102" s="145" t="n"/>
      <c r="O102" s="145" t="n"/>
      <c r="P102" s="1" t="n"/>
      <c r="Q102" s="1" t="n"/>
      <c r="R102" s="1" t="n"/>
      <c r="S102" s="1" t="n"/>
      <c r="T102" s="1" t="n"/>
      <c r="U102" s="1" t="n"/>
      <c r="V102" s="1" t="n"/>
      <c r="W102" s="1" t="n"/>
      <c r="X102" s="1" t="n"/>
      <c r="Y102" s="1" t="n"/>
      <c r="Z102" s="1" t="n"/>
    </row>
    <row r="103" ht="15.75" customHeight="1" s="311">
      <c r="A103" s="145" t="n"/>
      <c r="B103" s="145" t="n"/>
      <c r="C103" s="145" t="n"/>
      <c r="D103" s="145" t="n"/>
      <c r="E103" s="145" t="n"/>
      <c r="F103" s="145" t="n"/>
      <c r="G103" s="145" t="n"/>
      <c r="H103" s="145" t="n"/>
      <c r="I103" s="145" t="n"/>
      <c r="J103" s="145" t="n"/>
      <c r="K103" s="145" t="n"/>
      <c r="L103" s="1" t="n"/>
      <c r="M103" s="145" t="n"/>
      <c r="N103" s="145" t="n"/>
      <c r="O103" s="145" t="n"/>
      <c r="P103" s="1" t="n"/>
      <c r="Q103" s="1" t="n"/>
      <c r="R103" s="1" t="n"/>
      <c r="S103" s="1" t="n"/>
      <c r="T103" s="1" t="n"/>
      <c r="U103" s="1" t="n"/>
      <c r="V103" s="1" t="n"/>
      <c r="W103" s="1" t="n"/>
      <c r="X103" s="1" t="n"/>
      <c r="Y103" s="1" t="n"/>
      <c r="Z103" s="1" t="n"/>
    </row>
    <row r="104" ht="15.75" customHeight="1" s="311">
      <c r="A104" s="145" t="n"/>
      <c r="B104" s="145" t="n"/>
      <c r="C104" s="145" t="n"/>
      <c r="D104" s="145" t="n"/>
      <c r="E104" s="145" t="n"/>
      <c r="F104" s="145" t="n"/>
      <c r="G104" s="145" t="n"/>
      <c r="H104" s="145" t="n"/>
      <c r="I104" s="145" t="n"/>
      <c r="J104" s="145" t="n"/>
      <c r="K104" s="145" t="n"/>
      <c r="L104" s="1" t="n"/>
      <c r="M104" s="145" t="n"/>
      <c r="N104" s="145" t="n"/>
      <c r="O104" s="145" t="n"/>
      <c r="P104" s="1" t="n"/>
      <c r="Q104" s="1" t="n"/>
      <c r="R104" s="1" t="n"/>
      <c r="S104" s="1" t="n"/>
      <c r="T104" s="1" t="n"/>
      <c r="U104" s="1" t="n"/>
      <c r="V104" s="1" t="n"/>
      <c r="W104" s="1" t="n"/>
      <c r="X104" s="1" t="n"/>
      <c r="Y104" s="1" t="n"/>
      <c r="Z104" s="1" t="n"/>
    </row>
    <row r="105" ht="15.75" customHeight="1" s="311">
      <c r="A105" s="145" t="n"/>
      <c r="B105" s="145" t="n"/>
      <c r="C105" s="145" t="n"/>
      <c r="D105" s="145" t="n"/>
      <c r="E105" s="145" t="n"/>
      <c r="F105" s="145" t="n"/>
      <c r="G105" s="145" t="n"/>
      <c r="H105" s="145" t="n"/>
      <c r="I105" s="145" t="n"/>
      <c r="J105" s="145" t="n"/>
      <c r="K105" s="145" t="n"/>
      <c r="L105" s="1" t="n"/>
      <c r="M105" s="145" t="n"/>
      <c r="N105" s="145" t="n"/>
      <c r="O105" s="145" t="n"/>
      <c r="P105" s="1" t="n"/>
      <c r="Q105" s="1" t="n"/>
      <c r="R105" s="1" t="n"/>
      <c r="S105" s="1" t="n"/>
      <c r="T105" s="1" t="n"/>
      <c r="U105" s="1" t="n"/>
      <c r="V105" s="1" t="n"/>
      <c r="W105" s="1" t="n"/>
      <c r="X105" s="1" t="n"/>
      <c r="Y105" s="1" t="n"/>
      <c r="Z105" s="1" t="n"/>
    </row>
    <row r="106" ht="15.75" customHeight="1" s="311">
      <c r="A106" s="145" t="n"/>
      <c r="B106" s="145" t="n"/>
      <c r="C106" s="145" t="n"/>
      <c r="D106" s="145" t="n"/>
      <c r="E106" s="145" t="n"/>
      <c r="F106" s="145" t="n"/>
      <c r="G106" s="145" t="n"/>
      <c r="H106" s="145" t="n"/>
      <c r="I106" s="145" t="n"/>
      <c r="J106" s="145" t="n"/>
      <c r="K106" s="145" t="n"/>
      <c r="L106" s="1" t="n"/>
      <c r="M106" s="145" t="n"/>
      <c r="N106" s="145" t="n"/>
      <c r="O106" s="145" t="n"/>
      <c r="P106" s="1" t="n"/>
      <c r="Q106" s="1" t="n"/>
      <c r="R106" s="1" t="n"/>
      <c r="S106" s="1" t="n"/>
      <c r="T106" s="1" t="n"/>
      <c r="U106" s="1" t="n"/>
      <c r="V106" s="1" t="n"/>
      <c r="W106" s="1" t="n"/>
      <c r="X106" s="1" t="n"/>
      <c r="Y106" s="1" t="n"/>
      <c r="Z106" s="1" t="n"/>
    </row>
    <row r="107" ht="15.75" customHeight="1" s="311">
      <c r="A107" s="145" t="n"/>
      <c r="B107" s="145" t="n"/>
      <c r="C107" s="145" t="n"/>
      <c r="D107" s="145" t="n"/>
      <c r="E107" s="145" t="n"/>
      <c r="F107" s="145" t="n"/>
      <c r="G107" s="145" t="n"/>
      <c r="H107" s="145" t="n"/>
      <c r="I107" s="145" t="n"/>
      <c r="J107" s="145" t="n"/>
      <c r="K107" s="145" t="n"/>
      <c r="L107" s="1" t="n"/>
      <c r="M107" s="145" t="n"/>
      <c r="N107" s="145" t="n"/>
      <c r="O107" s="145" t="n"/>
      <c r="P107" s="1" t="n"/>
      <c r="Q107" s="1" t="n"/>
      <c r="R107" s="1" t="n"/>
      <c r="S107" s="1" t="n"/>
      <c r="T107" s="1" t="n"/>
      <c r="U107" s="1" t="n"/>
      <c r="V107" s="1" t="n"/>
      <c r="W107" s="1" t="n"/>
      <c r="X107" s="1" t="n"/>
      <c r="Y107" s="1" t="n"/>
      <c r="Z107" s="1" t="n"/>
    </row>
    <row r="108" ht="15.75" customHeight="1" s="311">
      <c r="A108" s="145" t="n"/>
      <c r="B108" s="145" t="n"/>
      <c r="C108" s="145" t="n"/>
      <c r="D108" s="145" t="n"/>
      <c r="E108" s="145" t="n"/>
      <c r="F108" s="145" t="n"/>
      <c r="G108" s="145" t="n"/>
      <c r="H108" s="145" t="n"/>
      <c r="I108" s="145" t="n"/>
      <c r="J108" s="145" t="n"/>
      <c r="K108" s="145" t="n"/>
      <c r="L108" s="1" t="n"/>
      <c r="M108" s="145" t="n"/>
      <c r="N108" s="145" t="n"/>
      <c r="O108" s="145" t="n"/>
      <c r="P108" s="1" t="n"/>
      <c r="Q108" s="1" t="n"/>
      <c r="R108" s="1" t="n"/>
      <c r="S108" s="1" t="n"/>
      <c r="T108" s="1" t="n"/>
      <c r="U108" s="1" t="n"/>
      <c r="V108" s="1" t="n"/>
      <c r="W108" s="1" t="n"/>
      <c r="X108" s="1" t="n"/>
      <c r="Y108" s="1" t="n"/>
      <c r="Z108" s="1" t="n"/>
    </row>
    <row r="109" ht="15.75" customHeight="1" s="311">
      <c r="A109" s="145" t="n"/>
      <c r="B109" s="145" t="n"/>
      <c r="C109" s="145" t="n"/>
      <c r="D109" s="145" t="n"/>
      <c r="E109" s="145" t="n"/>
      <c r="F109" s="145" t="n"/>
      <c r="G109" s="145" t="n"/>
      <c r="H109" s="145" t="n"/>
      <c r="I109" s="145" t="n"/>
      <c r="J109" s="145" t="n"/>
      <c r="K109" s="145" t="n"/>
      <c r="L109" s="1" t="n"/>
      <c r="M109" s="145" t="n"/>
      <c r="N109" s="145" t="n"/>
      <c r="O109" s="145" t="n"/>
      <c r="P109" s="1" t="n"/>
      <c r="Q109" s="1" t="n"/>
      <c r="R109" s="1" t="n"/>
      <c r="S109" s="1" t="n"/>
      <c r="T109" s="1" t="n"/>
      <c r="U109" s="1" t="n"/>
      <c r="V109" s="1" t="n"/>
      <c r="W109" s="1" t="n"/>
      <c r="X109" s="1" t="n"/>
      <c r="Y109" s="1" t="n"/>
      <c r="Z109" s="1" t="n"/>
    </row>
    <row r="110" ht="15.75" customHeight="1" s="311">
      <c r="A110" s="145" t="n"/>
      <c r="B110" s="145" t="n"/>
      <c r="C110" s="145" t="n"/>
      <c r="D110" s="145" t="n"/>
      <c r="E110" s="145" t="n"/>
      <c r="F110" s="145" t="n"/>
      <c r="G110" s="145" t="n"/>
      <c r="H110" s="145" t="n"/>
      <c r="I110" s="145" t="n"/>
      <c r="J110" s="145" t="n"/>
      <c r="K110" s="145" t="n"/>
      <c r="L110" s="1" t="n"/>
      <c r="M110" s="145" t="n"/>
      <c r="N110" s="145" t="n"/>
      <c r="O110" s="145" t="n"/>
      <c r="P110" s="1" t="n"/>
      <c r="Q110" s="1" t="n"/>
      <c r="R110" s="1" t="n"/>
      <c r="S110" s="1" t="n"/>
      <c r="T110" s="1" t="n"/>
      <c r="U110" s="1" t="n"/>
      <c r="V110" s="1" t="n"/>
      <c r="W110" s="1" t="n"/>
      <c r="X110" s="1" t="n"/>
      <c r="Y110" s="1" t="n"/>
      <c r="Z110" s="1" t="n"/>
    </row>
    <row r="111" ht="15.75" customHeight="1" s="311">
      <c r="A111" s="145" t="n"/>
      <c r="B111" s="145" t="n"/>
      <c r="C111" s="145" t="n"/>
      <c r="D111" s="145" t="n"/>
      <c r="E111" s="145" t="n"/>
      <c r="F111" s="145" t="n"/>
      <c r="G111" s="145" t="n"/>
      <c r="H111" s="145" t="n"/>
      <c r="I111" s="145" t="n"/>
      <c r="J111" s="145" t="n"/>
      <c r="K111" s="145" t="n"/>
      <c r="L111" s="1" t="n"/>
      <c r="M111" s="145" t="n"/>
      <c r="N111" s="145" t="n"/>
      <c r="O111" s="145" t="n"/>
      <c r="P111" s="1" t="n"/>
      <c r="Q111" s="1" t="n"/>
      <c r="R111" s="1" t="n"/>
      <c r="S111" s="1" t="n"/>
      <c r="T111" s="1" t="n"/>
      <c r="U111" s="1" t="n"/>
      <c r="V111" s="1" t="n"/>
      <c r="W111" s="1" t="n"/>
      <c r="X111" s="1" t="n"/>
      <c r="Y111" s="1" t="n"/>
      <c r="Z111" s="1" t="n"/>
    </row>
    <row r="112" ht="15.75" customHeight="1" s="311">
      <c r="A112" s="145" t="n"/>
      <c r="B112" s="145" t="n"/>
      <c r="C112" s="145" t="n"/>
      <c r="D112" s="145" t="n"/>
      <c r="E112" s="145" t="n"/>
      <c r="F112" s="145" t="n"/>
      <c r="G112" s="145" t="n"/>
      <c r="H112" s="145" t="n"/>
      <c r="I112" s="145" t="n"/>
      <c r="J112" s="145" t="n"/>
      <c r="K112" s="145" t="n"/>
      <c r="L112" s="1" t="n"/>
      <c r="M112" s="145" t="n"/>
      <c r="N112" s="145" t="n"/>
      <c r="O112" s="145" t="n"/>
      <c r="P112" s="1" t="n"/>
      <c r="Q112" s="1" t="n"/>
      <c r="R112" s="1" t="n"/>
      <c r="S112" s="1" t="n"/>
      <c r="T112" s="1" t="n"/>
      <c r="U112" s="1" t="n"/>
      <c r="V112" s="1" t="n"/>
      <c r="W112" s="1" t="n"/>
      <c r="X112" s="1" t="n"/>
      <c r="Y112" s="1" t="n"/>
      <c r="Z112" s="1" t="n"/>
    </row>
    <row r="113" ht="15.75" customHeight="1" s="311">
      <c r="A113" s="145" t="n"/>
      <c r="B113" s="145" t="n"/>
      <c r="C113" s="145" t="n"/>
      <c r="D113" s="145" t="n"/>
      <c r="E113" s="145" t="n"/>
      <c r="F113" s="145" t="n"/>
      <c r="G113" s="145" t="n"/>
      <c r="H113" s="145" t="n"/>
      <c r="I113" s="145" t="n"/>
      <c r="J113" s="145" t="n"/>
      <c r="K113" s="145" t="n"/>
      <c r="L113" s="1" t="n"/>
      <c r="M113" s="145" t="n"/>
      <c r="N113" s="145" t="n"/>
      <c r="O113" s="145" t="n"/>
      <c r="P113" s="1" t="n"/>
      <c r="Q113" s="1" t="n"/>
      <c r="R113" s="1" t="n"/>
      <c r="S113" s="1" t="n"/>
      <c r="T113" s="1" t="n"/>
      <c r="U113" s="1" t="n"/>
      <c r="V113" s="1" t="n"/>
      <c r="W113" s="1" t="n"/>
      <c r="X113" s="1" t="n"/>
      <c r="Y113" s="1" t="n"/>
      <c r="Z113" s="1" t="n"/>
    </row>
    <row r="114" ht="15.75" customHeight="1" s="311">
      <c r="A114" s="145" t="n"/>
      <c r="B114" s="145" t="n"/>
      <c r="C114" s="145" t="n"/>
      <c r="D114" s="145" t="n"/>
      <c r="E114" s="145" t="n"/>
      <c r="F114" s="145" t="n"/>
      <c r="G114" s="145" t="n"/>
      <c r="H114" s="145" t="n"/>
      <c r="I114" s="145" t="n"/>
      <c r="J114" s="145" t="n"/>
      <c r="K114" s="145" t="n"/>
      <c r="L114" s="1" t="n"/>
      <c r="M114" s="145" t="n"/>
      <c r="N114" s="145" t="n"/>
      <c r="O114" s="145" t="n"/>
      <c r="P114" s="1" t="n"/>
      <c r="Q114" s="1" t="n"/>
      <c r="R114" s="1" t="n"/>
      <c r="S114" s="1" t="n"/>
      <c r="T114" s="1" t="n"/>
      <c r="U114" s="1" t="n"/>
      <c r="V114" s="1" t="n"/>
      <c r="W114" s="1" t="n"/>
      <c r="X114" s="1" t="n"/>
      <c r="Y114" s="1" t="n"/>
      <c r="Z114" s="1" t="n"/>
    </row>
    <row r="115" ht="15.75" customHeight="1" s="311">
      <c r="A115" s="145" t="n"/>
      <c r="B115" s="145" t="n"/>
      <c r="C115" s="145" t="n"/>
      <c r="D115" s="145" t="n"/>
      <c r="E115" s="145" t="n"/>
      <c r="F115" s="145" t="n"/>
      <c r="G115" s="145" t="n"/>
      <c r="H115" s="145" t="n"/>
      <c r="I115" s="145" t="n"/>
      <c r="J115" s="145" t="n"/>
      <c r="K115" s="145" t="n"/>
      <c r="L115" s="1" t="n"/>
      <c r="M115" s="145" t="n"/>
      <c r="N115" s="145" t="n"/>
      <c r="O115" s="145" t="n"/>
      <c r="P115" s="1" t="n"/>
      <c r="Q115" s="1" t="n"/>
      <c r="R115" s="1" t="n"/>
      <c r="S115" s="1" t="n"/>
      <c r="T115" s="1" t="n"/>
      <c r="U115" s="1" t="n"/>
      <c r="V115" s="1" t="n"/>
      <c r="W115" s="1" t="n"/>
      <c r="X115" s="1" t="n"/>
      <c r="Y115" s="1" t="n"/>
      <c r="Z115" s="1" t="n"/>
    </row>
    <row r="116" ht="15.75" customHeight="1" s="311">
      <c r="A116" s="145" t="n"/>
      <c r="B116" s="145" t="n"/>
      <c r="C116" s="145" t="n"/>
      <c r="D116" s="145" t="n"/>
      <c r="E116" s="145" t="n"/>
      <c r="F116" s="145" t="n"/>
      <c r="G116" s="145" t="n"/>
      <c r="H116" s="145" t="n"/>
      <c r="I116" s="145" t="n"/>
      <c r="J116" s="145" t="n"/>
      <c r="K116" s="145" t="n"/>
      <c r="L116" s="1" t="n"/>
      <c r="M116" s="145" t="n"/>
      <c r="N116" s="145" t="n"/>
      <c r="O116" s="145" t="n"/>
      <c r="P116" s="1" t="n"/>
      <c r="Q116" s="1" t="n"/>
      <c r="R116" s="1" t="n"/>
      <c r="S116" s="1" t="n"/>
      <c r="T116" s="1" t="n"/>
      <c r="U116" s="1" t="n"/>
      <c r="V116" s="1" t="n"/>
      <c r="W116" s="1" t="n"/>
      <c r="X116" s="1" t="n"/>
      <c r="Y116" s="1" t="n"/>
      <c r="Z116" s="1" t="n"/>
    </row>
    <row r="117" ht="15.75" customHeight="1" s="311">
      <c r="A117" s="145" t="n"/>
      <c r="B117" s="145" t="n"/>
      <c r="C117" s="145" t="n"/>
      <c r="D117" s="145" t="n"/>
      <c r="E117" s="145" t="n"/>
      <c r="F117" s="145" t="n"/>
      <c r="G117" s="145" t="n"/>
      <c r="H117" s="145" t="n"/>
      <c r="I117" s="145" t="n"/>
      <c r="J117" s="145" t="n"/>
      <c r="K117" s="145" t="n"/>
      <c r="L117" s="1" t="n"/>
      <c r="M117" s="145" t="n"/>
      <c r="N117" s="145" t="n"/>
      <c r="O117" s="145" t="n"/>
      <c r="P117" s="1" t="n"/>
      <c r="Q117" s="1" t="n"/>
      <c r="R117" s="1" t="n"/>
      <c r="S117" s="1" t="n"/>
      <c r="T117" s="1" t="n"/>
      <c r="U117" s="1" t="n"/>
      <c r="V117" s="1" t="n"/>
      <c r="W117" s="1" t="n"/>
      <c r="X117" s="1" t="n"/>
      <c r="Y117" s="1" t="n"/>
      <c r="Z117" s="1" t="n"/>
    </row>
    <row r="118" ht="15.75" customHeight="1" s="311">
      <c r="A118" s="145" t="n"/>
      <c r="B118" s="145" t="n"/>
      <c r="C118" s="145" t="n"/>
      <c r="D118" s="145" t="n"/>
      <c r="E118" s="145" t="n"/>
      <c r="F118" s="145" t="n"/>
      <c r="G118" s="145" t="n"/>
      <c r="H118" s="145" t="n"/>
      <c r="I118" s="145" t="n"/>
      <c r="J118" s="145" t="n"/>
      <c r="K118" s="145" t="n"/>
      <c r="L118" s="1" t="n"/>
      <c r="M118" s="145" t="n"/>
      <c r="N118" s="145" t="n"/>
      <c r="O118" s="145" t="n"/>
      <c r="P118" s="1" t="n"/>
      <c r="Q118" s="1" t="n"/>
      <c r="R118" s="1" t="n"/>
      <c r="S118" s="1" t="n"/>
      <c r="T118" s="1" t="n"/>
      <c r="U118" s="1" t="n"/>
      <c r="V118" s="1" t="n"/>
      <c r="W118" s="1" t="n"/>
      <c r="X118" s="1" t="n"/>
      <c r="Y118" s="1" t="n"/>
      <c r="Z118" s="1" t="n"/>
    </row>
    <row r="119" ht="15.75" customHeight="1" s="311">
      <c r="A119" s="145" t="n"/>
      <c r="B119" s="145" t="n"/>
      <c r="C119" s="145" t="n"/>
      <c r="D119" s="145" t="n"/>
      <c r="E119" s="145" t="n"/>
      <c r="F119" s="145" t="n"/>
      <c r="G119" s="145" t="n"/>
      <c r="H119" s="145" t="n"/>
      <c r="I119" s="145" t="n"/>
      <c r="J119" s="145" t="n"/>
      <c r="K119" s="145" t="n"/>
      <c r="L119" s="1" t="n"/>
      <c r="M119" s="145" t="n"/>
      <c r="N119" s="145" t="n"/>
      <c r="O119" s="145" t="n"/>
      <c r="P119" s="1" t="n"/>
      <c r="Q119" s="1" t="n"/>
      <c r="R119" s="1" t="n"/>
      <c r="S119" s="1" t="n"/>
      <c r="T119" s="1" t="n"/>
      <c r="U119" s="1" t="n"/>
      <c r="V119" s="1" t="n"/>
      <c r="W119" s="1" t="n"/>
      <c r="X119" s="1" t="n"/>
      <c r="Y119" s="1" t="n"/>
      <c r="Z119" s="1" t="n"/>
    </row>
    <row r="120" ht="15.75" customHeight="1" s="311">
      <c r="A120" s="145" t="n"/>
      <c r="B120" s="145" t="n"/>
      <c r="C120" s="145" t="n"/>
      <c r="D120" s="145" t="n"/>
      <c r="E120" s="145" t="n"/>
      <c r="F120" s="145" t="n"/>
      <c r="G120" s="145" t="n"/>
      <c r="H120" s="145" t="n"/>
      <c r="I120" s="145" t="n"/>
      <c r="J120" s="145" t="n"/>
      <c r="K120" s="145" t="n"/>
      <c r="L120" s="1" t="n"/>
      <c r="M120" s="145" t="n"/>
      <c r="N120" s="145" t="n"/>
      <c r="O120" s="145" t="n"/>
      <c r="P120" s="1" t="n"/>
      <c r="Q120" s="1" t="n"/>
      <c r="R120" s="1" t="n"/>
      <c r="S120" s="1" t="n"/>
      <c r="T120" s="1" t="n"/>
      <c r="U120" s="1" t="n"/>
      <c r="V120" s="1" t="n"/>
      <c r="W120" s="1" t="n"/>
      <c r="X120" s="1" t="n"/>
      <c r="Y120" s="1" t="n"/>
      <c r="Z120" s="1" t="n"/>
    </row>
    <row r="121" ht="15.75" customHeight="1" s="311">
      <c r="A121" s="145" t="n"/>
      <c r="B121" s="145" t="n"/>
      <c r="C121" s="145" t="n"/>
      <c r="D121" s="145" t="n"/>
      <c r="E121" s="145" t="n"/>
      <c r="F121" s="145" t="n"/>
      <c r="G121" s="145" t="n"/>
      <c r="H121" s="145" t="n"/>
      <c r="I121" s="145" t="n"/>
      <c r="J121" s="145" t="n"/>
      <c r="K121" s="145" t="n"/>
      <c r="L121" s="1" t="n"/>
      <c r="M121" s="145" t="n"/>
      <c r="N121" s="145" t="n"/>
      <c r="O121" s="145" t="n"/>
      <c r="P121" s="1" t="n"/>
      <c r="Q121" s="1" t="n"/>
      <c r="R121" s="1" t="n"/>
      <c r="S121" s="1" t="n"/>
      <c r="T121" s="1" t="n"/>
      <c r="U121" s="1" t="n"/>
      <c r="V121" s="1" t="n"/>
      <c r="W121" s="1" t="n"/>
      <c r="X121" s="1" t="n"/>
      <c r="Y121" s="1" t="n"/>
      <c r="Z121" s="1" t="n"/>
    </row>
    <row r="122" ht="15.75" customHeight="1" s="311">
      <c r="A122" s="145" t="n"/>
      <c r="B122" s="145" t="n"/>
      <c r="C122" s="145" t="n"/>
      <c r="D122" s="145" t="n"/>
      <c r="E122" s="145" t="n"/>
      <c r="F122" s="145" t="n"/>
      <c r="G122" s="145" t="n"/>
      <c r="H122" s="145" t="n"/>
      <c r="I122" s="145" t="n"/>
      <c r="J122" s="145" t="n"/>
      <c r="K122" s="145" t="n"/>
      <c r="L122" s="1" t="n"/>
      <c r="M122" s="145" t="n"/>
      <c r="N122" s="145" t="n"/>
      <c r="O122" s="145" t="n"/>
      <c r="P122" s="1" t="n"/>
      <c r="Q122" s="1" t="n"/>
      <c r="R122" s="1" t="n"/>
      <c r="S122" s="1" t="n"/>
      <c r="T122" s="1" t="n"/>
      <c r="U122" s="1" t="n"/>
      <c r="V122" s="1" t="n"/>
      <c r="W122" s="1" t="n"/>
      <c r="X122" s="1" t="n"/>
      <c r="Y122" s="1" t="n"/>
      <c r="Z122" s="1" t="n"/>
    </row>
    <row r="123" ht="15.75" customHeight="1" s="311">
      <c r="A123" s="145" t="n"/>
      <c r="B123" s="145" t="n"/>
      <c r="C123" s="145" t="n"/>
      <c r="D123" s="145" t="n"/>
      <c r="E123" s="145" t="n"/>
      <c r="F123" s="145" t="n"/>
      <c r="G123" s="145" t="n"/>
      <c r="H123" s="145" t="n"/>
      <c r="I123" s="145" t="n"/>
      <c r="J123" s="145" t="n"/>
      <c r="K123" s="145" t="n"/>
      <c r="L123" s="1" t="n"/>
      <c r="M123" s="145" t="n"/>
      <c r="N123" s="145" t="n"/>
      <c r="O123" s="145" t="n"/>
      <c r="P123" s="1" t="n"/>
      <c r="Q123" s="1" t="n"/>
      <c r="R123" s="1" t="n"/>
      <c r="S123" s="1" t="n"/>
      <c r="T123" s="1" t="n"/>
      <c r="U123" s="1" t="n"/>
      <c r="V123" s="1" t="n"/>
      <c r="W123" s="1" t="n"/>
      <c r="X123" s="1" t="n"/>
      <c r="Y123" s="1" t="n"/>
      <c r="Z123" s="1" t="n"/>
    </row>
    <row r="124" ht="15.75" customHeight="1" s="311">
      <c r="A124" s="145" t="n"/>
      <c r="B124" s="145" t="n"/>
      <c r="C124" s="145" t="n"/>
      <c r="D124" s="145" t="n"/>
      <c r="E124" s="145" t="n"/>
      <c r="F124" s="145" t="n"/>
      <c r="G124" s="145" t="n"/>
      <c r="H124" s="145" t="n"/>
      <c r="I124" s="145" t="n"/>
      <c r="J124" s="145" t="n"/>
      <c r="K124" s="145" t="n"/>
      <c r="L124" s="1" t="n"/>
      <c r="M124" s="145" t="n"/>
      <c r="N124" s="145" t="n"/>
      <c r="O124" s="145" t="n"/>
      <c r="P124" s="1" t="n"/>
      <c r="Q124" s="1" t="n"/>
      <c r="R124" s="1" t="n"/>
      <c r="S124" s="1" t="n"/>
      <c r="T124" s="1" t="n"/>
      <c r="U124" s="1" t="n"/>
      <c r="V124" s="1" t="n"/>
      <c r="W124" s="1" t="n"/>
      <c r="X124" s="1" t="n"/>
      <c r="Y124" s="1" t="n"/>
      <c r="Z124" s="1" t="n"/>
    </row>
    <row r="125" ht="15.75" customHeight="1" s="311">
      <c r="A125" s="145" t="n"/>
      <c r="B125" s="145" t="n"/>
      <c r="C125" s="145" t="n"/>
      <c r="D125" s="145" t="n"/>
      <c r="E125" s="145" t="n"/>
      <c r="F125" s="145" t="n"/>
      <c r="G125" s="145" t="n"/>
      <c r="H125" s="145" t="n"/>
      <c r="I125" s="145" t="n"/>
      <c r="J125" s="145" t="n"/>
      <c r="K125" s="145" t="n"/>
      <c r="L125" s="1" t="n"/>
      <c r="M125" s="145" t="n"/>
      <c r="N125" s="145" t="n"/>
      <c r="O125" s="145" t="n"/>
      <c r="P125" s="1" t="n"/>
      <c r="Q125" s="1" t="n"/>
      <c r="R125" s="1" t="n"/>
      <c r="S125" s="1" t="n"/>
      <c r="T125" s="1" t="n"/>
      <c r="U125" s="1" t="n"/>
      <c r="V125" s="1" t="n"/>
      <c r="W125" s="1" t="n"/>
      <c r="X125" s="1" t="n"/>
      <c r="Y125" s="1" t="n"/>
      <c r="Z125" s="1" t="n"/>
    </row>
    <row r="126" ht="15.75" customHeight="1" s="311">
      <c r="A126" s="145" t="n"/>
      <c r="B126" s="145" t="n"/>
      <c r="C126" s="145" t="n"/>
      <c r="D126" s="145" t="n"/>
      <c r="E126" s="145" t="n"/>
      <c r="F126" s="145" t="n"/>
      <c r="G126" s="145" t="n"/>
      <c r="H126" s="145" t="n"/>
      <c r="I126" s="145" t="n"/>
      <c r="J126" s="145" t="n"/>
      <c r="K126" s="145" t="n"/>
      <c r="L126" s="1" t="n"/>
      <c r="M126" s="145" t="n"/>
      <c r="N126" s="145" t="n"/>
      <c r="O126" s="145" t="n"/>
      <c r="P126" s="1" t="n"/>
      <c r="Q126" s="1" t="n"/>
      <c r="R126" s="1" t="n"/>
      <c r="S126" s="1" t="n"/>
      <c r="T126" s="1" t="n"/>
      <c r="U126" s="1" t="n"/>
      <c r="V126" s="1" t="n"/>
      <c r="W126" s="1" t="n"/>
      <c r="X126" s="1" t="n"/>
      <c r="Y126" s="1" t="n"/>
      <c r="Z126" s="1" t="n"/>
    </row>
    <row r="127" ht="15.75" customHeight="1" s="311">
      <c r="A127" s="145" t="n"/>
      <c r="B127" s="145" t="n"/>
      <c r="C127" s="145" t="n"/>
      <c r="D127" s="145" t="n"/>
      <c r="E127" s="145" t="n"/>
      <c r="F127" s="145" t="n"/>
      <c r="G127" s="145" t="n"/>
      <c r="H127" s="145" t="n"/>
      <c r="I127" s="145" t="n"/>
      <c r="J127" s="145" t="n"/>
      <c r="K127" s="145" t="n"/>
      <c r="L127" s="1" t="n"/>
      <c r="M127" s="145" t="n"/>
      <c r="N127" s="145" t="n"/>
      <c r="O127" s="145" t="n"/>
      <c r="P127" s="1" t="n"/>
      <c r="Q127" s="1" t="n"/>
      <c r="R127" s="1" t="n"/>
      <c r="S127" s="1" t="n"/>
      <c r="T127" s="1" t="n"/>
      <c r="U127" s="1" t="n"/>
      <c r="V127" s="1" t="n"/>
      <c r="W127" s="1" t="n"/>
      <c r="X127" s="1" t="n"/>
      <c r="Y127" s="1" t="n"/>
      <c r="Z127" s="1" t="n"/>
    </row>
    <row r="128" ht="15.75" customHeight="1" s="311">
      <c r="A128" s="145" t="n"/>
      <c r="B128" s="145" t="n"/>
      <c r="C128" s="145" t="n"/>
      <c r="D128" s="145" t="n"/>
      <c r="E128" s="145" t="n"/>
      <c r="F128" s="145" t="n"/>
      <c r="G128" s="145" t="n"/>
      <c r="H128" s="145" t="n"/>
      <c r="I128" s="145" t="n"/>
      <c r="J128" s="145" t="n"/>
      <c r="K128" s="145" t="n"/>
      <c r="L128" s="1" t="n"/>
      <c r="M128" s="145" t="n"/>
      <c r="N128" s="145" t="n"/>
      <c r="O128" s="145" t="n"/>
      <c r="P128" s="1" t="n"/>
      <c r="Q128" s="1" t="n"/>
      <c r="R128" s="1" t="n"/>
      <c r="S128" s="1" t="n"/>
      <c r="T128" s="1" t="n"/>
      <c r="U128" s="1" t="n"/>
      <c r="V128" s="1" t="n"/>
      <c r="W128" s="1" t="n"/>
      <c r="X128" s="1" t="n"/>
      <c r="Y128" s="1" t="n"/>
      <c r="Z128" s="1" t="n"/>
    </row>
    <row r="129" ht="15.75" customHeight="1" s="311">
      <c r="A129" s="145" t="n"/>
      <c r="B129" s="145" t="n"/>
      <c r="C129" s="145" t="n"/>
      <c r="D129" s="145" t="n"/>
      <c r="E129" s="145" t="n"/>
      <c r="F129" s="145" t="n"/>
      <c r="G129" s="145" t="n"/>
      <c r="H129" s="145" t="n"/>
      <c r="I129" s="145" t="n"/>
      <c r="J129" s="145" t="n"/>
      <c r="K129" s="145" t="n"/>
      <c r="L129" s="1" t="n"/>
      <c r="M129" s="145" t="n"/>
      <c r="N129" s="145" t="n"/>
      <c r="O129" s="145" t="n"/>
      <c r="P129" s="1" t="n"/>
      <c r="Q129" s="1" t="n"/>
      <c r="R129" s="1" t="n"/>
      <c r="S129" s="1" t="n"/>
      <c r="T129" s="1" t="n"/>
      <c r="U129" s="1" t="n"/>
      <c r="V129" s="1" t="n"/>
      <c r="W129" s="1" t="n"/>
      <c r="X129" s="1" t="n"/>
      <c r="Y129" s="1" t="n"/>
      <c r="Z129" s="1" t="n"/>
    </row>
    <row r="130" ht="15.75" customHeight="1" s="311">
      <c r="A130" s="145" t="n"/>
      <c r="B130" s="145" t="n"/>
      <c r="C130" s="145" t="n"/>
      <c r="D130" s="145" t="n"/>
      <c r="E130" s="145" t="n"/>
      <c r="F130" s="145" t="n"/>
      <c r="G130" s="145" t="n"/>
      <c r="H130" s="145" t="n"/>
      <c r="I130" s="145" t="n"/>
      <c r="J130" s="145" t="n"/>
      <c r="K130" s="145" t="n"/>
      <c r="L130" s="1" t="n"/>
      <c r="M130" s="145" t="n"/>
      <c r="N130" s="145" t="n"/>
      <c r="O130" s="145" t="n"/>
      <c r="P130" s="1" t="n"/>
      <c r="Q130" s="1" t="n"/>
      <c r="R130" s="1" t="n"/>
      <c r="S130" s="1" t="n"/>
      <c r="T130" s="1" t="n"/>
      <c r="U130" s="1" t="n"/>
      <c r="V130" s="1" t="n"/>
      <c r="W130" s="1" t="n"/>
      <c r="X130" s="1" t="n"/>
      <c r="Y130" s="1" t="n"/>
      <c r="Z130" s="1" t="n"/>
    </row>
    <row r="131" ht="15.75" customHeight="1" s="311">
      <c r="A131" s="145" t="n"/>
      <c r="B131" s="145" t="n"/>
      <c r="C131" s="145" t="n"/>
      <c r="D131" s="145" t="n"/>
      <c r="E131" s="145" t="n"/>
      <c r="F131" s="145" t="n"/>
      <c r="G131" s="145" t="n"/>
      <c r="H131" s="145" t="n"/>
      <c r="I131" s="145" t="n"/>
      <c r="J131" s="145" t="n"/>
      <c r="K131" s="145" t="n"/>
      <c r="L131" s="1" t="n"/>
      <c r="M131" s="145" t="n"/>
      <c r="N131" s="145" t="n"/>
      <c r="O131" s="145" t="n"/>
      <c r="P131" s="1" t="n"/>
      <c r="Q131" s="1" t="n"/>
      <c r="R131" s="1" t="n"/>
      <c r="S131" s="1" t="n"/>
      <c r="T131" s="1" t="n"/>
      <c r="U131" s="1" t="n"/>
      <c r="V131" s="1" t="n"/>
      <c r="W131" s="1" t="n"/>
      <c r="X131" s="1" t="n"/>
      <c r="Y131" s="1" t="n"/>
      <c r="Z131" s="1" t="n"/>
    </row>
    <row r="132" ht="15.75" customHeight="1" s="311">
      <c r="A132" s="145" t="n"/>
      <c r="B132" s="145" t="n"/>
      <c r="C132" s="145" t="n"/>
      <c r="D132" s="145" t="n"/>
      <c r="E132" s="145" t="n"/>
      <c r="F132" s="145" t="n"/>
      <c r="G132" s="145" t="n"/>
      <c r="H132" s="145" t="n"/>
      <c r="I132" s="145" t="n"/>
      <c r="J132" s="145" t="n"/>
      <c r="K132" s="145" t="n"/>
      <c r="L132" s="1" t="n"/>
      <c r="M132" s="145" t="n"/>
      <c r="N132" s="145" t="n"/>
      <c r="O132" s="145" t="n"/>
      <c r="P132" s="1" t="n"/>
      <c r="Q132" s="1" t="n"/>
      <c r="R132" s="1" t="n"/>
      <c r="S132" s="1" t="n"/>
      <c r="T132" s="1" t="n"/>
      <c r="U132" s="1" t="n"/>
      <c r="V132" s="1" t="n"/>
      <c r="W132" s="1" t="n"/>
      <c r="X132" s="1" t="n"/>
      <c r="Y132" s="1" t="n"/>
      <c r="Z132" s="1" t="n"/>
    </row>
    <row r="133" ht="15.75" customHeight="1" s="311">
      <c r="A133" s="145" t="n"/>
      <c r="B133" s="145" t="n"/>
      <c r="C133" s="145" t="n"/>
      <c r="D133" s="145" t="n"/>
      <c r="E133" s="145" t="n"/>
      <c r="F133" s="145" t="n"/>
      <c r="G133" s="145" t="n"/>
      <c r="H133" s="145" t="n"/>
      <c r="I133" s="145" t="n"/>
      <c r="J133" s="145" t="n"/>
      <c r="K133" s="145" t="n"/>
      <c r="L133" s="1" t="n"/>
      <c r="M133" s="145" t="n"/>
      <c r="N133" s="145" t="n"/>
      <c r="O133" s="145" t="n"/>
      <c r="P133" s="1" t="n"/>
      <c r="Q133" s="1" t="n"/>
      <c r="R133" s="1" t="n"/>
      <c r="S133" s="1" t="n"/>
      <c r="T133" s="1" t="n"/>
      <c r="U133" s="1" t="n"/>
      <c r="V133" s="1" t="n"/>
      <c r="W133" s="1" t="n"/>
      <c r="X133" s="1" t="n"/>
      <c r="Y133" s="1" t="n"/>
      <c r="Z133" s="1" t="n"/>
    </row>
    <row r="134" ht="15.75" customHeight="1" s="311">
      <c r="A134" s="145" t="n"/>
      <c r="B134" s="145" t="n"/>
      <c r="C134" s="145" t="n"/>
      <c r="D134" s="145" t="n"/>
      <c r="E134" s="145" t="n"/>
      <c r="F134" s="145" t="n"/>
      <c r="G134" s="145" t="n"/>
      <c r="H134" s="145" t="n"/>
      <c r="I134" s="145" t="n"/>
      <c r="J134" s="145" t="n"/>
      <c r="K134" s="145" t="n"/>
      <c r="L134" s="1" t="n"/>
      <c r="M134" s="145" t="n"/>
      <c r="N134" s="145" t="n"/>
      <c r="O134" s="145" t="n"/>
      <c r="P134" s="1" t="n"/>
      <c r="Q134" s="1" t="n"/>
      <c r="R134" s="1" t="n"/>
      <c r="S134" s="1" t="n"/>
      <c r="T134" s="1" t="n"/>
      <c r="U134" s="1" t="n"/>
      <c r="V134" s="1" t="n"/>
      <c r="W134" s="1" t="n"/>
      <c r="X134" s="1" t="n"/>
      <c r="Y134" s="1" t="n"/>
      <c r="Z134" s="1" t="n"/>
    </row>
    <row r="135" ht="15.75" customHeight="1" s="311">
      <c r="A135" s="145" t="n"/>
      <c r="B135" s="145" t="n"/>
      <c r="C135" s="145" t="n"/>
      <c r="D135" s="145" t="n"/>
      <c r="E135" s="145" t="n"/>
      <c r="F135" s="145" t="n"/>
      <c r="G135" s="145" t="n"/>
      <c r="H135" s="145" t="n"/>
      <c r="I135" s="145" t="n"/>
      <c r="J135" s="145" t="n"/>
      <c r="K135" s="145" t="n"/>
      <c r="L135" s="1" t="n"/>
      <c r="M135" s="145" t="n"/>
      <c r="N135" s="145" t="n"/>
      <c r="O135" s="145" t="n"/>
      <c r="P135" s="1" t="n"/>
      <c r="Q135" s="1" t="n"/>
      <c r="R135" s="1" t="n"/>
      <c r="S135" s="1" t="n"/>
      <c r="T135" s="1" t="n"/>
      <c r="U135" s="1" t="n"/>
      <c r="V135" s="1" t="n"/>
      <c r="W135" s="1" t="n"/>
      <c r="X135" s="1" t="n"/>
      <c r="Y135" s="1" t="n"/>
      <c r="Z135" s="1" t="n"/>
    </row>
    <row r="136" ht="15.75" customHeight="1" s="311">
      <c r="A136" s="145" t="n"/>
      <c r="B136" s="145" t="n"/>
      <c r="C136" s="145" t="n"/>
      <c r="D136" s="145" t="n"/>
      <c r="E136" s="145" t="n"/>
      <c r="F136" s="145" t="n"/>
      <c r="G136" s="145" t="n"/>
      <c r="H136" s="145" t="n"/>
      <c r="I136" s="145" t="n"/>
      <c r="J136" s="145" t="n"/>
      <c r="K136" s="145" t="n"/>
      <c r="L136" s="1" t="n"/>
      <c r="M136" s="145" t="n"/>
      <c r="N136" s="145" t="n"/>
      <c r="O136" s="145" t="n"/>
      <c r="P136" s="1" t="n"/>
      <c r="Q136" s="1" t="n"/>
      <c r="R136" s="1" t="n"/>
      <c r="S136" s="1" t="n"/>
      <c r="T136" s="1" t="n"/>
      <c r="U136" s="1" t="n"/>
      <c r="V136" s="1" t="n"/>
      <c r="W136" s="1" t="n"/>
      <c r="X136" s="1" t="n"/>
      <c r="Y136" s="1" t="n"/>
      <c r="Z136" s="1" t="n"/>
    </row>
    <row r="137" ht="15.75" customHeight="1" s="311">
      <c r="A137" s="145" t="n"/>
      <c r="B137" s="145" t="n"/>
      <c r="C137" s="145" t="n"/>
      <c r="D137" s="145" t="n"/>
      <c r="E137" s="145" t="n"/>
      <c r="F137" s="145" t="n"/>
      <c r="G137" s="145" t="n"/>
      <c r="H137" s="145" t="n"/>
      <c r="I137" s="145" t="n"/>
      <c r="J137" s="145" t="n"/>
      <c r="K137" s="145" t="n"/>
      <c r="L137" s="1" t="n"/>
      <c r="M137" s="145" t="n"/>
      <c r="N137" s="145" t="n"/>
      <c r="O137" s="145" t="n"/>
      <c r="P137" s="1" t="n"/>
      <c r="Q137" s="1" t="n"/>
      <c r="R137" s="1" t="n"/>
      <c r="S137" s="1" t="n"/>
      <c r="T137" s="1" t="n"/>
      <c r="U137" s="1" t="n"/>
      <c r="V137" s="1" t="n"/>
      <c r="W137" s="1" t="n"/>
      <c r="X137" s="1" t="n"/>
      <c r="Y137" s="1" t="n"/>
      <c r="Z137" s="1" t="n"/>
    </row>
    <row r="138" ht="15.75" customHeight="1" s="311">
      <c r="A138" s="145" t="n"/>
      <c r="B138" s="145" t="n"/>
      <c r="C138" s="145" t="n"/>
      <c r="D138" s="145" t="n"/>
      <c r="E138" s="145" t="n"/>
      <c r="F138" s="145" t="n"/>
      <c r="G138" s="145" t="n"/>
      <c r="H138" s="145" t="n"/>
      <c r="I138" s="145" t="n"/>
      <c r="J138" s="145" t="n"/>
      <c r="K138" s="145" t="n"/>
      <c r="L138" s="1" t="n"/>
      <c r="M138" s="145" t="n"/>
      <c r="N138" s="145" t="n"/>
      <c r="O138" s="145" t="n"/>
      <c r="P138" s="1" t="n"/>
      <c r="Q138" s="1" t="n"/>
      <c r="R138" s="1" t="n"/>
      <c r="S138" s="1" t="n"/>
      <c r="T138" s="1" t="n"/>
      <c r="U138" s="1" t="n"/>
      <c r="V138" s="1" t="n"/>
      <c r="W138" s="1" t="n"/>
      <c r="X138" s="1" t="n"/>
      <c r="Y138" s="1" t="n"/>
      <c r="Z138" s="1" t="n"/>
    </row>
    <row r="139" ht="15.75" customHeight="1" s="311">
      <c r="A139" s="145" t="n"/>
      <c r="B139" s="145" t="n"/>
      <c r="C139" s="145" t="n"/>
      <c r="D139" s="145" t="n"/>
      <c r="E139" s="145" t="n"/>
      <c r="F139" s="145" t="n"/>
      <c r="G139" s="145" t="n"/>
      <c r="H139" s="145" t="n"/>
      <c r="I139" s="145" t="n"/>
      <c r="J139" s="145" t="n"/>
      <c r="K139" s="145" t="n"/>
      <c r="L139" s="1" t="n"/>
      <c r="M139" s="145" t="n"/>
      <c r="N139" s="145" t="n"/>
      <c r="O139" s="145" t="n"/>
      <c r="P139" s="1" t="n"/>
      <c r="Q139" s="1" t="n"/>
      <c r="R139" s="1" t="n"/>
      <c r="S139" s="1" t="n"/>
      <c r="T139" s="1" t="n"/>
      <c r="U139" s="1" t="n"/>
      <c r="V139" s="1" t="n"/>
      <c r="W139" s="1" t="n"/>
      <c r="X139" s="1" t="n"/>
      <c r="Y139" s="1" t="n"/>
      <c r="Z139" s="1" t="n"/>
    </row>
    <row r="140" ht="15.75" customHeight="1" s="311">
      <c r="A140" s="145" t="n"/>
      <c r="B140" s="145" t="n"/>
      <c r="C140" s="145" t="n"/>
      <c r="D140" s="145" t="n"/>
      <c r="E140" s="145" t="n"/>
      <c r="F140" s="145" t="n"/>
      <c r="G140" s="145" t="n"/>
      <c r="H140" s="145" t="n"/>
      <c r="I140" s="145" t="n"/>
      <c r="J140" s="145" t="n"/>
      <c r="K140" s="145" t="n"/>
      <c r="L140" s="1" t="n"/>
      <c r="M140" s="145" t="n"/>
      <c r="N140" s="145" t="n"/>
      <c r="O140" s="145" t="n"/>
      <c r="P140" s="1" t="n"/>
      <c r="Q140" s="1" t="n"/>
      <c r="R140" s="1" t="n"/>
      <c r="S140" s="1" t="n"/>
      <c r="T140" s="1" t="n"/>
      <c r="U140" s="1" t="n"/>
      <c r="V140" s="1" t="n"/>
      <c r="W140" s="1" t="n"/>
      <c r="X140" s="1" t="n"/>
      <c r="Y140" s="1" t="n"/>
      <c r="Z140" s="1" t="n"/>
    </row>
    <row r="141" ht="15.75" customHeight="1" s="311">
      <c r="A141" s="145" t="n"/>
      <c r="B141" s="145" t="n"/>
      <c r="C141" s="145" t="n"/>
      <c r="D141" s="145" t="n"/>
      <c r="E141" s="145" t="n"/>
      <c r="F141" s="145" t="n"/>
      <c r="G141" s="145" t="n"/>
      <c r="H141" s="145" t="n"/>
      <c r="I141" s="145" t="n"/>
      <c r="J141" s="145" t="n"/>
      <c r="K141" s="145" t="n"/>
      <c r="L141" s="1" t="n"/>
      <c r="M141" s="145" t="n"/>
      <c r="N141" s="145" t="n"/>
      <c r="O141" s="145" t="n"/>
      <c r="P141" s="1" t="n"/>
      <c r="Q141" s="1" t="n"/>
      <c r="R141" s="1" t="n"/>
      <c r="S141" s="1" t="n"/>
      <c r="T141" s="1" t="n"/>
      <c r="U141" s="1" t="n"/>
      <c r="V141" s="1" t="n"/>
      <c r="W141" s="1" t="n"/>
      <c r="X141" s="1" t="n"/>
      <c r="Y141" s="1" t="n"/>
      <c r="Z141" s="1" t="n"/>
    </row>
    <row r="142" ht="15.75" customHeight="1" s="311">
      <c r="A142" s="145" t="n"/>
      <c r="B142" s="145" t="n"/>
      <c r="C142" s="145" t="n"/>
      <c r="D142" s="145" t="n"/>
      <c r="E142" s="145" t="n"/>
      <c r="F142" s="145" t="n"/>
      <c r="G142" s="145" t="n"/>
      <c r="H142" s="145" t="n"/>
      <c r="I142" s="145" t="n"/>
      <c r="J142" s="145" t="n"/>
      <c r="K142" s="145" t="n"/>
      <c r="L142" s="1" t="n"/>
      <c r="M142" s="145" t="n"/>
      <c r="N142" s="145" t="n"/>
      <c r="O142" s="145" t="n"/>
      <c r="P142" s="1" t="n"/>
      <c r="Q142" s="1" t="n"/>
      <c r="R142" s="1" t="n"/>
      <c r="S142" s="1" t="n"/>
      <c r="T142" s="1" t="n"/>
      <c r="U142" s="1" t="n"/>
      <c r="V142" s="1" t="n"/>
      <c r="W142" s="1" t="n"/>
      <c r="X142" s="1" t="n"/>
      <c r="Y142" s="1" t="n"/>
      <c r="Z142" s="1" t="n"/>
    </row>
    <row r="143" ht="15.75" customHeight="1" s="311">
      <c r="A143" s="145" t="n"/>
      <c r="B143" s="145" t="n"/>
      <c r="C143" s="145" t="n"/>
      <c r="D143" s="145" t="n"/>
      <c r="E143" s="145" t="n"/>
      <c r="F143" s="145" t="n"/>
      <c r="G143" s="145" t="n"/>
      <c r="H143" s="145" t="n"/>
      <c r="I143" s="145" t="n"/>
      <c r="J143" s="145" t="n"/>
      <c r="K143" s="145" t="n"/>
      <c r="L143" s="1" t="n"/>
      <c r="M143" s="145" t="n"/>
      <c r="N143" s="145" t="n"/>
      <c r="O143" s="145" t="n"/>
      <c r="P143" s="1" t="n"/>
      <c r="Q143" s="1" t="n"/>
      <c r="R143" s="1" t="n"/>
      <c r="S143" s="1" t="n"/>
      <c r="T143" s="1" t="n"/>
      <c r="U143" s="1" t="n"/>
      <c r="V143" s="1" t="n"/>
      <c r="W143" s="1" t="n"/>
      <c r="X143" s="1" t="n"/>
      <c r="Y143" s="1" t="n"/>
      <c r="Z143" s="1" t="n"/>
    </row>
    <row r="144" ht="15.75" customHeight="1" s="311">
      <c r="A144" s="145" t="n"/>
      <c r="B144" s="145" t="n"/>
      <c r="C144" s="145" t="n"/>
      <c r="D144" s="145" t="n"/>
      <c r="E144" s="145" t="n"/>
      <c r="F144" s="145" t="n"/>
      <c r="G144" s="145" t="n"/>
      <c r="H144" s="145" t="n"/>
      <c r="I144" s="145" t="n"/>
      <c r="J144" s="145" t="n"/>
      <c r="K144" s="145" t="n"/>
      <c r="L144" s="1" t="n"/>
      <c r="M144" s="145" t="n"/>
      <c r="N144" s="145" t="n"/>
      <c r="O144" s="145" t="n"/>
      <c r="P144" s="1" t="n"/>
      <c r="Q144" s="1" t="n"/>
      <c r="R144" s="1" t="n"/>
      <c r="S144" s="1" t="n"/>
      <c r="T144" s="1" t="n"/>
      <c r="U144" s="1" t="n"/>
      <c r="V144" s="1" t="n"/>
      <c r="W144" s="1" t="n"/>
      <c r="X144" s="1" t="n"/>
      <c r="Y144" s="1" t="n"/>
      <c r="Z144" s="1" t="n"/>
    </row>
    <row r="145" ht="15.75" customHeight="1" s="311">
      <c r="A145" s="145" t="n"/>
      <c r="B145" s="145" t="n"/>
      <c r="C145" s="145" t="n"/>
      <c r="D145" s="145" t="n"/>
      <c r="E145" s="145" t="n"/>
      <c r="F145" s="145" t="n"/>
      <c r="G145" s="145" t="n"/>
      <c r="H145" s="145" t="n"/>
      <c r="I145" s="145" t="n"/>
      <c r="J145" s="145" t="n"/>
      <c r="K145" s="145" t="n"/>
      <c r="L145" s="1" t="n"/>
      <c r="M145" s="145" t="n"/>
      <c r="N145" s="145" t="n"/>
      <c r="O145" s="145" t="n"/>
      <c r="P145" s="1" t="n"/>
      <c r="Q145" s="1" t="n"/>
      <c r="R145" s="1" t="n"/>
      <c r="S145" s="1" t="n"/>
      <c r="T145" s="1" t="n"/>
      <c r="U145" s="1" t="n"/>
      <c r="V145" s="1" t="n"/>
      <c r="W145" s="1" t="n"/>
      <c r="X145" s="1" t="n"/>
      <c r="Y145" s="1" t="n"/>
      <c r="Z145" s="1" t="n"/>
    </row>
    <row r="146" ht="15.75" customHeight="1" s="311">
      <c r="A146" s="145" t="n"/>
      <c r="B146" s="145" t="n"/>
      <c r="C146" s="145" t="n"/>
      <c r="D146" s="145" t="n"/>
      <c r="E146" s="145" t="n"/>
      <c r="F146" s="145" t="n"/>
      <c r="G146" s="145" t="n"/>
      <c r="H146" s="145" t="n"/>
      <c r="I146" s="145" t="n"/>
      <c r="J146" s="145" t="n"/>
      <c r="K146" s="145" t="n"/>
      <c r="L146" s="1" t="n"/>
      <c r="M146" s="145" t="n"/>
      <c r="N146" s="145" t="n"/>
      <c r="O146" s="145" t="n"/>
      <c r="P146" s="1" t="n"/>
      <c r="Q146" s="1" t="n"/>
      <c r="R146" s="1" t="n"/>
      <c r="S146" s="1" t="n"/>
      <c r="T146" s="1" t="n"/>
      <c r="U146" s="1" t="n"/>
      <c r="V146" s="1" t="n"/>
      <c r="W146" s="1" t="n"/>
      <c r="X146" s="1" t="n"/>
      <c r="Y146" s="1" t="n"/>
      <c r="Z146" s="1" t="n"/>
    </row>
    <row r="147" ht="15.75" customHeight="1" s="311">
      <c r="A147" s="145" t="n"/>
      <c r="B147" s="145" t="n"/>
      <c r="C147" s="145" t="n"/>
      <c r="D147" s="145" t="n"/>
      <c r="E147" s="145" t="n"/>
      <c r="F147" s="145" t="n"/>
      <c r="G147" s="145" t="n"/>
      <c r="H147" s="145" t="n"/>
      <c r="I147" s="145" t="n"/>
      <c r="J147" s="145" t="n"/>
      <c r="K147" s="145" t="n"/>
      <c r="L147" s="1" t="n"/>
      <c r="M147" s="145" t="n"/>
      <c r="N147" s="145" t="n"/>
      <c r="O147" s="145" t="n"/>
      <c r="P147" s="1" t="n"/>
      <c r="Q147" s="1" t="n"/>
      <c r="R147" s="1" t="n"/>
      <c r="S147" s="1" t="n"/>
      <c r="T147" s="1" t="n"/>
      <c r="U147" s="1" t="n"/>
      <c r="V147" s="1" t="n"/>
      <c r="W147" s="1" t="n"/>
      <c r="X147" s="1" t="n"/>
      <c r="Y147" s="1" t="n"/>
      <c r="Z147" s="1" t="n"/>
    </row>
    <row r="148" ht="15.75" customHeight="1" s="311">
      <c r="A148" s="145" t="n"/>
      <c r="B148" s="145" t="n"/>
      <c r="C148" s="145" t="n"/>
      <c r="D148" s="145" t="n"/>
      <c r="E148" s="145" t="n"/>
      <c r="F148" s="145" t="n"/>
      <c r="G148" s="145" t="n"/>
      <c r="H148" s="145" t="n"/>
      <c r="I148" s="145" t="n"/>
      <c r="J148" s="145" t="n"/>
      <c r="K148" s="145" t="n"/>
      <c r="L148" s="1" t="n"/>
      <c r="M148" s="145" t="n"/>
      <c r="N148" s="145" t="n"/>
      <c r="O148" s="145" t="n"/>
      <c r="P148" s="1" t="n"/>
      <c r="Q148" s="1" t="n"/>
      <c r="R148" s="1" t="n"/>
      <c r="S148" s="1" t="n"/>
      <c r="T148" s="1" t="n"/>
      <c r="U148" s="1" t="n"/>
      <c r="V148" s="1" t="n"/>
      <c r="W148" s="1" t="n"/>
      <c r="X148" s="1" t="n"/>
      <c r="Y148" s="1" t="n"/>
      <c r="Z148" s="1" t="n"/>
    </row>
    <row r="149" ht="15.75" customHeight="1" s="311">
      <c r="A149" s="145" t="n"/>
      <c r="B149" s="145" t="n"/>
      <c r="C149" s="145" t="n"/>
      <c r="D149" s="145" t="n"/>
      <c r="E149" s="145" t="n"/>
      <c r="F149" s="145" t="n"/>
      <c r="G149" s="145" t="n"/>
      <c r="H149" s="145" t="n"/>
      <c r="I149" s="145" t="n"/>
      <c r="J149" s="145" t="n"/>
      <c r="K149" s="145" t="n"/>
      <c r="L149" s="1" t="n"/>
      <c r="M149" s="145" t="n"/>
      <c r="N149" s="145" t="n"/>
      <c r="O149" s="145" t="n"/>
      <c r="P149" s="1" t="n"/>
      <c r="Q149" s="1" t="n"/>
      <c r="R149" s="1" t="n"/>
      <c r="S149" s="1" t="n"/>
      <c r="T149" s="1" t="n"/>
      <c r="U149" s="1" t="n"/>
      <c r="V149" s="1" t="n"/>
      <c r="W149" s="1" t="n"/>
      <c r="X149" s="1" t="n"/>
      <c r="Y149" s="1" t="n"/>
      <c r="Z149" s="1" t="n"/>
    </row>
    <row r="150" ht="15.75" customHeight="1" s="311">
      <c r="A150" s="145" t="n"/>
      <c r="B150" s="145" t="n"/>
      <c r="C150" s="145" t="n"/>
      <c r="D150" s="145" t="n"/>
      <c r="E150" s="145" t="n"/>
      <c r="F150" s="145" t="n"/>
      <c r="G150" s="145" t="n"/>
      <c r="H150" s="145" t="n"/>
      <c r="I150" s="145" t="n"/>
      <c r="J150" s="145" t="n"/>
      <c r="K150" s="145" t="n"/>
      <c r="L150" s="1" t="n"/>
      <c r="M150" s="145" t="n"/>
      <c r="N150" s="145" t="n"/>
      <c r="O150" s="145" t="n"/>
      <c r="P150" s="1" t="n"/>
      <c r="Q150" s="1" t="n"/>
      <c r="R150" s="1" t="n"/>
      <c r="S150" s="1" t="n"/>
      <c r="T150" s="1" t="n"/>
      <c r="U150" s="1" t="n"/>
      <c r="V150" s="1" t="n"/>
      <c r="W150" s="1" t="n"/>
      <c r="X150" s="1" t="n"/>
      <c r="Y150" s="1" t="n"/>
      <c r="Z150" s="1" t="n"/>
    </row>
    <row r="151" ht="15.75" customHeight="1" s="311">
      <c r="A151" s="145" t="n"/>
      <c r="B151" s="145" t="n"/>
      <c r="C151" s="145" t="n"/>
      <c r="D151" s="145" t="n"/>
      <c r="E151" s="145" t="n"/>
      <c r="F151" s="145" t="n"/>
      <c r="G151" s="145" t="n"/>
      <c r="H151" s="145" t="n"/>
      <c r="I151" s="145" t="n"/>
      <c r="J151" s="145" t="n"/>
      <c r="K151" s="145" t="n"/>
      <c r="L151" s="1" t="n"/>
      <c r="M151" s="145" t="n"/>
      <c r="N151" s="145" t="n"/>
      <c r="O151" s="145" t="n"/>
      <c r="P151" s="1" t="n"/>
      <c r="Q151" s="1" t="n"/>
      <c r="R151" s="1" t="n"/>
      <c r="S151" s="1" t="n"/>
      <c r="T151" s="1" t="n"/>
      <c r="U151" s="1" t="n"/>
      <c r="V151" s="1" t="n"/>
      <c r="W151" s="1" t="n"/>
      <c r="X151" s="1" t="n"/>
      <c r="Y151" s="1" t="n"/>
      <c r="Z151" s="1" t="n"/>
    </row>
    <row r="152" ht="15.75" customHeight="1" s="311">
      <c r="A152" s="145" t="n"/>
      <c r="B152" s="145" t="n"/>
      <c r="C152" s="145" t="n"/>
      <c r="D152" s="145" t="n"/>
      <c r="E152" s="145" t="n"/>
      <c r="F152" s="145" t="n"/>
      <c r="G152" s="145" t="n"/>
      <c r="H152" s="145" t="n"/>
      <c r="I152" s="145" t="n"/>
      <c r="J152" s="145" t="n"/>
      <c r="K152" s="145" t="n"/>
      <c r="L152" s="1" t="n"/>
      <c r="M152" s="145" t="n"/>
      <c r="N152" s="145" t="n"/>
      <c r="O152" s="145" t="n"/>
      <c r="P152" s="1" t="n"/>
      <c r="Q152" s="1" t="n"/>
      <c r="R152" s="1" t="n"/>
      <c r="S152" s="1" t="n"/>
      <c r="T152" s="1" t="n"/>
      <c r="U152" s="1" t="n"/>
      <c r="V152" s="1" t="n"/>
      <c r="W152" s="1" t="n"/>
      <c r="X152" s="1" t="n"/>
      <c r="Y152" s="1" t="n"/>
      <c r="Z152" s="1" t="n"/>
    </row>
    <row r="153" ht="15.75" customHeight="1" s="311">
      <c r="A153" s="145" t="n"/>
      <c r="B153" s="145" t="n"/>
      <c r="C153" s="145" t="n"/>
      <c r="D153" s="145" t="n"/>
      <c r="E153" s="145" t="n"/>
      <c r="F153" s="145" t="n"/>
      <c r="G153" s="145" t="n"/>
      <c r="H153" s="145" t="n"/>
      <c r="I153" s="145" t="n"/>
      <c r="J153" s="145" t="n"/>
      <c r="K153" s="145" t="n"/>
      <c r="L153" s="1" t="n"/>
      <c r="M153" s="145" t="n"/>
      <c r="N153" s="145" t="n"/>
      <c r="O153" s="145" t="n"/>
      <c r="P153" s="1" t="n"/>
      <c r="Q153" s="1" t="n"/>
      <c r="R153" s="1" t="n"/>
      <c r="S153" s="1" t="n"/>
      <c r="T153" s="1" t="n"/>
      <c r="U153" s="1" t="n"/>
      <c r="V153" s="1" t="n"/>
      <c r="W153" s="1" t="n"/>
      <c r="X153" s="1" t="n"/>
      <c r="Y153" s="1" t="n"/>
      <c r="Z153" s="1" t="n"/>
    </row>
    <row r="154" ht="15.75" customHeight="1" s="311">
      <c r="A154" s="145" t="n"/>
      <c r="B154" s="145" t="n"/>
      <c r="C154" s="145" t="n"/>
      <c r="D154" s="145" t="n"/>
      <c r="E154" s="145" t="n"/>
      <c r="F154" s="145" t="n"/>
      <c r="G154" s="145" t="n"/>
      <c r="H154" s="145" t="n"/>
      <c r="I154" s="145" t="n"/>
      <c r="J154" s="145" t="n"/>
      <c r="K154" s="145" t="n"/>
      <c r="L154" s="1" t="n"/>
      <c r="M154" s="145" t="n"/>
      <c r="N154" s="145" t="n"/>
      <c r="O154" s="145" t="n"/>
      <c r="P154" s="1" t="n"/>
      <c r="Q154" s="1" t="n"/>
      <c r="R154" s="1" t="n"/>
      <c r="S154" s="1" t="n"/>
      <c r="T154" s="1" t="n"/>
      <c r="U154" s="1" t="n"/>
      <c r="V154" s="1" t="n"/>
      <c r="W154" s="1" t="n"/>
      <c r="X154" s="1" t="n"/>
      <c r="Y154" s="1" t="n"/>
      <c r="Z154" s="1" t="n"/>
    </row>
    <row r="155" ht="15.75" customHeight="1" s="311">
      <c r="A155" s="145" t="n"/>
      <c r="B155" s="145" t="n"/>
      <c r="C155" s="145" t="n"/>
      <c r="D155" s="145" t="n"/>
      <c r="E155" s="145" t="n"/>
      <c r="F155" s="145" t="n"/>
      <c r="G155" s="145" t="n"/>
      <c r="H155" s="145" t="n"/>
      <c r="I155" s="145" t="n"/>
      <c r="J155" s="145" t="n"/>
      <c r="K155" s="145" t="n"/>
      <c r="L155" s="1" t="n"/>
      <c r="M155" s="145" t="n"/>
      <c r="N155" s="145" t="n"/>
      <c r="O155" s="145" t="n"/>
      <c r="P155" s="1" t="n"/>
      <c r="Q155" s="1" t="n"/>
      <c r="R155" s="1" t="n"/>
      <c r="S155" s="1" t="n"/>
      <c r="T155" s="1" t="n"/>
      <c r="U155" s="1" t="n"/>
      <c r="V155" s="1" t="n"/>
      <c r="W155" s="1" t="n"/>
      <c r="X155" s="1" t="n"/>
      <c r="Y155" s="1" t="n"/>
      <c r="Z155" s="1" t="n"/>
    </row>
    <row r="156" ht="15.75" customHeight="1" s="311">
      <c r="A156" s="145" t="n"/>
      <c r="B156" s="145" t="n"/>
      <c r="C156" s="145" t="n"/>
      <c r="D156" s="145" t="n"/>
      <c r="E156" s="145" t="n"/>
      <c r="F156" s="145" t="n"/>
      <c r="G156" s="145" t="n"/>
      <c r="H156" s="145" t="n"/>
      <c r="I156" s="145" t="n"/>
      <c r="J156" s="145" t="n"/>
      <c r="K156" s="145" t="n"/>
      <c r="L156" s="1" t="n"/>
      <c r="M156" s="145" t="n"/>
      <c r="N156" s="145" t="n"/>
      <c r="O156" s="145" t="n"/>
      <c r="P156" s="1" t="n"/>
      <c r="Q156" s="1" t="n"/>
      <c r="R156" s="1" t="n"/>
      <c r="S156" s="1" t="n"/>
      <c r="T156" s="1" t="n"/>
      <c r="U156" s="1" t="n"/>
      <c r="V156" s="1" t="n"/>
      <c r="W156" s="1" t="n"/>
      <c r="X156" s="1" t="n"/>
      <c r="Y156" s="1" t="n"/>
      <c r="Z156" s="1" t="n"/>
    </row>
    <row r="157" ht="15.75" customHeight="1" s="311">
      <c r="A157" s="145" t="n"/>
      <c r="B157" s="145" t="n"/>
      <c r="C157" s="145" t="n"/>
      <c r="D157" s="145" t="n"/>
      <c r="E157" s="145" t="n"/>
      <c r="F157" s="145" t="n"/>
      <c r="G157" s="145" t="n"/>
      <c r="H157" s="145" t="n"/>
      <c r="I157" s="145" t="n"/>
      <c r="J157" s="145" t="n"/>
      <c r="K157" s="145" t="n"/>
      <c r="L157" s="1" t="n"/>
      <c r="M157" s="145" t="n"/>
      <c r="N157" s="145" t="n"/>
      <c r="O157" s="145" t="n"/>
      <c r="P157" s="1" t="n"/>
      <c r="Q157" s="1" t="n"/>
      <c r="R157" s="1" t="n"/>
      <c r="S157" s="1" t="n"/>
      <c r="T157" s="1" t="n"/>
      <c r="U157" s="1" t="n"/>
      <c r="V157" s="1" t="n"/>
      <c r="W157" s="1" t="n"/>
      <c r="X157" s="1" t="n"/>
      <c r="Y157" s="1" t="n"/>
      <c r="Z157" s="1" t="n"/>
    </row>
    <row r="158" ht="15.75" customHeight="1" s="311">
      <c r="A158" s="145" t="n"/>
      <c r="B158" s="145" t="n"/>
      <c r="C158" s="145" t="n"/>
      <c r="D158" s="145" t="n"/>
      <c r="E158" s="145" t="n"/>
      <c r="F158" s="145" t="n"/>
      <c r="G158" s="145" t="n"/>
      <c r="H158" s="145" t="n"/>
      <c r="I158" s="145" t="n"/>
      <c r="J158" s="145" t="n"/>
      <c r="K158" s="145" t="n"/>
      <c r="L158" s="1" t="n"/>
      <c r="M158" s="145" t="n"/>
      <c r="N158" s="145" t="n"/>
      <c r="O158" s="145" t="n"/>
      <c r="P158" s="1" t="n"/>
      <c r="Q158" s="1" t="n"/>
      <c r="R158" s="1" t="n"/>
      <c r="S158" s="1" t="n"/>
      <c r="T158" s="1" t="n"/>
      <c r="U158" s="1" t="n"/>
      <c r="V158" s="1" t="n"/>
      <c r="W158" s="1" t="n"/>
      <c r="X158" s="1" t="n"/>
      <c r="Y158" s="1" t="n"/>
      <c r="Z158" s="1" t="n"/>
    </row>
    <row r="159" ht="15.75" customHeight="1" s="311">
      <c r="A159" s="145" t="n"/>
      <c r="B159" s="145" t="n"/>
      <c r="C159" s="145" t="n"/>
      <c r="D159" s="145" t="n"/>
      <c r="E159" s="145" t="n"/>
      <c r="F159" s="145" t="n"/>
      <c r="G159" s="145" t="n"/>
      <c r="H159" s="145" t="n"/>
      <c r="I159" s="145" t="n"/>
      <c r="J159" s="145" t="n"/>
      <c r="K159" s="145" t="n"/>
      <c r="L159" s="1" t="n"/>
      <c r="M159" s="145" t="n"/>
      <c r="N159" s="145" t="n"/>
      <c r="O159" s="145" t="n"/>
      <c r="P159" s="1" t="n"/>
      <c r="Q159" s="1" t="n"/>
      <c r="R159" s="1" t="n"/>
      <c r="S159" s="1" t="n"/>
      <c r="T159" s="1" t="n"/>
      <c r="U159" s="1" t="n"/>
      <c r="V159" s="1" t="n"/>
      <c r="W159" s="1" t="n"/>
      <c r="X159" s="1" t="n"/>
      <c r="Y159" s="1" t="n"/>
      <c r="Z159" s="1" t="n"/>
    </row>
    <row r="160" ht="15.75" customHeight="1" s="311">
      <c r="A160" s="145" t="n"/>
      <c r="B160" s="145" t="n"/>
      <c r="C160" s="145" t="n"/>
      <c r="D160" s="145" t="n"/>
      <c r="E160" s="145" t="n"/>
      <c r="F160" s="145" t="n"/>
      <c r="G160" s="145" t="n"/>
      <c r="H160" s="145" t="n"/>
      <c r="I160" s="145" t="n"/>
      <c r="J160" s="145" t="n"/>
      <c r="K160" s="145" t="n"/>
      <c r="L160" s="1" t="n"/>
      <c r="M160" s="145" t="n"/>
      <c r="N160" s="145" t="n"/>
      <c r="O160" s="145" t="n"/>
      <c r="P160" s="1" t="n"/>
      <c r="Q160" s="1" t="n"/>
      <c r="R160" s="1" t="n"/>
      <c r="S160" s="1" t="n"/>
      <c r="T160" s="1" t="n"/>
      <c r="U160" s="1" t="n"/>
      <c r="V160" s="1" t="n"/>
      <c r="W160" s="1" t="n"/>
      <c r="X160" s="1" t="n"/>
      <c r="Y160" s="1" t="n"/>
      <c r="Z160" s="1" t="n"/>
    </row>
    <row r="161" ht="15.75" customHeight="1" s="311">
      <c r="A161" s="145" t="n"/>
      <c r="B161" s="145" t="n"/>
      <c r="C161" s="145" t="n"/>
      <c r="D161" s="145" t="n"/>
      <c r="E161" s="145" t="n"/>
      <c r="F161" s="145" t="n"/>
      <c r="G161" s="145" t="n"/>
      <c r="H161" s="145" t="n"/>
      <c r="I161" s="145" t="n"/>
      <c r="J161" s="145" t="n"/>
      <c r="K161" s="145" t="n"/>
      <c r="L161" s="1" t="n"/>
      <c r="M161" s="145" t="n"/>
      <c r="N161" s="145" t="n"/>
      <c r="O161" s="145" t="n"/>
      <c r="P161" s="1" t="n"/>
      <c r="Q161" s="1" t="n"/>
      <c r="R161" s="1" t="n"/>
      <c r="S161" s="1" t="n"/>
      <c r="T161" s="1" t="n"/>
      <c r="U161" s="1" t="n"/>
      <c r="V161" s="1" t="n"/>
      <c r="W161" s="1" t="n"/>
      <c r="X161" s="1" t="n"/>
      <c r="Y161" s="1" t="n"/>
      <c r="Z161" s="1" t="n"/>
    </row>
    <row r="162" ht="15.75" customHeight="1" s="311">
      <c r="A162" s="145" t="n"/>
      <c r="B162" s="145" t="n"/>
      <c r="C162" s="145" t="n"/>
      <c r="D162" s="145" t="n"/>
      <c r="E162" s="145" t="n"/>
      <c r="F162" s="145" t="n"/>
      <c r="G162" s="145" t="n"/>
      <c r="H162" s="145" t="n"/>
      <c r="I162" s="145" t="n"/>
      <c r="J162" s="145" t="n"/>
      <c r="K162" s="145" t="n"/>
      <c r="L162" s="1" t="n"/>
      <c r="M162" s="145" t="n"/>
      <c r="N162" s="145" t="n"/>
      <c r="O162" s="145" t="n"/>
      <c r="P162" s="1" t="n"/>
      <c r="Q162" s="1" t="n"/>
      <c r="R162" s="1" t="n"/>
      <c r="S162" s="1" t="n"/>
      <c r="T162" s="1" t="n"/>
      <c r="U162" s="1" t="n"/>
      <c r="V162" s="1" t="n"/>
      <c r="W162" s="1" t="n"/>
      <c r="X162" s="1" t="n"/>
      <c r="Y162" s="1" t="n"/>
      <c r="Z162" s="1" t="n"/>
    </row>
    <row r="163" ht="15.75" customHeight="1" s="311">
      <c r="A163" s="145" t="n"/>
      <c r="B163" s="145" t="n"/>
      <c r="C163" s="145" t="n"/>
      <c r="D163" s="145" t="n"/>
      <c r="E163" s="145" t="n"/>
      <c r="F163" s="145" t="n"/>
      <c r="G163" s="145" t="n"/>
      <c r="H163" s="145" t="n"/>
      <c r="I163" s="145" t="n"/>
      <c r="J163" s="145" t="n"/>
      <c r="K163" s="145" t="n"/>
      <c r="L163" s="1" t="n"/>
      <c r="M163" s="145" t="n"/>
      <c r="N163" s="145" t="n"/>
      <c r="O163" s="145" t="n"/>
      <c r="P163" s="1" t="n"/>
      <c r="Q163" s="1" t="n"/>
      <c r="R163" s="1" t="n"/>
      <c r="S163" s="1" t="n"/>
      <c r="T163" s="1" t="n"/>
      <c r="U163" s="1" t="n"/>
      <c r="V163" s="1" t="n"/>
      <c r="W163" s="1" t="n"/>
      <c r="X163" s="1" t="n"/>
      <c r="Y163" s="1" t="n"/>
      <c r="Z163" s="1" t="n"/>
    </row>
    <row r="164" ht="15.75" customHeight="1" s="311">
      <c r="A164" s="145" t="n"/>
      <c r="B164" s="145" t="n"/>
      <c r="C164" s="145" t="n"/>
      <c r="D164" s="145" t="n"/>
      <c r="E164" s="145" t="n"/>
      <c r="F164" s="145" t="n"/>
      <c r="G164" s="145" t="n"/>
      <c r="H164" s="145" t="n"/>
      <c r="I164" s="145" t="n"/>
      <c r="J164" s="145" t="n"/>
      <c r="K164" s="145" t="n"/>
      <c r="L164" s="1" t="n"/>
      <c r="M164" s="145" t="n"/>
      <c r="N164" s="145" t="n"/>
      <c r="O164" s="145" t="n"/>
      <c r="P164" s="1" t="n"/>
      <c r="Q164" s="1" t="n"/>
      <c r="R164" s="1" t="n"/>
      <c r="S164" s="1" t="n"/>
      <c r="T164" s="1" t="n"/>
      <c r="U164" s="1" t="n"/>
      <c r="V164" s="1" t="n"/>
      <c r="W164" s="1" t="n"/>
      <c r="X164" s="1" t="n"/>
      <c r="Y164" s="1" t="n"/>
      <c r="Z164" s="1" t="n"/>
    </row>
    <row r="165" ht="15.75" customHeight="1" s="311">
      <c r="A165" s="145" t="n"/>
      <c r="B165" s="145" t="n"/>
      <c r="C165" s="145" t="n"/>
      <c r="D165" s="145" t="n"/>
      <c r="E165" s="145" t="n"/>
      <c r="F165" s="145" t="n"/>
      <c r="G165" s="145" t="n"/>
      <c r="H165" s="145" t="n"/>
      <c r="I165" s="145" t="n"/>
      <c r="J165" s="145" t="n"/>
      <c r="K165" s="145" t="n"/>
      <c r="L165" s="1" t="n"/>
      <c r="M165" s="145" t="n"/>
      <c r="N165" s="145" t="n"/>
      <c r="O165" s="145" t="n"/>
      <c r="P165" s="1" t="n"/>
      <c r="Q165" s="1" t="n"/>
      <c r="R165" s="1" t="n"/>
      <c r="S165" s="1" t="n"/>
      <c r="T165" s="1" t="n"/>
      <c r="U165" s="1" t="n"/>
      <c r="V165" s="1" t="n"/>
      <c r="W165" s="1" t="n"/>
      <c r="X165" s="1" t="n"/>
      <c r="Y165" s="1" t="n"/>
      <c r="Z165" s="1" t="n"/>
    </row>
    <row r="166" ht="15.75" customHeight="1" s="311">
      <c r="A166" s="145" t="n"/>
      <c r="B166" s="145" t="n"/>
      <c r="C166" s="145" t="n"/>
      <c r="D166" s="145" t="n"/>
      <c r="E166" s="145" t="n"/>
      <c r="F166" s="145" t="n"/>
      <c r="G166" s="145" t="n"/>
      <c r="H166" s="145" t="n"/>
      <c r="I166" s="145" t="n"/>
      <c r="J166" s="145" t="n"/>
      <c r="K166" s="145" t="n"/>
      <c r="L166" s="1" t="n"/>
      <c r="M166" s="145" t="n"/>
      <c r="N166" s="145" t="n"/>
      <c r="O166" s="145" t="n"/>
      <c r="P166" s="1" t="n"/>
      <c r="Q166" s="1" t="n"/>
      <c r="R166" s="1" t="n"/>
      <c r="S166" s="1" t="n"/>
      <c r="T166" s="1" t="n"/>
      <c r="U166" s="1" t="n"/>
      <c r="V166" s="1" t="n"/>
      <c r="W166" s="1" t="n"/>
      <c r="X166" s="1" t="n"/>
      <c r="Y166" s="1" t="n"/>
      <c r="Z166" s="1" t="n"/>
    </row>
    <row r="167" ht="15.75" customHeight="1" s="311">
      <c r="A167" s="145" t="n"/>
      <c r="B167" s="145" t="n"/>
      <c r="C167" s="145" t="n"/>
      <c r="D167" s="145" t="n"/>
      <c r="E167" s="145" t="n"/>
      <c r="F167" s="145" t="n"/>
      <c r="G167" s="145" t="n"/>
      <c r="H167" s="145" t="n"/>
      <c r="I167" s="145" t="n"/>
      <c r="J167" s="145" t="n"/>
      <c r="K167" s="145" t="n"/>
      <c r="L167" s="1" t="n"/>
      <c r="M167" s="145" t="n"/>
      <c r="N167" s="145" t="n"/>
      <c r="O167" s="145" t="n"/>
      <c r="P167" s="1" t="n"/>
      <c r="Q167" s="1" t="n"/>
      <c r="R167" s="1" t="n"/>
      <c r="S167" s="1" t="n"/>
      <c r="T167" s="1" t="n"/>
      <c r="U167" s="1" t="n"/>
      <c r="V167" s="1" t="n"/>
      <c r="W167" s="1" t="n"/>
      <c r="X167" s="1" t="n"/>
      <c r="Y167" s="1" t="n"/>
      <c r="Z167" s="1" t="n"/>
    </row>
    <row r="168" ht="15.75" customHeight="1" s="311">
      <c r="A168" s="145" t="n"/>
      <c r="B168" s="145" t="n"/>
      <c r="C168" s="145" t="n"/>
      <c r="D168" s="145" t="n"/>
      <c r="E168" s="145" t="n"/>
      <c r="F168" s="145" t="n"/>
      <c r="G168" s="145" t="n"/>
      <c r="H168" s="145" t="n"/>
      <c r="I168" s="145" t="n"/>
      <c r="J168" s="145" t="n"/>
      <c r="K168" s="145" t="n"/>
      <c r="L168" s="1" t="n"/>
      <c r="M168" s="145" t="n"/>
      <c r="N168" s="145" t="n"/>
      <c r="O168" s="145" t="n"/>
      <c r="P168" s="1" t="n"/>
      <c r="Q168" s="1" t="n"/>
      <c r="R168" s="1" t="n"/>
      <c r="S168" s="1" t="n"/>
      <c r="T168" s="1" t="n"/>
      <c r="U168" s="1" t="n"/>
      <c r="V168" s="1" t="n"/>
      <c r="W168" s="1" t="n"/>
      <c r="X168" s="1" t="n"/>
      <c r="Y168" s="1" t="n"/>
      <c r="Z168" s="1" t="n"/>
    </row>
    <row r="169" ht="15.75" customHeight="1" s="311">
      <c r="A169" s="145" t="n"/>
      <c r="B169" s="145" t="n"/>
      <c r="C169" s="145" t="n"/>
      <c r="D169" s="145" t="n"/>
      <c r="E169" s="145" t="n"/>
      <c r="F169" s="145" t="n"/>
      <c r="G169" s="145" t="n"/>
      <c r="H169" s="145" t="n"/>
      <c r="I169" s="145" t="n"/>
      <c r="J169" s="145" t="n"/>
      <c r="K169" s="145" t="n"/>
      <c r="L169" s="1" t="n"/>
      <c r="M169" s="145" t="n"/>
      <c r="N169" s="145" t="n"/>
      <c r="O169" s="145" t="n"/>
      <c r="P169" s="1" t="n"/>
      <c r="Q169" s="1" t="n"/>
      <c r="R169" s="1" t="n"/>
      <c r="S169" s="1" t="n"/>
      <c r="T169" s="1" t="n"/>
      <c r="U169" s="1" t="n"/>
      <c r="V169" s="1" t="n"/>
      <c r="W169" s="1" t="n"/>
      <c r="X169" s="1" t="n"/>
      <c r="Y169" s="1" t="n"/>
      <c r="Z169" s="1" t="n"/>
    </row>
    <row r="170" ht="15.75" customHeight="1" s="311">
      <c r="A170" s="145" t="n"/>
      <c r="B170" s="145" t="n"/>
      <c r="C170" s="145" t="n"/>
      <c r="D170" s="145" t="n"/>
      <c r="E170" s="145" t="n"/>
      <c r="F170" s="145" t="n"/>
      <c r="G170" s="145" t="n"/>
      <c r="H170" s="145" t="n"/>
      <c r="I170" s="145" t="n"/>
      <c r="J170" s="145" t="n"/>
      <c r="K170" s="145" t="n"/>
      <c r="L170" s="1" t="n"/>
      <c r="M170" s="145" t="n"/>
      <c r="N170" s="145" t="n"/>
      <c r="O170" s="145" t="n"/>
      <c r="P170" s="1" t="n"/>
      <c r="Q170" s="1" t="n"/>
      <c r="R170" s="1" t="n"/>
      <c r="S170" s="1" t="n"/>
      <c r="T170" s="1" t="n"/>
      <c r="U170" s="1" t="n"/>
      <c r="V170" s="1" t="n"/>
      <c r="W170" s="1" t="n"/>
      <c r="X170" s="1" t="n"/>
      <c r="Y170" s="1" t="n"/>
      <c r="Z170" s="1" t="n"/>
    </row>
    <row r="171" ht="15.75" customHeight="1" s="311">
      <c r="A171" s="145" t="n"/>
      <c r="B171" s="145" t="n"/>
      <c r="C171" s="145" t="n"/>
      <c r="D171" s="145" t="n"/>
      <c r="E171" s="145" t="n"/>
      <c r="F171" s="145" t="n"/>
      <c r="G171" s="145" t="n"/>
      <c r="H171" s="145" t="n"/>
      <c r="I171" s="145" t="n"/>
      <c r="J171" s="145" t="n"/>
      <c r="K171" s="145" t="n"/>
      <c r="L171" s="1" t="n"/>
      <c r="M171" s="145" t="n"/>
      <c r="N171" s="145" t="n"/>
      <c r="O171" s="145" t="n"/>
      <c r="P171" s="1" t="n"/>
      <c r="Q171" s="1" t="n"/>
      <c r="R171" s="1" t="n"/>
      <c r="S171" s="1" t="n"/>
      <c r="T171" s="1" t="n"/>
      <c r="U171" s="1" t="n"/>
      <c r="V171" s="1" t="n"/>
      <c r="W171" s="1" t="n"/>
      <c r="X171" s="1" t="n"/>
      <c r="Y171" s="1" t="n"/>
      <c r="Z171" s="1" t="n"/>
    </row>
    <row r="172" ht="15.75" customHeight="1" s="311">
      <c r="A172" s="145" t="n"/>
      <c r="B172" s="145" t="n"/>
      <c r="C172" s="145" t="n"/>
      <c r="D172" s="145" t="n"/>
      <c r="E172" s="145" t="n"/>
      <c r="F172" s="145" t="n"/>
      <c r="G172" s="145" t="n"/>
      <c r="H172" s="145" t="n"/>
      <c r="I172" s="145" t="n"/>
      <c r="J172" s="145" t="n"/>
      <c r="K172" s="145" t="n"/>
      <c r="L172" s="1" t="n"/>
      <c r="M172" s="145" t="n"/>
      <c r="N172" s="145" t="n"/>
      <c r="O172" s="145" t="n"/>
      <c r="P172" s="1" t="n"/>
      <c r="Q172" s="1" t="n"/>
      <c r="R172" s="1" t="n"/>
      <c r="S172" s="1" t="n"/>
      <c r="T172" s="1" t="n"/>
      <c r="U172" s="1" t="n"/>
      <c r="V172" s="1" t="n"/>
      <c r="W172" s="1" t="n"/>
      <c r="X172" s="1" t="n"/>
      <c r="Y172" s="1" t="n"/>
      <c r="Z172" s="1" t="n"/>
    </row>
    <row r="173" ht="15.75" customHeight="1" s="311">
      <c r="A173" s="145" t="n"/>
      <c r="B173" s="145" t="n"/>
      <c r="C173" s="145" t="n"/>
      <c r="D173" s="145" t="n"/>
      <c r="E173" s="145" t="n"/>
      <c r="F173" s="145" t="n"/>
      <c r="G173" s="145" t="n"/>
      <c r="H173" s="145" t="n"/>
      <c r="I173" s="145" t="n"/>
      <c r="J173" s="145" t="n"/>
      <c r="K173" s="145" t="n"/>
      <c r="L173" s="1" t="n"/>
      <c r="M173" s="145" t="n"/>
      <c r="N173" s="145" t="n"/>
      <c r="O173" s="145" t="n"/>
      <c r="P173" s="1" t="n"/>
      <c r="Q173" s="1" t="n"/>
      <c r="R173" s="1" t="n"/>
      <c r="S173" s="1" t="n"/>
      <c r="T173" s="1" t="n"/>
      <c r="U173" s="1" t="n"/>
      <c r="V173" s="1" t="n"/>
      <c r="W173" s="1" t="n"/>
      <c r="X173" s="1" t="n"/>
      <c r="Y173" s="1" t="n"/>
      <c r="Z173" s="1" t="n"/>
    </row>
    <row r="174" ht="15.75" customHeight="1" s="311">
      <c r="A174" s="145" t="n"/>
      <c r="B174" s="145" t="n"/>
      <c r="C174" s="145" t="n"/>
      <c r="D174" s="145" t="n"/>
      <c r="E174" s="145" t="n"/>
      <c r="F174" s="145" t="n"/>
      <c r="G174" s="145" t="n"/>
      <c r="H174" s="145" t="n"/>
      <c r="I174" s="145" t="n"/>
      <c r="J174" s="145" t="n"/>
      <c r="K174" s="145" t="n"/>
      <c r="L174" s="1" t="n"/>
      <c r="M174" s="145" t="n"/>
      <c r="N174" s="145" t="n"/>
      <c r="O174" s="145" t="n"/>
      <c r="P174" s="1" t="n"/>
      <c r="Q174" s="1" t="n"/>
      <c r="R174" s="1" t="n"/>
      <c r="S174" s="1" t="n"/>
      <c r="T174" s="1" t="n"/>
      <c r="U174" s="1" t="n"/>
      <c r="V174" s="1" t="n"/>
      <c r="W174" s="1" t="n"/>
      <c r="X174" s="1" t="n"/>
      <c r="Y174" s="1" t="n"/>
      <c r="Z174" s="1" t="n"/>
    </row>
    <row r="175" ht="15.75" customHeight="1" s="311">
      <c r="A175" s="145" t="n"/>
      <c r="B175" s="145" t="n"/>
      <c r="C175" s="145" t="n"/>
      <c r="D175" s="145" t="n"/>
      <c r="E175" s="145" t="n"/>
      <c r="F175" s="145" t="n"/>
      <c r="G175" s="145" t="n"/>
      <c r="H175" s="145" t="n"/>
      <c r="I175" s="145" t="n"/>
      <c r="J175" s="145" t="n"/>
      <c r="K175" s="145" t="n"/>
      <c r="L175" s="1" t="n"/>
      <c r="M175" s="145" t="n"/>
      <c r="N175" s="145" t="n"/>
      <c r="O175" s="145" t="n"/>
      <c r="P175" s="1" t="n"/>
      <c r="Q175" s="1" t="n"/>
      <c r="R175" s="1" t="n"/>
      <c r="S175" s="1" t="n"/>
      <c r="T175" s="1" t="n"/>
      <c r="U175" s="1" t="n"/>
      <c r="V175" s="1" t="n"/>
      <c r="W175" s="1" t="n"/>
      <c r="X175" s="1" t="n"/>
      <c r="Y175" s="1" t="n"/>
      <c r="Z175" s="1" t="n"/>
    </row>
    <row r="176" ht="15.75" customHeight="1" s="311">
      <c r="A176" s="145" t="n"/>
      <c r="B176" s="145" t="n"/>
      <c r="C176" s="145" t="n"/>
      <c r="D176" s="145" t="n"/>
      <c r="E176" s="145" t="n"/>
      <c r="F176" s="145" t="n"/>
      <c r="G176" s="145" t="n"/>
      <c r="H176" s="145" t="n"/>
      <c r="I176" s="145" t="n"/>
      <c r="J176" s="145" t="n"/>
      <c r="K176" s="145" t="n"/>
      <c r="L176" s="1" t="n"/>
      <c r="M176" s="145" t="n"/>
      <c r="N176" s="145" t="n"/>
      <c r="O176" s="145" t="n"/>
      <c r="P176" s="1" t="n"/>
      <c r="Q176" s="1" t="n"/>
      <c r="R176" s="1" t="n"/>
      <c r="S176" s="1" t="n"/>
      <c r="T176" s="1" t="n"/>
      <c r="U176" s="1" t="n"/>
      <c r="V176" s="1" t="n"/>
      <c r="W176" s="1" t="n"/>
      <c r="X176" s="1" t="n"/>
      <c r="Y176" s="1" t="n"/>
      <c r="Z176" s="1" t="n"/>
    </row>
    <row r="177" ht="15.75" customHeight="1" s="311">
      <c r="A177" s="145" t="n"/>
      <c r="B177" s="145" t="n"/>
      <c r="C177" s="145" t="n"/>
      <c r="D177" s="145" t="n"/>
      <c r="E177" s="145" t="n"/>
      <c r="F177" s="145" t="n"/>
      <c r="G177" s="145" t="n"/>
      <c r="H177" s="145" t="n"/>
      <c r="I177" s="145" t="n"/>
      <c r="J177" s="145" t="n"/>
      <c r="K177" s="145" t="n"/>
      <c r="L177" s="1" t="n"/>
      <c r="M177" s="145" t="n"/>
      <c r="N177" s="145" t="n"/>
      <c r="O177" s="145" t="n"/>
      <c r="P177" s="1" t="n"/>
      <c r="Q177" s="1" t="n"/>
      <c r="R177" s="1" t="n"/>
      <c r="S177" s="1" t="n"/>
      <c r="T177" s="1" t="n"/>
      <c r="U177" s="1" t="n"/>
      <c r="V177" s="1" t="n"/>
      <c r="W177" s="1" t="n"/>
      <c r="X177" s="1" t="n"/>
      <c r="Y177" s="1" t="n"/>
      <c r="Z177" s="1" t="n"/>
    </row>
    <row r="178" ht="15.75" customHeight="1" s="311">
      <c r="A178" s="145" t="n"/>
      <c r="B178" s="145" t="n"/>
      <c r="C178" s="145" t="n"/>
      <c r="D178" s="145" t="n"/>
      <c r="E178" s="145" t="n"/>
      <c r="F178" s="145" t="n"/>
      <c r="G178" s="145" t="n"/>
      <c r="H178" s="145" t="n"/>
      <c r="I178" s="145" t="n"/>
      <c r="J178" s="145" t="n"/>
      <c r="K178" s="145" t="n"/>
      <c r="L178" s="1" t="n"/>
      <c r="M178" s="145" t="n"/>
      <c r="N178" s="145" t="n"/>
      <c r="O178" s="145" t="n"/>
      <c r="P178" s="1" t="n"/>
      <c r="Q178" s="1" t="n"/>
      <c r="R178" s="1" t="n"/>
      <c r="S178" s="1" t="n"/>
      <c r="T178" s="1" t="n"/>
      <c r="U178" s="1" t="n"/>
      <c r="V178" s="1" t="n"/>
      <c r="W178" s="1" t="n"/>
      <c r="X178" s="1" t="n"/>
      <c r="Y178" s="1" t="n"/>
      <c r="Z178" s="1" t="n"/>
    </row>
    <row r="179" ht="15.75" customHeight="1" s="311">
      <c r="A179" s="145" t="n"/>
      <c r="B179" s="145" t="n"/>
      <c r="C179" s="145" t="n"/>
      <c r="D179" s="145" t="n"/>
      <c r="E179" s="145" t="n"/>
      <c r="F179" s="145" t="n"/>
      <c r="G179" s="145" t="n"/>
      <c r="H179" s="145" t="n"/>
      <c r="I179" s="145" t="n"/>
      <c r="J179" s="145" t="n"/>
      <c r="K179" s="145" t="n"/>
      <c r="L179" s="1" t="n"/>
      <c r="M179" s="145" t="n"/>
      <c r="N179" s="145" t="n"/>
      <c r="O179" s="145" t="n"/>
      <c r="P179" s="1" t="n"/>
      <c r="Q179" s="1" t="n"/>
      <c r="R179" s="1" t="n"/>
      <c r="S179" s="1" t="n"/>
      <c r="T179" s="1" t="n"/>
      <c r="U179" s="1" t="n"/>
      <c r="V179" s="1" t="n"/>
      <c r="W179" s="1" t="n"/>
      <c r="X179" s="1" t="n"/>
      <c r="Y179" s="1" t="n"/>
      <c r="Z179" s="1" t="n"/>
    </row>
    <row r="180" ht="15.75" customHeight="1" s="311">
      <c r="A180" s="145" t="n"/>
      <c r="B180" s="145" t="n"/>
      <c r="C180" s="145" t="n"/>
      <c r="D180" s="145" t="n"/>
      <c r="E180" s="145" t="n"/>
      <c r="F180" s="145" t="n"/>
      <c r="G180" s="145" t="n"/>
      <c r="H180" s="145" t="n"/>
      <c r="I180" s="145" t="n"/>
      <c r="J180" s="145" t="n"/>
      <c r="K180" s="145" t="n"/>
      <c r="L180" s="1" t="n"/>
      <c r="M180" s="145" t="n"/>
      <c r="N180" s="145" t="n"/>
      <c r="O180" s="145" t="n"/>
      <c r="P180" s="1" t="n"/>
      <c r="Q180" s="1" t="n"/>
      <c r="R180" s="1" t="n"/>
      <c r="S180" s="1" t="n"/>
      <c r="T180" s="1" t="n"/>
      <c r="U180" s="1" t="n"/>
      <c r="V180" s="1" t="n"/>
      <c r="W180" s="1" t="n"/>
      <c r="X180" s="1" t="n"/>
      <c r="Y180" s="1" t="n"/>
      <c r="Z180" s="1" t="n"/>
    </row>
    <row r="181" ht="15.75" customHeight="1" s="311">
      <c r="A181" s="145" t="n"/>
      <c r="B181" s="145" t="n"/>
      <c r="C181" s="145" t="n"/>
      <c r="D181" s="145" t="n"/>
      <c r="E181" s="145" t="n"/>
      <c r="F181" s="145" t="n"/>
      <c r="G181" s="145" t="n"/>
      <c r="H181" s="145" t="n"/>
      <c r="I181" s="145" t="n"/>
      <c r="J181" s="145" t="n"/>
      <c r="K181" s="145" t="n"/>
      <c r="L181" s="1" t="n"/>
      <c r="M181" s="145" t="n"/>
      <c r="N181" s="145" t="n"/>
      <c r="O181" s="145" t="n"/>
      <c r="P181" s="1" t="n"/>
      <c r="Q181" s="1" t="n"/>
      <c r="R181" s="1" t="n"/>
      <c r="S181" s="1" t="n"/>
      <c r="T181" s="1" t="n"/>
      <c r="U181" s="1" t="n"/>
      <c r="V181" s="1" t="n"/>
      <c r="W181" s="1" t="n"/>
      <c r="X181" s="1" t="n"/>
      <c r="Y181" s="1" t="n"/>
      <c r="Z181" s="1" t="n"/>
    </row>
    <row r="182" ht="15.75" customHeight="1" s="311">
      <c r="A182" s="145" t="n"/>
      <c r="B182" s="145" t="n"/>
      <c r="C182" s="145" t="n"/>
      <c r="D182" s="145" t="n"/>
      <c r="E182" s="145" t="n"/>
      <c r="F182" s="145" t="n"/>
      <c r="G182" s="145" t="n"/>
      <c r="H182" s="145" t="n"/>
      <c r="I182" s="145" t="n"/>
      <c r="J182" s="145" t="n"/>
      <c r="K182" s="145" t="n"/>
      <c r="L182" s="1" t="n"/>
      <c r="M182" s="145" t="n"/>
      <c r="N182" s="145" t="n"/>
      <c r="O182" s="145" t="n"/>
      <c r="P182" s="1" t="n"/>
      <c r="Q182" s="1" t="n"/>
      <c r="R182" s="1" t="n"/>
      <c r="S182" s="1" t="n"/>
      <c r="T182" s="1" t="n"/>
      <c r="U182" s="1" t="n"/>
      <c r="V182" s="1" t="n"/>
      <c r="W182" s="1" t="n"/>
      <c r="X182" s="1" t="n"/>
      <c r="Y182" s="1" t="n"/>
      <c r="Z182" s="1" t="n"/>
    </row>
    <row r="183" ht="15.75" customHeight="1" s="311">
      <c r="A183" s="145" t="n"/>
      <c r="B183" s="145" t="n"/>
      <c r="C183" s="145" t="n"/>
      <c r="D183" s="145" t="n"/>
      <c r="E183" s="145" t="n"/>
      <c r="F183" s="145" t="n"/>
      <c r="G183" s="145" t="n"/>
      <c r="H183" s="145" t="n"/>
      <c r="I183" s="145" t="n"/>
      <c r="J183" s="145" t="n"/>
      <c r="K183" s="145" t="n"/>
      <c r="L183" s="1" t="n"/>
      <c r="M183" s="145" t="n"/>
      <c r="N183" s="145" t="n"/>
      <c r="O183" s="145" t="n"/>
      <c r="P183" s="1" t="n"/>
      <c r="Q183" s="1" t="n"/>
      <c r="R183" s="1" t="n"/>
      <c r="S183" s="1" t="n"/>
      <c r="T183" s="1" t="n"/>
      <c r="U183" s="1" t="n"/>
      <c r="V183" s="1" t="n"/>
      <c r="W183" s="1" t="n"/>
      <c r="X183" s="1" t="n"/>
      <c r="Y183" s="1" t="n"/>
      <c r="Z183" s="1" t="n"/>
    </row>
    <row r="184" ht="15.75" customHeight="1" s="311">
      <c r="A184" s="145" t="n"/>
      <c r="B184" s="145" t="n"/>
      <c r="C184" s="145" t="n"/>
      <c r="D184" s="145" t="n"/>
      <c r="E184" s="145" t="n"/>
      <c r="F184" s="145" t="n"/>
      <c r="G184" s="145" t="n"/>
      <c r="H184" s="145" t="n"/>
      <c r="I184" s="145" t="n"/>
      <c r="J184" s="145" t="n"/>
      <c r="K184" s="145" t="n"/>
      <c r="L184" s="1" t="n"/>
      <c r="M184" s="145" t="n"/>
      <c r="N184" s="145" t="n"/>
      <c r="O184" s="145" t="n"/>
      <c r="P184" s="1" t="n"/>
      <c r="Q184" s="1" t="n"/>
      <c r="R184" s="1" t="n"/>
      <c r="S184" s="1" t="n"/>
      <c r="T184" s="1" t="n"/>
      <c r="U184" s="1" t="n"/>
      <c r="V184" s="1" t="n"/>
      <c r="W184" s="1" t="n"/>
      <c r="X184" s="1" t="n"/>
      <c r="Y184" s="1" t="n"/>
      <c r="Z184" s="1" t="n"/>
    </row>
    <row r="185" ht="15.75" customHeight="1" s="311">
      <c r="A185" s="145" t="n"/>
      <c r="B185" s="145" t="n"/>
      <c r="C185" s="145" t="n"/>
      <c r="D185" s="145" t="n"/>
      <c r="E185" s="145" t="n"/>
      <c r="F185" s="145" t="n"/>
      <c r="G185" s="145" t="n"/>
      <c r="H185" s="145" t="n"/>
      <c r="I185" s="145" t="n"/>
      <c r="J185" s="145" t="n"/>
      <c r="K185" s="145" t="n"/>
      <c r="L185" s="1" t="n"/>
      <c r="M185" s="145" t="n"/>
      <c r="N185" s="145" t="n"/>
      <c r="O185" s="145" t="n"/>
      <c r="P185" s="1" t="n"/>
      <c r="Q185" s="1" t="n"/>
      <c r="R185" s="1" t="n"/>
      <c r="S185" s="1" t="n"/>
      <c r="T185" s="1" t="n"/>
      <c r="U185" s="1" t="n"/>
      <c r="V185" s="1" t="n"/>
      <c r="W185" s="1" t="n"/>
      <c r="X185" s="1" t="n"/>
      <c r="Y185" s="1" t="n"/>
      <c r="Z185" s="1" t="n"/>
    </row>
    <row r="186" ht="15.75" customHeight="1" s="311">
      <c r="A186" s="145" t="n"/>
      <c r="B186" s="145" t="n"/>
      <c r="C186" s="145" t="n"/>
      <c r="D186" s="145" t="n"/>
      <c r="E186" s="145" t="n"/>
      <c r="F186" s="145" t="n"/>
      <c r="G186" s="145" t="n"/>
      <c r="H186" s="145" t="n"/>
      <c r="I186" s="145" t="n"/>
      <c r="J186" s="145" t="n"/>
      <c r="K186" s="145" t="n"/>
      <c r="L186" s="1" t="n"/>
      <c r="M186" s="145" t="n"/>
      <c r="N186" s="145" t="n"/>
      <c r="O186" s="145" t="n"/>
      <c r="P186" s="1" t="n"/>
      <c r="Q186" s="1" t="n"/>
      <c r="R186" s="1" t="n"/>
      <c r="S186" s="1" t="n"/>
      <c r="T186" s="1" t="n"/>
      <c r="U186" s="1" t="n"/>
      <c r="V186" s="1" t="n"/>
      <c r="W186" s="1" t="n"/>
      <c r="X186" s="1" t="n"/>
      <c r="Y186" s="1" t="n"/>
      <c r="Z186" s="1" t="n"/>
    </row>
    <row r="187" ht="15.75" customHeight="1" s="311">
      <c r="A187" s="145" t="n"/>
      <c r="B187" s="145" t="n"/>
      <c r="C187" s="145" t="n"/>
      <c r="D187" s="145" t="n"/>
      <c r="E187" s="145" t="n"/>
      <c r="F187" s="145" t="n"/>
      <c r="G187" s="145" t="n"/>
      <c r="H187" s="145" t="n"/>
      <c r="I187" s="145" t="n"/>
      <c r="J187" s="145" t="n"/>
      <c r="K187" s="145" t="n"/>
      <c r="L187" s="1" t="n"/>
      <c r="M187" s="145" t="n"/>
      <c r="N187" s="145" t="n"/>
      <c r="O187" s="145" t="n"/>
      <c r="P187" s="1" t="n"/>
      <c r="Q187" s="1" t="n"/>
      <c r="R187" s="1" t="n"/>
      <c r="S187" s="1" t="n"/>
      <c r="T187" s="1" t="n"/>
      <c r="U187" s="1" t="n"/>
      <c r="V187" s="1" t="n"/>
      <c r="W187" s="1" t="n"/>
      <c r="X187" s="1" t="n"/>
      <c r="Y187" s="1" t="n"/>
      <c r="Z187" s="1" t="n"/>
    </row>
    <row r="188" ht="15.75" customHeight="1" s="311">
      <c r="A188" s="145" t="n"/>
      <c r="B188" s="145" t="n"/>
      <c r="C188" s="145" t="n"/>
      <c r="D188" s="145" t="n"/>
      <c r="E188" s="145" t="n"/>
      <c r="F188" s="145" t="n"/>
      <c r="G188" s="145" t="n"/>
      <c r="H188" s="145" t="n"/>
      <c r="I188" s="145" t="n"/>
      <c r="J188" s="145" t="n"/>
      <c r="K188" s="145" t="n"/>
      <c r="L188" s="1" t="n"/>
      <c r="M188" s="145" t="n"/>
      <c r="N188" s="145" t="n"/>
      <c r="O188" s="145" t="n"/>
      <c r="P188" s="1" t="n"/>
      <c r="Q188" s="1" t="n"/>
      <c r="R188" s="1" t="n"/>
      <c r="S188" s="1" t="n"/>
      <c r="T188" s="1" t="n"/>
      <c r="U188" s="1" t="n"/>
      <c r="V188" s="1" t="n"/>
      <c r="W188" s="1" t="n"/>
      <c r="X188" s="1" t="n"/>
      <c r="Y188" s="1" t="n"/>
      <c r="Z188" s="1" t="n"/>
    </row>
    <row r="189" ht="15.75" customHeight="1" s="311">
      <c r="A189" s="145" t="n"/>
      <c r="B189" s="145" t="n"/>
      <c r="C189" s="145" t="n"/>
      <c r="D189" s="145" t="n"/>
      <c r="E189" s="145" t="n"/>
      <c r="F189" s="145" t="n"/>
      <c r="G189" s="145" t="n"/>
      <c r="H189" s="145" t="n"/>
      <c r="I189" s="145" t="n"/>
      <c r="J189" s="145" t="n"/>
      <c r="K189" s="145" t="n"/>
      <c r="L189" s="1" t="n"/>
      <c r="M189" s="145" t="n"/>
      <c r="N189" s="145" t="n"/>
      <c r="O189" s="145" t="n"/>
      <c r="P189" s="1" t="n"/>
      <c r="Q189" s="1" t="n"/>
      <c r="R189" s="1" t="n"/>
      <c r="S189" s="1" t="n"/>
      <c r="T189" s="1" t="n"/>
      <c r="U189" s="1" t="n"/>
      <c r="V189" s="1" t="n"/>
      <c r="W189" s="1" t="n"/>
      <c r="X189" s="1" t="n"/>
      <c r="Y189" s="1" t="n"/>
      <c r="Z189" s="1" t="n"/>
    </row>
    <row r="190" ht="15.75" customHeight="1" s="311">
      <c r="A190" s="145" t="n"/>
      <c r="B190" s="145" t="n"/>
      <c r="C190" s="145" t="n"/>
      <c r="D190" s="145" t="n"/>
      <c r="E190" s="145" t="n"/>
      <c r="F190" s="145" t="n"/>
      <c r="G190" s="145" t="n"/>
      <c r="H190" s="145" t="n"/>
      <c r="I190" s="145" t="n"/>
      <c r="J190" s="145" t="n"/>
      <c r="K190" s="145" t="n"/>
      <c r="L190" s="1" t="n"/>
      <c r="M190" s="145" t="n"/>
      <c r="N190" s="145" t="n"/>
      <c r="O190" s="145" t="n"/>
      <c r="P190" s="1" t="n"/>
      <c r="Q190" s="1" t="n"/>
      <c r="R190" s="1" t="n"/>
      <c r="S190" s="1" t="n"/>
      <c r="T190" s="1" t="n"/>
      <c r="U190" s="1" t="n"/>
      <c r="V190" s="1" t="n"/>
      <c r="W190" s="1" t="n"/>
      <c r="X190" s="1" t="n"/>
      <c r="Y190" s="1" t="n"/>
      <c r="Z190" s="1" t="n"/>
    </row>
    <row r="191" ht="15.75" customHeight="1" s="311">
      <c r="A191" s="145" t="n"/>
      <c r="B191" s="145" t="n"/>
      <c r="C191" s="145" t="n"/>
      <c r="D191" s="145" t="n"/>
      <c r="E191" s="145" t="n"/>
      <c r="F191" s="145" t="n"/>
      <c r="G191" s="145" t="n"/>
      <c r="H191" s="145" t="n"/>
      <c r="I191" s="145" t="n"/>
      <c r="J191" s="145" t="n"/>
      <c r="K191" s="145" t="n"/>
      <c r="L191" s="1" t="n"/>
      <c r="M191" s="145" t="n"/>
      <c r="N191" s="145" t="n"/>
      <c r="O191" s="145" t="n"/>
      <c r="P191" s="1" t="n"/>
      <c r="Q191" s="1" t="n"/>
      <c r="R191" s="1" t="n"/>
      <c r="S191" s="1" t="n"/>
      <c r="T191" s="1" t="n"/>
      <c r="U191" s="1" t="n"/>
      <c r="V191" s="1" t="n"/>
      <c r="W191" s="1" t="n"/>
      <c r="X191" s="1" t="n"/>
      <c r="Y191" s="1" t="n"/>
      <c r="Z191" s="1" t="n"/>
    </row>
    <row r="192" ht="15.75" customHeight="1" s="311">
      <c r="A192" s="145" t="n"/>
      <c r="B192" s="145" t="n"/>
      <c r="C192" s="145" t="n"/>
      <c r="D192" s="145" t="n"/>
      <c r="E192" s="145" t="n"/>
      <c r="F192" s="145" t="n"/>
      <c r="G192" s="145" t="n"/>
      <c r="H192" s="145" t="n"/>
      <c r="I192" s="145" t="n"/>
      <c r="J192" s="145" t="n"/>
      <c r="K192" s="145" t="n"/>
      <c r="L192" s="1" t="n"/>
      <c r="M192" s="145" t="n"/>
      <c r="N192" s="145" t="n"/>
      <c r="O192" s="145" t="n"/>
      <c r="P192" s="1" t="n"/>
      <c r="Q192" s="1" t="n"/>
      <c r="R192" s="1" t="n"/>
      <c r="S192" s="1" t="n"/>
      <c r="T192" s="1" t="n"/>
      <c r="U192" s="1" t="n"/>
      <c r="V192" s="1" t="n"/>
      <c r="W192" s="1" t="n"/>
      <c r="X192" s="1" t="n"/>
      <c r="Y192" s="1" t="n"/>
      <c r="Z192" s="1" t="n"/>
    </row>
    <row r="193" ht="15.75" customHeight="1" s="311">
      <c r="A193" s="145" t="n"/>
      <c r="B193" s="145" t="n"/>
      <c r="C193" s="145" t="n"/>
      <c r="D193" s="145" t="n"/>
      <c r="E193" s="145" t="n"/>
      <c r="F193" s="145" t="n"/>
      <c r="G193" s="145" t="n"/>
      <c r="H193" s="145" t="n"/>
      <c r="I193" s="145" t="n"/>
      <c r="J193" s="145" t="n"/>
      <c r="K193" s="145" t="n"/>
      <c r="L193" s="1" t="n"/>
      <c r="M193" s="145" t="n"/>
      <c r="N193" s="145" t="n"/>
      <c r="O193" s="145" t="n"/>
      <c r="P193" s="1" t="n"/>
      <c r="Q193" s="1" t="n"/>
      <c r="R193" s="1" t="n"/>
      <c r="S193" s="1" t="n"/>
      <c r="T193" s="1" t="n"/>
      <c r="U193" s="1" t="n"/>
      <c r="V193" s="1" t="n"/>
      <c r="W193" s="1" t="n"/>
      <c r="X193" s="1" t="n"/>
      <c r="Y193" s="1" t="n"/>
      <c r="Z193" s="1" t="n"/>
    </row>
    <row r="194" ht="15.75" customHeight="1" s="311">
      <c r="A194" s="145" t="n"/>
      <c r="B194" s="145" t="n"/>
      <c r="C194" s="145" t="n"/>
      <c r="D194" s="145" t="n"/>
      <c r="E194" s="145" t="n"/>
      <c r="F194" s="145" t="n"/>
      <c r="G194" s="145" t="n"/>
      <c r="H194" s="145" t="n"/>
      <c r="I194" s="145" t="n"/>
      <c r="J194" s="145" t="n"/>
      <c r="K194" s="145" t="n"/>
      <c r="L194" s="1" t="n"/>
      <c r="M194" s="145" t="n"/>
      <c r="N194" s="145" t="n"/>
      <c r="O194" s="145" t="n"/>
      <c r="P194" s="1" t="n"/>
      <c r="Q194" s="1" t="n"/>
      <c r="R194" s="1" t="n"/>
      <c r="S194" s="1" t="n"/>
      <c r="T194" s="1" t="n"/>
      <c r="U194" s="1" t="n"/>
      <c r="V194" s="1" t="n"/>
      <c r="W194" s="1" t="n"/>
      <c r="X194" s="1" t="n"/>
      <c r="Y194" s="1" t="n"/>
      <c r="Z194" s="1" t="n"/>
    </row>
    <row r="195" ht="15.75" customHeight="1" s="311">
      <c r="A195" s="145" t="n"/>
      <c r="B195" s="145" t="n"/>
      <c r="C195" s="145" t="n"/>
      <c r="D195" s="145" t="n"/>
      <c r="E195" s="145" t="n"/>
      <c r="F195" s="145" t="n"/>
      <c r="G195" s="145" t="n"/>
      <c r="H195" s="145" t="n"/>
      <c r="I195" s="145" t="n"/>
      <c r="J195" s="145" t="n"/>
      <c r="K195" s="145" t="n"/>
      <c r="L195" s="1" t="n"/>
      <c r="M195" s="145" t="n"/>
      <c r="N195" s="145" t="n"/>
      <c r="O195" s="145" t="n"/>
      <c r="P195" s="1" t="n"/>
      <c r="Q195" s="1" t="n"/>
      <c r="R195" s="1" t="n"/>
      <c r="S195" s="1" t="n"/>
      <c r="T195" s="1" t="n"/>
      <c r="U195" s="1" t="n"/>
      <c r="V195" s="1" t="n"/>
      <c r="W195" s="1" t="n"/>
      <c r="X195" s="1" t="n"/>
      <c r="Y195" s="1" t="n"/>
      <c r="Z195" s="1" t="n"/>
    </row>
    <row r="196" ht="15.75" customHeight="1" s="311">
      <c r="A196" s="145" t="n"/>
      <c r="B196" s="145" t="n"/>
      <c r="C196" s="145" t="n"/>
      <c r="D196" s="145" t="n"/>
      <c r="E196" s="145" t="n"/>
      <c r="F196" s="145" t="n"/>
      <c r="G196" s="145" t="n"/>
      <c r="H196" s="145" t="n"/>
      <c r="I196" s="145" t="n"/>
      <c r="J196" s="145" t="n"/>
      <c r="K196" s="145" t="n"/>
      <c r="L196" s="1" t="n"/>
      <c r="M196" s="145" t="n"/>
      <c r="N196" s="145" t="n"/>
      <c r="O196" s="145" t="n"/>
      <c r="P196" s="1" t="n"/>
      <c r="Q196" s="1" t="n"/>
      <c r="R196" s="1" t="n"/>
      <c r="S196" s="1" t="n"/>
      <c r="T196" s="1" t="n"/>
      <c r="U196" s="1" t="n"/>
      <c r="V196" s="1" t="n"/>
      <c r="W196" s="1" t="n"/>
      <c r="X196" s="1" t="n"/>
      <c r="Y196" s="1" t="n"/>
      <c r="Z196" s="1" t="n"/>
    </row>
    <row r="197" ht="15.75" customHeight="1" s="311">
      <c r="A197" s="145" t="n"/>
      <c r="B197" s="145" t="n"/>
      <c r="C197" s="145" t="n"/>
      <c r="D197" s="145" t="n"/>
      <c r="E197" s="145" t="n"/>
      <c r="F197" s="145" t="n"/>
      <c r="G197" s="145" t="n"/>
      <c r="H197" s="145" t="n"/>
      <c r="I197" s="145" t="n"/>
      <c r="J197" s="145" t="n"/>
      <c r="K197" s="145" t="n"/>
      <c r="L197" s="1" t="n"/>
      <c r="M197" s="145" t="n"/>
      <c r="N197" s="145" t="n"/>
      <c r="O197" s="145" t="n"/>
      <c r="P197" s="1" t="n"/>
      <c r="Q197" s="1" t="n"/>
      <c r="R197" s="1" t="n"/>
      <c r="S197" s="1" t="n"/>
      <c r="T197" s="1" t="n"/>
      <c r="U197" s="1" t="n"/>
      <c r="V197" s="1" t="n"/>
      <c r="W197" s="1" t="n"/>
      <c r="X197" s="1" t="n"/>
      <c r="Y197" s="1" t="n"/>
      <c r="Z197" s="1" t="n"/>
    </row>
    <row r="198" ht="15.75" customHeight="1" s="311">
      <c r="A198" s="145" t="n"/>
      <c r="B198" s="145" t="n"/>
      <c r="C198" s="145" t="n"/>
      <c r="D198" s="145" t="n"/>
      <c r="E198" s="145" t="n"/>
      <c r="F198" s="145" t="n"/>
      <c r="G198" s="145" t="n"/>
      <c r="H198" s="145" t="n"/>
      <c r="I198" s="145" t="n"/>
      <c r="J198" s="145" t="n"/>
      <c r="K198" s="145" t="n"/>
      <c r="L198" s="1" t="n"/>
      <c r="M198" s="145" t="n"/>
      <c r="N198" s="145" t="n"/>
      <c r="O198" s="145" t="n"/>
      <c r="P198" s="1" t="n"/>
      <c r="Q198" s="1" t="n"/>
      <c r="R198" s="1" t="n"/>
      <c r="S198" s="1" t="n"/>
      <c r="T198" s="1" t="n"/>
      <c r="U198" s="1" t="n"/>
      <c r="V198" s="1" t="n"/>
      <c r="W198" s="1" t="n"/>
      <c r="X198" s="1" t="n"/>
      <c r="Y198" s="1" t="n"/>
      <c r="Z198" s="1" t="n"/>
    </row>
    <row r="199" ht="15.75" customHeight="1" s="311">
      <c r="A199" s="145" t="n"/>
      <c r="B199" s="145" t="n"/>
      <c r="C199" s="145" t="n"/>
      <c r="D199" s="145" t="n"/>
      <c r="E199" s="145" t="n"/>
      <c r="F199" s="145" t="n"/>
      <c r="G199" s="145" t="n"/>
      <c r="H199" s="145" t="n"/>
      <c r="I199" s="145" t="n"/>
      <c r="J199" s="145" t="n"/>
      <c r="K199" s="145" t="n"/>
      <c r="L199" s="1" t="n"/>
      <c r="M199" s="145" t="n"/>
      <c r="N199" s="145" t="n"/>
      <c r="O199" s="145" t="n"/>
      <c r="P199" s="1" t="n"/>
      <c r="Q199" s="1" t="n"/>
      <c r="R199" s="1" t="n"/>
      <c r="S199" s="1" t="n"/>
      <c r="T199" s="1" t="n"/>
      <c r="U199" s="1" t="n"/>
      <c r="V199" s="1" t="n"/>
      <c r="W199" s="1" t="n"/>
      <c r="X199" s="1" t="n"/>
      <c r="Y199" s="1" t="n"/>
      <c r="Z199" s="1" t="n"/>
    </row>
    <row r="200" ht="15.75" customHeight="1" s="311">
      <c r="A200" s="145" t="n"/>
      <c r="B200" s="145" t="n"/>
      <c r="C200" s="145" t="n"/>
      <c r="D200" s="145" t="n"/>
      <c r="E200" s="145" t="n"/>
      <c r="F200" s="145" t="n"/>
      <c r="G200" s="145" t="n"/>
      <c r="H200" s="145" t="n"/>
      <c r="I200" s="145" t="n"/>
      <c r="J200" s="145" t="n"/>
      <c r="K200" s="145" t="n"/>
      <c r="L200" s="1" t="n"/>
      <c r="M200" s="145" t="n"/>
      <c r="N200" s="145" t="n"/>
      <c r="O200" s="145" t="n"/>
      <c r="P200" s="1" t="n"/>
      <c r="Q200" s="1" t="n"/>
      <c r="R200" s="1" t="n"/>
      <c r="S200" s="1" t="n"/>
      <c r="T200" s="1" t="n"/>
      <c r="U200" s="1" t="n"/>
      <c r="V200" s="1" t="n"/>
      <c r="W200" s="1" t="n"/>
      <c r="X200" s="1" t="n"/>
      <c r="Y200" s="1" t="n"/>
      <c r="Z200" s="1" t="n"/>
    </row>
    <row r="201" ht="15.75" customHeight="1" s="311">
      <c r="A201" s="145" t="n"/>
      <c r="B201" s="145" t="n"/>
      <c r="C201" s="145" t="n"/>
      <c r="D201" s="145" t="n"/>
      <c r="E201" s="145" t="n"/>
      <c r="F201" s="145" t="n"/>
      <c r="G201" s="145" t="n"/>
      <c r="H201" s="145" t="n"/>
      <c r="I201" s="145" t="n"/>
      <c r="J201" s="145" t="n"/>
      <c r="K201" s="145" t="n"/>
      <c r="L201" s="1" t="n"/>
      <c r="M201" s="145" t="n"/>
      <c r="N201" s="145" t="n"/>
      <c r="O201" s="145" t="n"/>
      <c r="P201" s="1" t="n"/>
      <c r="Q201" s="1" t="n"/>
      <c r="R201" s="1" t="n"/>
      <c r="S201" s="1" t="n"/>
      <c r="T201" s="1" t="n"/>
      <c r="U201" s="1" t="n"/>
      <c r="V201" s="1" t="n"/>
      <c r="W201" s="1" t="n"/>
      <c r="X201" s="1" t="n"/>
      <c r="Y201" s="1" t="n"/>
      <c r="Z201" s="1" t="n"/>
    </row>
    <row r="202" ht="15.75" customHeight="1" s="311">
      <c r="A202" s="145" t="n"/>
      <c r="B202" s="145" t="n"/>
      <c r="C202" s="145" t="n"/>
      <c r="D202" s="145" t="n"/>
      <c r="E202" s="145" t="n"/>
      <c r="F202" s="145" t="n"/>
      <c r="G202" s="145" t="n"/>
      <c r="H202" s="145" t="n"/>
      <c r="I202" s="145" t="n"/>
      <c r="J202" s="145" t="n"/>
      <c r="K202" s="145" t="n"/>
      <c r="L202" s="1" t="n"/>
      <c r="M202" s="145" t="n"/>
      <c r="N202" s="145" t="n"/>
      <c r="O202" s="145" t="n"/>
      <c r="P202" s="1" t="n"/>
      <c r="Q202" s="1" t="n"/>
      <c r="R202" s="1" t="n"/>
      <c r="S202" s="1" t="n"/>
      <c r="T202" s="1" t="n"/>
      <c r="U202" s="1" t="n"/>
      <c r="V202" s="1" t="n"/>
      <c r="W202" s="1" t="n"/>
      <c r="X202" s="1" t="n"/>
      <c r="Y202" s="1" t="n"/>
      <c r="Z202" s="1" t="n"/>
    </row>
    <row r="203" ht="15.75" customHeight="1" s="311">
      <c r="A203" s="145" t="n"/>
      <c r="B203" s="145" t="n"/>
      <c r="C203" s="145" t="n"/>
      <c r="D203" s="145" t="n"/>
      <c r="E203" s="145" t="n"/>
      <c r="F203" s="145" t="n"/>
      <c r="G203" s="145" t="n"/>
      <c r="H203" s="145" t="n"/>
      <c r="I203" s="145" t="n"/>
      <c r="J203" s="145" t="n"/>
      <c r="K203" s="145" t="n"/>
      <c r="L203" s="1" t="n"/>
      <c r="M203" s="145" t="n"/>
      <c r="N203" s="145" t="n"/>
      <c r="O203" s="145" t="n"/>
      <c r="P203" s="1" t="n"/>
      <c r="Q203" s="1" t="n"/>
      <c r="R203" s="1" t="n"/>
      <c r="S203" s="1" t="n"/>
      <c r="T203" s="1" t="n"/>
      <c r="U203" s="1" t="n"/>
      <c r="V203" s="1" t="n"/>
      <c r="W203" s="1" t="n"/>
      <c r="X203" s="1" t="n"/>
      <c r="Y203" s="1" t="n"/>
      <c r="Z203" s="1" t="n"/>
    </row>
    <row r="204" ht="15.75" customHeight="1" s="311">
      <c r="A204" s="145" t="n"/>
      <c r="B204" s="145" t="n"/>
      <c r="C204" s="145" t="n"/>
      <c r="D204" s="145" t="n"/>
      <c r="E204" s="145" t="n"/>
      <c r="F204" s="145" t="n"/>
      <c r="G204" s="145" t="n"/>
      <c r="H204" s="145" t="n"/>
      <c r="I204" s="145" t="n"/>
      <c r="J204" s="145" t="n"/>
      <c r="K204" s="145" t="n"/>
      <c r="L204" s="1" t="n"/>
      <c r="M204" s="145" t="n"/>
      <c r="N204" s="145" t="n"/>
      <c r="O204" s="145" t="n"/>
      <c r="P204" s="1" t="n"/>
      <c r="Q204" s="1" t="n"/>
      <c r="R204" s="1" t="n"/>
      <c r="S204" s="1" t="n"/>
      <c r="T204" s="1" t="n"/>
      <c r="U204" s="1" t="n"/>
      <c r="V204" s="1" t="n"/>
      <c r="W204" s="1" t="n"/>
      <c r="X204" s="1" t="n"/>
      <c r="Y204" s="1" t="n"/>
      <c r="Z204" s="1" t="n"/>
    </row>
    <row r="205" ht="15.75" customHeight="1" s="311">
      <c r="A205" s="145" t="n"/>
      <c r="B205" s="145" t="n"/>
      <c r="C205" s="145" t="n"/>
      <c r="D205" s="145" t="n"/>
      <c r="E205" s="145" t="n"/>
      <c r="F205" s="145" t="n"/>
      <c r="G205" s="145" t="n"/>
      <c r="H205" s="145" t="n"/>
      <c r="I205" s="145" t="n"/>
      <c r="J205" s="145" t="n"/>
      <c r="K205" s="145" t="n"/>
      <c r="L205" s="1" t="n"/>
      <c r="M205" s="145" t="n"/>
      <c r="N205" s="145" t="n"/>
      <c r="O205" s="145" t="n"/>
      <c r="P205" s="1" t="n"/>
      <c r="Q205" s="1" t="n"/>
      <c r="R205" s="1" t="n"/>
      <c r="S205" s="1" t="n"/>
      <c r="T205" s="1" t="n"/>
      <c r="U205" s="1" t="n"/>
      <c r="V205" s="1" t="n"/>
      <c r="W205" s="1" t="n"/>
      <c r="X205" s="1" t="n"/>
      <c r="Y205" s="1" t="n"/>
      <c r="Z205" s="1" t="n"/>
    </row>
    <row r="206" ht="15.75" customHeight="1" s="311">
      <c r="A206" s="145" t="n"/>
      <c r="B206" s="145" t="n"/>
      <c r="C206" s="145" t="n"/>
      <c r="D206" s="145" t="n"/>
      <c r="E206" s="145" t="n"/>
      <c r="F206" s="145" t="n"/>
      <c r="G206" s="145" t="n"/>
      <c r="H206" s="145" t="n"/>
      <c r="I206" s="145" t="n"/>
      <c r="J206" s="145" t="n"/>
      <c r="K206" s="145" t="n"/>
      <c r="L206" s="1" t="n"/>
      <c r="M206" s="145" t="n"/>
      <c r="N206" s="145" t="n"/>
      <c r="O206" s="145" t="n"/>
      <c r="P206" s="1" t="n"/>
      <c r="Q206" s="1" t="n"/>
      <c r="R206" s="1" t="n"/>
      <c r="S206" s="1" t="n"/>
      <c r="T206" s="1" t="n"/>
      <c r="U206" s="1" t="n"/>
      <c r="V206" s="1" t="n"/>
      <c r="W206" s="1" t="n"/>
      <c r="X206" s="1" t="n"/>
      <c r="Y206" s="1" t="n"/>
      <c r="Z206" s="1" t="n"/>
    </row>
    <row r="207" ht="15.75" customHeight="1" s="311">
      <c r="A207" s="145" t="n"/>
      <c r="B207" s="145" t="n"/>
      <c r="C207" s="145" t="n"/>
      <c r="D207" s="145" t="n"/>
      <c r="E207" s="145" t="n"/>
      <c r="F207" s="145" t="n"/>
      <c r="G207" s="145" t="n"/>
      <c r="H207" s="145" t="n"/>
      <c r="I207" s="145" t="n"/>
      <c r="J207" s="145" t="n"/>
      <c r="K207" s="145" t="n"/>
      <c r="L207" s="1" t="n"/>
      <c r="M207" s="145" t="n"/>
      <c r="N207" s="145" t="n"/>
      <c r="O207" s="145" t="n"/>
      <c r="P207" s="1" t="n"/>
      <c r="Q207" s="1" t="n"/>
      <c r="R207" s="1" t="n"/>
      <c r="S207" s="1" t="n"/>
      <c r="T207" s="1" t="n"/>
      <c r="U207" s="1" t="n"/>
      <c r="V207" s="1" t="n"/>
      <c r="W207" s="1" t="n"/>
      <c r="X207" s="1" t="n"/>
      <c r="Y207" s="1" t="n"/>
      <c r="Z207" s="1" t="n"/>
    </row>
    <row r="208" ht="15.75" customHeight="1" s="311">
      <c r="A208" s="145" t="n"/>
      <c r="B208" s="145" t="n"/>
      <c r="C208" s="145" t="n"/>
      <c r="D208" s="145" t="n"/>
      <c r="E208" s="145" t="n"/>
      <c r="F208" s="145" t="n"/>
      <c r="G208" s="145" t="n"/>
      <c r="H208" s="145" t="n"/>
      <c r="I208" s="145" t="n"/>
      <c r="J208" s="145" t="n"/>
      <c r="K208" s="145" t="n"/>
      <c r="L208" s="1" t="n"/>
      <c r="M208" s="145" t="n"/>
      <c r="N208" s="145" t="n"/>
      <c r="O208" s="145" t="n"/>
      <c r="P208" s="1" t="n"/>
      <c r="Q208" s="1" t="n"/>
      <c r="R208" s="1" t="n"/>
      <c r="S208" s="1" t="n"/>
      <c r="T208" s="1" t="n"/>
      <c r="U208" s="1" t="n"/>
      <c r="V208" s="1" t="n"/>
      <c r="W208" s="1" t="n"/>
      <c r="X208" s="1" t="n"/>
      <c r="Y208" s="1" t="n"/>
      <c r="Z208" s="1" t="n"/>
    </row>
    <row r="209" ht="15.75" customHeight="1" s="311">
      <c r="A209" s="145" t="n"/>
      <c r="B209" s="145" t="n"/>
      <c r="C209" s="145" t="n"/>
      <c r="D209" s="145" t="n"/>
      <c r="E209" s="145" t="n"/>
      <c r="F209" s="145" t="n"/>
      <c r="G209" s="145" t="n"/>
      <c r="H209" s="145" t="n"/>
      <c r="I209" s="145" t="n"/>
      <c r="J209" s="145" t="n"/>
      <c r="K209" s="145" t="n"/>
      <c r="L209" s="1" t="n"/>
      <c r="M209" s="145" t="n"/>
      <c r="N209" s="145" t="n"/>
      <c r="O209" s="145" t="n"/>
      <c r="P209" s="1" t="n"/>
      <c r="Q209" s="1" t="n"/>
      <c r="R209" s="1" t="n"/>
      <c r="S209" s="1" t="n"/>
      <c r="T209" s="1" t="n"/>
      <c r="U209" s="1" t="n"/>
      <c r="V209" s="1" t="n"/>
      <c r="W209" s="1" t="n"/>
      <c r="X209" s="1" t="n"/>
      <c r="Y209" s="1" t="n"/>
      <c r="Z209" s="1" t="n"/>
    </row>
    <row r="210" ht="15.75" customHeight="1" s="311">
      <c r="A210" s="145" t="n"/>
      <c r="B210" s="145" t="n"/>
      <c r="C210" s="145" t="n"/>
      <c r="D210" s="145" t="n"/>
      <c r="E210" s="145" t="n"/>
      <c r="F210" s="145" t="n"/>
      <c r="G210" s="145" t="n"/>
      <c r="H210" s="145" t="n"/>
      <c r="I210" s="145" t="n"/>
      <c r="J210" s="145" t="n"/>
      <c r="K210" s="145" t="n"/>
      <c r="L210" s="1" t="n"/>
      <c r="M210" s="145" t="n"/>
      <c r="N210" s="145" t="n"/>
      <c r="O210" s="145" t="n"/>
      <c r="P210" s="1" t="n"/>
      <c r="Q210" s="1" t="n"/>
      <c r="R210" s="1" t="n"/>
      <c r="S210" s="1" t="n"/>
      <c r="T210" s="1" t="n"/>
      <c r="U210" s="1" t="n"/>
      <c r="V210" s="1" t="n"/>
      <c r="W210" s="1" t="n"/>
      <c r="X210" s="1" t="n"/>
      <c r="Y210" s="1" t="n"/>
      <c r="Z210" s="1" t="n"/>
    </row>
    <row r="211" ht="15.75" customHeight="1" s="311">
      <c r="A211" s="145" t="n"/>
      <c r="B211" s="145" t="n"/>
      <c r="C211" s="145" t="n"/>
      <c r="D211" s="145" t="n"/>
      <c r="E211" s="145" t="n"/>
      <c r="F211" s="145" t="n"/>
      <c r="G211" s="145" t="n"/>
      <c r="H211" s="145" t="n"/>
      <c r="I211" s="145" t="n"/>
      <c r="J211" s="145" t="n"/>
      <c r="K211" s="145" t="n"/>
      <c r="L211" s="1" t="n"/>
      <c r="M211" s="145" t="n"/>
      <c r="N211" s="145" t="n"/>
      <c r="O211" s="145" t="n"/>
      <c r="P211" s="1" t="n"/>
      <c r="Q211" s="1" t="n"/>
      <c r="R211" s="1" t="n"/>
      <c r="S211" s="1" t="n"/>
      <c r="T211" s="1" t="n"/>
      <c r="U211" s="1" t="n"/>
      <c r="V211" s="1" t="n"/>
      <c r="W211" s="1" t="n"/>
      <c r="X211" s="1" t="n"/>
      <c r="Y211" s="1" t="n"/>
      <c r="Z211" s="1" t="n"/>
    </row>
    <row r="212" ht="15.75" customHeight="1" s="311">
      <c r="A212" s="145" t="n"/>
      <c r="B212" s="145" t="n"/>
      <c r="C212" s="145" t="n"/>
      <c r="D212" s="145" t="n"/>
      <c r="E212" s="145" t="n"/>
      <c r="F212" s="145" t="n"/>
      <c r="G212" s="145" t="n"/>
      <c r="H212" s="145" t="n"/>
      <c r="I212" s="145" t="n"/>
      <c r="J212" s="145" t="n"/>
      <c r="K212" s="145" t="n"/>
      <c r="L212" s="1" t="n"/>
      <c r="M212" s="145" t="n"/>
      <c r="N212" s="145" t="n"/>
      <c r="O212" s="145" t="n"/>
      <c r="P212" s="1" t="n"/>
      <c r="Q212" s="1" t="n"/>
      <c r="R212" s="1" t="n"/>
      <c r="S212" s="1" t="n"/>
      <c r="T212" s="1" t="n"/>
      <c r="U212" s="1" t="n"/>
      <c r="V212" s="1" t="n"/>
      <c r="W212" s="1" t="n"/>
      <c r="X212" s="1" t="n"/>
      <c r="Y212" s="1" t="n"/>
      <c r="Z212" s="1" t="n"/>
    </row>
    <row r="213" ht="15.75" customHeight="1" s="311">
      <c r="A213" s="145" t="n"/>
      <c r="B213" s="145" t="n"/>
      <c r="C213" s="145" t="n"/>
      <c r="D213" s="145" t="n"/>
      <c r="E213" s="145" t="n"/>
      <c r="F213" s="145" t="n"/>
      <c r="G213" s="145" t="n"/>
      <c r="H213" s="145" t="n"/>
      <c r="I213" s="145" t="n"/>
      <c r="J213" s="145" t="n"/>
      <c r="K213" s="145" t="n"/>
      <c r="L213" s="1" t="n"/>
      <c r="M213" s="145" t="n"/>
      <c r="N213" s="145" t="n"/>
      <c r="O213" s="145" t="n"/>
      <c r="P213" s="1" t="n"/>
      <c r="Q213" s="1" t="n"/>
      <c r="R213" s="1" t="n"/>
      <c r="S213" s="1" t="n"/>
      <c r="T213" s="1" t="n"/>
      <c r="U213" s="1" t="n"/>
      <c r="V213" s="1" t="n"/>
      <c r="W213" s="1" t="n"/>
      <c r="X213" s="1" t="n"/>
      <c r="Y213" s="1" t="n"/>
      <c r="Z213" s="1" t="n"/>
    </row>
    <row r="214" ht="15.75" customHeight="1" s="311">
      <c r="A214" s="145" t="n"/>
      <c r="B214" s="145" t="n"/>
      <c r="C214" s="145" t="n"/>
      <c r="D214" s="145" t="n"/>
      <c r="E214" s="145" t="n"/>
      <c r="F214" s="145" t="n"/>
      <c r="G214" s="145" t="n"/>
      <c r="H214" s="145" t="n"/>
      <c r="I214" s="145" t="n"/>
      <c r="J214" s="145" t="n"/>
      <c r="K214" s="145" t="n"/>
      <c r="L214" s="1" t="n"/>
      <c r="M214" s="145" t="n"/>
      <c r="N214" s="145" t="n"/>
      <c r="O214" s="145" t="n"/>
      <c r="P214" s="1" t="n"/>
      <c r="Q214" s="1" t="n"/>
      <c r="R214" s="1" t="n"/>
      <c r="S214" s="1" t="n"/>
      <c r="T214" s="1" t="n"/>
      <c r="U214" s="1" t="n"/>
      <c r="V214" s="1" t="n"/>
      <c r="W214" s="1" t="n"/>
      <c r="X214" s="1" t="n"/>
      <c r="Y214" s="1" t="n"/>
      <c r="Z214" s="1" t="n"/>
    </row>
    <row r="215" ht="15.75" customHeight="1" s="311">
      <c r="A215" s="145" t="n"/>
      <c r="B215" s="145" t="n"/>
      <c r="C215" s="145" t="n"/>
      <c r="D215" s="145" t="n"/>
      <c r="E215" s="145" t="n"/>
      <c r="F215" s="145" t="n"/>
      <c r="G215" s="145" t="n"/>
      <c r="H215" s="145" t="n"/>
      <c r="I215" s="145" t="n"/>
      <c r="J215" s="145" t="n"/>
      <c r="K215" s="145" t="n"/>
      <c r="L215" s="1" t="n"/>
      <c r="M215" s="145" t="n"/>
      <c r="N215" s="145" t="n"/>
      <c r="O215" s="145" t="n"/>
      <c r="P215" s="1" t="n"/>
      <c r="Q215" s="1" t="n"/>
      <c r="R215" s="1" t="n"/>
      <c r="S215" s="1" t="n"/>
      <c r="T215" s="1" t="n"/>
      <c r="U215" s="1" t="n"/>
      <c r="V215" s="1" t="n"/>
      <c r="W215" s="1" t="n"/>
      <c r="X215" s="1" t="n"/>
      <c r="Y215" s="1" t="n"/>
      <c r="Z215" s="1" t="n"/>
    </row>
    <row r="216" ht="15.75" customHeight="1" s="311">
      <c r="A216" s="145" t="n"/>
      <c r="B216" s="145" t="n"/>
      <c r="C216" s="145" t="n"/>
      <c r="D216" s="145" t="n"/>
      <c r="E216" s="145" t="n"/>
      <c r="F216" s="145" t="n"/>
      <c r="G216" s="145" t="n"/>
      <c r="H216" s="145" t="n"/>
      <c r="I216" s="145" t="n"/>
      <c r="J216" s="145" t="n"/>
      <c r="K216" s="145" t="n"/>
      <c r="L216" s="1" t="n"/>
      <c r="M216" s="145" t="n"/>
      <c r="N216" s="145" t="n"/>
      <c r="O216" s="145" t="n"/>
      <c r="P216" s="1" t="n"/>
      <c r="Q216" s="1" t="n"/>
      <c r="R216" s="1" t="n"/>
      <c r="S216" s="1" t="n"/>
      <c r="T216" s="1" t="n"/>
      <c r="U216" s="1" t="n"/>
      <c r="V216" s="1" t="n"/>
      <c r="W216" s="1" t="n"/>
      <c r="X216" s="1" t="n"/>
      <c r="Y216" s="1" t="n"/>
      <c r="Z216" s="1" t="n"/>
    </row>
    <row r="217" ht="15.75" customHeight="1" s="311">
      <c r="A217" s="145" t="n"/>
      <c r="B217" s="145" t="n"/>
      <c r="C217" s="145" t="n"/>
      <c r="D217" s="145" t="n"/>
      <c r="E217" s="145" t="n"/>
      <c r="F217" s="145" t="n"/>
      <c r="G217" s="145" t="n"/>
      <c r="H217" s="145" t="n"/>
      <c r="I217" s="145" t="n"/>
      <c r="J217" s="145" t="n"/>
      <c r="K217" s="145" t="n"/>
      <c r="L217" s="1" t="n"/>
      <c r="M217" s="145" t="n"/>
      <c r="N217" s="145" t="n"/>
      <c r="O217" s="145" t="n"/>
      <c r="P217" s="1" t="n"/>
      <c r="Q217" s="1" t="n"/>
      <c r="R217" s="1" t="n"/>
      <c r="S217" s="1" t="n"/>
      <c r="T217" s="1" t="n"/>
      <c r="U217" s="1" t="n"/>
      <c r="V217" s="1" t="n"/>
      <c r="W217" s="1" t="n"/>
      <c r="X217" s="1" t="n"/>
      <c r="Y217" s="1" t="n"/>
      <c r="Z217" s="1" t="n"/>
    </row>
    <row r="218" ht="15.75" customHeight="1" s="311">
      <c r="A218" s="145" t="n"/>
      <c r="B218" s="145" t="n"/>
      <c r="C218" s="145" t="n"/>
      <c r="D218" s="145" t="n"/>
      <c r="E218" s="145" t="n"/>
      <c r="F218" s="145" t="n"/>
      <c r="G218" s="145" t="n"/>
      <c r="H218" s="145" t="n"/>
      <c r="I218" s="145" t="n"/>
      <c r="J218" s="145" t="n"/>
      <c r="K218" s="145" t="n"/>
      <c r="L218" s="1" t="n"/>
      <c r="M218" s="145" t="n"/>
      <c r="N218" s="145" t="n"/>
      <c r="O218" s="145" t="n"/>
      <c r="P218" s="1" t="n"/>
      <c r="Q218" s="1" t="n"/>
      <c r="R218" s="1" t="n"/>
      <c r="S218" s="1" t="n"/>
      <c r="T218" s="1" t="n"/>
      <c r="U218" s="1" t="n"/>
      <c r="V218" s="1" t="n"/>
      <c r="W218" s="1" t="n"/>
      <c r="X218" s="1" t="n"/>
      <c r="Y218" s="1" t="n"/>
      <c r="Z218" s="1" t="n"/>
    </row>
    <row r="219" ht="15.75" customHeight="1" s="311">
      <c r="A219" s="145" t="n"/>
      <c r="B219" s="145" t="n"/>
      <c r="C219" s="145" t="n"/>
      <c r="D219" s="145" t="n"/>
      <c r="E219" s="145" t="n"/>
      <c r="F219" s="145" t="n"/>
      <c r="G219" s="145" t="n"/>
      <c r="H219" s="145" t="n"/>
      <c r="I219" s="145" t="n"/>
      <c r="J219" s="145" t="n"/>
      <c r="K219" s="145" t="n"/>
      <c r="L219" s="1" t="n"/>
      <c r="M219" s="145" t="n"/>
      <c r="N219" s="145" t="n"/>
      <c r="O219" s="145" t="n"/>
      <c r="P219" s="1" t="n"/>
      <c r="Q219" s="1" t="n"/>
      <c r="R219" s="1" t="n"/>
      <c r="S219" s="1" t="n"/>
      <c r="T219" s="1" t="n"/>
      <c r="U219" s="1" t="n"/>
      <c r="V219" s="1" t="n"/>
      <c r="W219" s="1" t="n"/>
      <c r="X219" s="1" t="n"/>
      <c r="Y219" s="1" t="n"/>
      <c r="Z219" s="1" t="n"/>
    </row>
    <row r="220" ht="15.75" customHeight="1" s="311">
      <c r="A220" s="145" t="n"/>
      <c r="B220" s="145" t="n"/>
      <c r="C220" s="145" t="n"/>
      <c r="D220" s="145" t="n"/>
      <c r="E220" s="145" t="n"/>
      <c r="F220" s="145" t="n"/>
      <c r="G220" s="145" t="n"/>
      <c r="H220" s="145" t="n"/>
      <c r="I220" s="145" t="n"/>
      <c r="J220" s="145" t="n"/>
      <c r="K220" s="145" t="n"/>
      <c r="L220" s="1" t="n"/>
      <c r="M220" s="145" t="n"/>
      <c r="N220" s="145" t="n"/>
      <c r="O220" s="145" t="n"/>
      <c r="P220" s="1" t="n"/>
      <c r="Q220" s="1" t="n"/>
      <c r="R220" s="1" t="n"/>
      <c r="S220" s="1" t="n"/>
      <c r="T220" s="1" t="n"/>
      <c r="U220" s="1" t="n"/>
      <c r="V220" s="1" t="n"/>
      <c r="W220" s="1" t="n"/>
      <c r="X220" s="1" t="n"/>
      <c r="Y220" s="1" t="n"/>
      <c r="Z220" s="1" t="n"/>
    </row>
    <row r="221" ht="15.75" customHeight="1" s="311">
      <c r="A221" s="145" t="n"/>
      <c r="B221" s="145" t="n"/>
      <c r="C221" s="145" t="n"/>
      <c r="D221" s="145" t="n"/>
      <c r="E221" s="145" t="n"/>
      <c r="F221" s="145" t="n"/>
      <c r="G221" s="145" t="n"/>
      <c r="H221" s="145" t="n"/>
      <c r="I221" s="145" t="n"/>
      <c r="J221" s="145" t="n"/>
      <c r="K221" s="145" t="n"/>
      <c r="L221" s="1" t="n"/>
      <c r="M221" s="145" t="n"/>
      <c r="N221" s="145" t="n"/>
      <c r="O221" s="145" t="n"/>
      <c r="P221" s="1" t="n"/>
      <c r="Q221" s="1" t="n"/>
      <c r="R221" s="1" t="n"/>
      <c r="S221" s="1" t="n"/>
      <c r="T221" s="1" t="n"/>
      <c r="U221" s="1" t="n"/>
      <c r="V221" s="1" t="n"/>
      <c r="W221" s="1" t="n"/>
      <c r="X221" s="1" t="n"/>
      <c r="Y221" s="1" t="n"/>
      <c r="Z221" s="1" t="n"/>
    </row>
    <row r="222" ht="15.75" customHeight="1" s="311">
      <c r="A222" s="145" t="n"/>
      <c r="B222" s="145" t="n"/>
      <c r="C222" s="145" t="n"/>
      <c r="D222" s="145" t="n"/>
      <c r="E222" s="145" t="n"/>
      <c r="F222" s="145" t="n"/>
      <c r="G222" s="145" t="n"/>
      <c r="H222" s="145" t="n"/>
      <c r="I222" s="145" t="n"/>
      <c r="J222" s="145" t="n"/>
      <c r="K222" s="145" t="n"/>
      <c r="L222" s="1" t="n"/>
      <c r="M222" s="145" t="n"/>
      <c r="N222" s="145" t="n"/>
      <c r="O222" s="145" t="n"/>
      <c r="P222" s="1" t="n"/>
      <c r="Q222" s="1" t="n"/>
      <c r="R222" s="1" t="n"/>
      <c r="S222" s="1" t="n"/>
      <c r="T222" s="1" t="n"/>
      <c r="U222" s="1" t="n"/>
      <c r="V222" s="1" t="n"/>
      <c r="W222" s="1" t="n"/>
      <c r="X222" s="1" t="n"/>
      <c r="Y222" s="1" t="n"/>
      <c r="Z222" s="1" t="n"/>
    </row>
    <row r="223" ht="15.75" customHeight="1" s="311">
      <c r="A223" s="145" t="n"/>
      <c r="B223" s="145" t="n"/>
      <c r="C223" s="145" t="n"/>
      <c r="D223" s="145" t="n"/>
      <c r="E223" s="145" t="n"/>
      <c r="F223" s="145" t="n"/>
      <c r="G223" s="145" t="n"/>
      <c r="H223" s="145" t="n"/>
      <c r="I223" s="145" t="n"/>
      <c r="J223" s="145" t="n"/>
      <c r="K223" s="145" t="n"/>
      <c r="L223" s="1" t="n"/>
      <c r="M223" s="145" t="n"/>
      <c r="N223" s="145" t="n"/>
      <c r="O223" s="145" t="n"/>
      <c r="P223" s="1" t="n"/>
      <c r="Q223" s="1" t="n"/>
      <c r="R223" s="1" t="n"/>
      <c r="S223" s="1" t="n"/>
      <c r="T223" s="1" t="n"/>
      <c r="U223" s="1" t="n"/>
      <c r="V223" s="1" t="n"/>
      <c r="W223" s="1" t="n"/>
      <c r="X223" s="1" t="n"/>
      <c r="Y223" s="1" t="n"/>
      <c r="Z223" s="1" t="n"/>
    </row>
    <row r="224" ht="15.75" customHeight="1" s="311">
      <c r="A224" s="145" t="n"/>
      <c r="B224" s="145" t="n"/>
      <c r="C224" s="145" t="n"/>
      <c r="D224" s="145" t="n"/>
      <c r="E224" s="145" t="n"/>
      <c r="F224" s="145" t="n"/>
      <c r="G224" s="145" t="n"/>
      <c r="H224" s="145" t="n"/>
      <c r="I224" s="145" t="n"/>
      <c r="J224" s="145" t="n"/>
      <c r="K224" s="145" t="n"/>
      <c r="L224" s="1" t="n"/>
      <c r="M224" s="145" t="n"/>
      <c r="N224" s="145" t="n"/>
      <c r="O224" s="145" t="n"/>
      <c r="P224" s="1" t="n"/>
      <c r="Q224" s="1" t="n"/>
      <c r="R224" s="1" t="n"/>
      <c r="S224" s="1" t="n"/>
      <c r="T224" s="1" t="n"/>
      <c r="U224" s="1" t="n"/>
      <c r="V224" s="1" t="n"/>
      <c r="W224" s="1" t="n"/>
      <c r="X224" s="1" t="n"/>
      <c r="Y224" s="1" t="n"/>
      <c r="Z224" s="1" t="n"/>
    </row>
    <row r="225" ht="15.75" customHeight="1" s="311">
      <c r="A225" s="145" t="n"/>
      <c r="B225" s="145" t="n"/>
      <c r="C225" s="145" t="n"/>
      <c r="D225" s="145" t="n"/>
      <c r="E225" s="145" t="n"/>
      <c r="F225" s="145" t="n"/>
      <c r="G225" s="145" t="n"/>
      <c r="H225" s="145" t="n"/>
      <c r="I225" s="145" t="n"/>
      <c r="J225" s="145" t="n"/>
      <c r="K225" s="145" t="n"/>
      <c r="L225" s="1" t="n"/>
      <c r="M225" s="145" t="n"/>
      <c r="N225" s="145" t="n"/>
      <c r="O225" s="145" t="n"/>
      <c r="P225" s="1" t="n"/>
      <c r="Q225" s="1" t="n"/>
      <c r="R225" s="1" t="n"/>
      <c r="S225" s="1" t="n"/>
      <c r="T225" s="1" t="n"/>
      <c r="U225" s="1" t="n"/>
      <c r="V225" s="1" t="n"/>
      <c r="W225" s="1" t="n"/>
      <c r="X225" s="1" t="n"/>
      <c r="Y225" s="1" t="n"/>
      <c r="Z225" s="1" t="n"/>
    </row>
    <row r="226" ht="15.75" customHeight="1" s="311">
      <c r="A226" s="145" t="n"/>
      <c r="B226" s="145" t="n"/>
      <c r="C226" s="145" t="n"/>
      <c r="D226" s="145" t="n"/>
      <c r="E226" s="145" t="n"/>
      <c r="F226" s="145" t="n"/>
      <c r="G226" s="145" t="n"/>
      <c r="H226" s="145" t="n"/>
      <c r="I226" s="145" t="n"/>
      <c r="J226" s="145" t="n"/>
      <c r="K226" s="145" t="n"/>
      <c r="L226" s="1" t="n"/>
      <c r="M226" s="145" t="n"/>
      <c r="N226" s="145" t="n"/>
      <c r="O226" s="145" t="n"/>
      <c r="P226" s="1" t="n"/>
      <c r="Q226" s="1" t="n"/>
      <c r="R226" s="1" t="n"/>
      <c r="S226" s="1" t="n"/>
      <c r="T226" s="1" t="n"/>
      <c r="U226" s="1" t="n"/>
      <c r="V226" s="1" t="n"/>
      <c r="W226" s="1" t="n"/>
      <c r="X226" s="1" t="n"/>
      <c r="Y226" s="1" t="n"/>
      <c r="Z226" s="1" t="n"/>
    </row>
    <row r="227" ht="15.75" customHeight="1" s="311">
      <c r="A227" s="145" t="n"/>
      <c r="B227" s="145" t="n"/>
      <c r="C227" s="145" t="n"/>
      <c r="D227" s="145" t="n"/>
      <c r="E227" s="145" t="n"/>
      <c r="F227" s="145" t="n"/>
      <c r="G227" s="145" t="n"/>
      <c r="H227" s="145" t="n"/>
      <c r="I227" s="145" t="n"/>
      <c r="J227" s="145" t="n"/>
      <c r="K227" s="145" t="n"/>
      <c r="L227" s="1" t="n"/>
      <c r="M227" s="145" t="n"/>
      <c r="N227" s="145" t="n"/>
      <c r="O227" s="145" t="n"/>
      <c r="P227" s="1" t="n"/>
      <c r="Q227" s="1" t="n"/>
      <c r="R227" s="1" t="n"/>
      <c r="S227" s="1" t="n"/>
      <c r="T227" s="1" t="n"/>
      <c r="U227" s="1" t="n"/>
      <c r="V227" s="1" t="n"/>
      <c r="W227" s="1" t="n"/>
      <c r="X227" s="1" t="n"/>
      <c r="Y227" s="1" t="n"/>
      <c r="Z227" s="1" t="n"/>
    </row>
    <row r="228" ht="15.75" customHeight="1" s="311">
      <c r="A228" s="145" t="n"/>
      <c r="B228" s="145" t="n"/>
      <c r="C228" s="145" t="n"/>
      <c r="D228" s="145" t="n"/>
      <c r="E228" s="145" t="n"/>
      <c r="F228" s="145" t="n"/>
      <c r="G228" s="145" t="n"/>
      <c r="H228" s="145" t="n"/>
      <c r="I228" s="145" t="n"/>
      <c r="J228" s="145" t="n"/>
      <c r="K228" s="145" t="n"/>
      <c r="L228" s="1" t="n"/>
      <c r="M228" s="145" t="n"/>
      <c r="N228" s="145" t="n"/>
      <c r="O228" s="145" t="n"/>
      <c r="P228" s="1" t="n"/>
      <c r="Q228" s="1" t="n"/>
      <c r="R228" s="1" t="n"/>
      <c r="S228" s="1" t="n"/>
      <c r="T228" s="1" t="n"/>
      <c r="U228" s="1" t="n"/>
      <c r="V228" s="1" t="n"/>
      <c r="W228" s="1" t="n"/>
      <c r="X228" s="1" t="n"/>
      <c r="Y228" s="1" t="n"/>
      <c r="Z228" s="1" t="n"/>
    </row>
    <row r="229" ht="15.75" customHeight="1" s="311">
      <c r="A229" s="145" t="n"/>
      <c r="B229" s="145" t="n"/>
      <c r="C229" s="145" t="n"/>
      <c r="D229" s="145" t="n"/>
      <c r="E229" s="145" t="n"/>
      <c r="F229" s="145" t="n"/>
      <c r="G229" s="145" t="n"/>
      <c r="H229" s="145" t="n"/>
      <c r="I229" s="145" t="n"/>
      <c r="J229" s="145" t="n"/>
      <c r="K229" s="145" t="n"/>
      <c r="L229" s="1" t="n"/>
      <c r="M229" s="145" t="n"/>
      <c r="N229" s="145" t="n"/>
      <c r="O229" s="145" t="n"/>
      <c r="P229" s="1" t="n"/>
      <c r="Q229" s="1" t="n"/>
      <c r="R229" s="1" t="n"/>
      <c r="S229" s="1" t="n"/>
      <c r="T229" s="1" t="n"/>
      <c r="U229" s="1" t="n"/>
      <c r="V229" s="1" t="n"/>
      <c r="W229" s="1" t="n"/>
      <c r="X229" s="1" t="n"/>
      <c r="Y229" s="1" t="n"/>
      <c r="Z229" s="1" t="n"/>
    </row>
    <row r="230" ht="15.75" customHeight="1" s="311">
      <c r="A230" s="145" t="n"/>
      <c r="B230" s="145" t="n"/>
      <c r="C230" s="145" t="n"/>
      <c r="D230" s="145" t="n"/>
      <c r="E230" s="145" t="n"/>
      <c r="F230" s="145" t="n"/>
      <c r="G230" s="145" t="n"/>
      <c r="H230" s="145" t="n"/>
      <c r="I230" s="145" t="n"/>
      <c r="J230" s="145" t="n"/>
      <c r="K230" s="145" t="n"/>
      <c r="L230" s="1" t="n"/>
      <c r="M230" s="145" t="n"/>
      <c r="N230" s="145" t="n"/>
      <c r="O230" s="145" t="n"/>
      <c r="P230" s="1" t="n"/>
      <c r="Q230" s="1" t="n"/>
      <c r="R230" s="1" t="n"/>
      <c r="S230" s="1" t="n"/>
      <c r="T230" s="1" t="n"/>
      <c r="U230" s="1" t="n"/>
      <c r="V230" s="1" t="n"/>
      <c r="W230" s="1" t="n"/>
      <c r="X230" s="1" t="n"/>
      <c r="Y230" s="1" t="n"/>
      <c r="Z230" s="1" t="n"/>
    </row>
    <row r="231" ht="15.75" customHeight="1" s="311">
      <c r="A231" s="145" t="n"/>
      <c r="B231" s="145" t="n"/>
      <c r="C231" s="145" t="n"/>
      <c r="D231" s="145" t="n"/>
      <c r="E231" s="145" t="n"/>
      <c r="F231" s="145" t="n"/>
      <c r="G231" s="145" t="n"/>
      <c r="H231" s="145" t="n"/>
      <c r="I231" s="145" t="n"/>
      <c r="J231" s="145" t="n"/>
      <c r="K231" s="145" t="n"/>
      <c r="L231" s="1" t="n"/>
      <c r="M231" s="145" t="n"/>
      <c r="N231" s="145" t="n"/>
      <c r="O231" s="145" t="n"/>
      <c r="P231" s="1" t="n"/>
      <c r="Q231" s="1" t="n"/>
      <c r="R231" s="1" t="n"/>
      <c r="S231" s="1" t="n"/>
      <c r="T231" s="1" t="n"/>
      <c r="U231" s="1" t="n"/>
      <c r="V231" s="1" t="n"/>
      <c r="W231" s="1" t="n"/>
      <c r="X231" s="1" t="n"/>
      <c r="Y231" s="1" t="n"/>
      <c r="Z231" s="1" t="n"/>
    </row>
    <row r="232" ht="15.75" customHeight="1" s="311">
      <c r="A232" s="145" t="n"/>
      <c r="B232" s="145" t="n"/>
      <c r="C232" s="145" t="n"/>
      <c r="D232" s="145" t="n"/>
      <c r="E232" s="145" t="n"/>
      <c r="F232" s="145" t="n"/>
      <c r="G232" s="145" t="n"/>
      <c r="H232" s="145" t="n"/>
      <c r="I232" s="145" t="n"/>
      <c r="J232" s="145" t="n"/>
      <c r="K232" s="145" t="n"/>
      <c r="L232" s="1" t="n"/>
      <c r="M232" s="145" t="n"/>
      <c r="N232" s="145" t="n"/>
      <c r="O232" s="145" t="n"/>
      <c r="P232" s="1" t="n"/>
      <c r="Q232" s="1" t="n"/>
      <c r="R232" s="1" t="n"/>
      <c r="S232" s="1" t="n"/>
      <c r="T232" s="1" t="n"/>
      <c r="U232" s="1" t="n"/>
      <c r="V232" s="1" t="n"/>
      <c r="W232" s="1" t="n"/>
      <c r="X232" s="1" t="n"/>
      <c r="Y232" s="1" t="n"/>
      <c r="Z232" s="1" t="n"/>
    </row>
    <row r="233" ht="15.75" customHeight="1" s="311">
      <c r="A233" s="145" t="n"/>
      <c r="B233" s="145" t="n"/>
      <c r="C233" s="145" t="n"/>
      <c r="D233" s="145" t="n"/>
      <c r="E233" s="145" t="n"/>
      <c r="F233" s="145" t="n"/>
      <c r="G233" s="145" t="n"/>
      <c r="H233" s="145" t="n"/>
      <c r="I233" s="145" t="n"/>
      <c r="J233" s="145" t="n"/>
      <c r="K233" s="145" t="n"/>
      <c r="L233" s="1" t="n"/>
      <c r="M233" s="145" t="n"/>
      <c r="N233" s="145" t="n"/>
      <c r="O233" s="145" t="n"/>
      <c r="P233" s="1" t="n"/>
      <c r="Q233" s="1" t="n"/>
      <c r="R233" s="1" t="n"/>
      <c r="S233" s="1" t="n"/>
      <c r="T233" s="1" t="n"/>
      <c r="U233" s="1" t="n"/>
      <c r="V233" s="1" t="n"/>
      <c r="W233" s="1" t="n"/>
      <c r="X233" s="1" t="n"/>
      <c r="Y233" s="1" t="n"/>
      <c r="Z233" s="1" t="n"/>
    </row>
    <row r="234" ht="15.75" customHeight="1" s="311">
      <c r="A234" s="145" t="n"/>
      <c r="B234" s="145" t="n"/>
      <c r="C234" s="145" t="n"/>
      <c r="D234" s="145" t="n"/>
      <c r="E234" s="145" t="n"/>
      <c r="F234" s="145" t="n"/>
      <c r="G234" s="145" t="n"/>
      <c r="H234" s="145" t="n"/>
      <c r="I234" s="145" t="n"/>
      <c r="J234" s="145" t="n"/>
      <c r="K234" s="145" t="n"/>
      <c r="L234" s="1" t="n"/>
      <c r="M234" s="145" t="n"/>
      <c r="N234" s="145" t="n"/>
      <c r="O234" s="145" t="n"/>
      <c r="P234" s="1" t="n"/>
      <c r="Q234" s="1" t="n"/>
      <c r="R234" s="1" t="n"/>
      <c r="S234" s="1" t="n"/>
      <c r="T234" s="1" t="n"/>
      <c r="U234" s="1" t="n"/>
      <c r="V234" s="1" t="n"/>
      <c r="W234" s="1" t="n"/>
      <c r="X234" s="1" t="n"/>
      <c r="Y234" s="1" t="n"/>
      <c r="Z234" s="1" t="n"/>
    </row>
    <row r="235" ht="15.75" customHeight="1" s="311">
      <c r="A235" s="145" t="n"/>
      <c r="B235" s="145" t="n"/>
      <c r="C235" s="145" t="n"/>
      <c r="D235" s="145" t="n"/>
      <c r="E235" s="145" t="n"/>
      <c r="F235" s="145" t="n"/>
      <c r="G235" s="145" t="n"/>
      <c r="H235" s="145" t="n"/>
      <c r="I235" s="145" t="n"/>
      <c r="J235" s="145" t="n"/>
      <c r="K235" s="145" t="n"/>
      <c r="L235" s="1" t="n"/>
      <c r="M235" s="145" t="n"/>
      <c r="N235" s="145" t="n"/>
      <c r="O235" s="145" t="n"/>
      <c r="P235" s="1" t="n"/>
      <c r="Q235" s="1" t="n"/>
      <c r="R235" s="1" t="n"/>
      <c r="S235" s="1" t="n"/>
      <c r="T235" s="1" t="n"/>
      <c r="U235" s="1" t="n"/>
      <c r="V235" s="1" t="n"/>
      <c r="W235" s="1" t="n"/>
      <c r="X235" s="1" t="n"/>
      <c r="Y235" s="1" t="n"/>
      <c r="Z235" s="1" t="n"/>
    </row>
    <row r="236" ht="15.75" customHeight="1" s="311">
      <c r="A236" s="145" t="n"/>
      <c r="B236" s="145" t="n"/>
      <c r="C236" s="145" t="n"/>
      <c r="D236" s="145" t="n"/>
      <c r="E236" s="145" t="n"/>
      <c r="F236" s="145" t="n"/>
      <c r="G236" s="145" t="n"/>
      <c r="H236" s="145" t="n"/>
      <c r="I236" s="145" t="n"/>
      <c r="J236" s="145" t="n"/>
      <c r="K236" s="145" t="n"/>
      <c r="L236" s="1" t="n"/>
      <c r="M236" s="145" t="n"/>
      <c r="N236" s="145" t="n"/>
      <c r="O236" s="145" t="n"/>
      <c r="P236" s="1" t="n"/>
      <c r="Q236" s="1" t="n"/>
      <c r="R236" s="1" t="n"/>
      <c r="S236" s="1" t="n"/>
      <c r="T236" s="1" t="n"/>
      <c r="U236" s="1" t="n"/>
      <c r="V236" s="1" t="n"/>
      <c r="W236" s="1" t="n"/>
      <c r="X236" s="1" t="n"/>
      <c r="Y236" s="1" t="n"/>
      <c r="Z236" s="1" t="n"/>
    </row>
    <row r="237" ht="15.75" customHeight="1" s="311">
      <c r="A237" s="145" t="n"/>
      <c r="B237" s="145" t="n"/>
      <c r="C237" s="145" t="n"/>
      <c r="D237" s="145" t="n"/>
      <c r="E237" s="145" t="n"/>
      <c r="F237" s="145" t="n"/>
      <c r="G237" s="145" t="n"/>
      <c r="H237" s="145" t="n"/>
      <c r="I237" s="145" t="n"/>
      <c r="J237" s="145" t="n"/>
      <c r="K237" s="145" t="n"/>
      <c r="L237" s="1" t="n"/>
      <c r="M237" s="145" t="n"/>
      <c r="N237" s="145" t="n"/>
      <c r="O237" s="145" t="n"/>
      <c r="P237" s="1" t="n"/>
      <c r="Q237" s="1" t="n"/>
      <c r="R237" s="1" t="n"/>
      <c r="S237" s="1" t="n"/>
      <c r="T237" s="1" t="n"/>
      <c r="U237" s="1" t="n"/>
      <c r="V237" s="1" t="n"/>
      <c r="W237" s="1" t="n"/>
      <c r="X237" s="1" t="n"/>
      <c r="Y237" s="1" t="n"/>
      <c r="Z237" s="1" t="n"/>
    </row>
    <row r="238" ht="15.75" customHeight="1" s="311">
      <c r="A238" s="145" t="n"/>
      <c r="B238" s="145" t="n"/>
      <c r="C238" s="145" t="n"/>
      <c r="D238" s="145" t="n"/>
      <c r="E238" s="145" t="n"/>
      <c r="F238" s="145" t="n"/>
      <c r="G238" s="145" t="n"/>
      <c r="H238" s="145" t="n"/>
      <c r="I238" s="145" t="n"/>
      <c r="J238" s="145" t="n"/>
      <c r="K238" s="145" t="n"/>
      <c r="L238" s="1" t="n"/>
      <c r="M238" s="145" t="n"/>
      <c r="N238" s="145" t="n"/>
      <c r="O238" s="145" t="n"/>
      <c r="P238" s="1" t="n"/>
      <c r="Q238" s="1" t="n"/>
      <c r="R238" s="1" t="n"/>
      <c r="S238" s="1" t="n"/>
      <c r="T238" s="1" t="n"/>
      <c r="U238" s="1" t="n"/>
      <c r="V238" s="1" t="n"/>
      <c r="W238" s="1" t="n"/>
      <c r="X238" s="1" t="n"/>
      <c r="Y238" s="1" t="n"/>
      <c r="Z238" s="1" t="n"/>
    </row>
    <row r="239" ht="15.75" customHeight="1" s="311">
      <c r="A239" s="145" t="n"/>
      <c r="B239" s="145" t="n"/>
      <c r="C239" s="145" t="n"/>
      <c r="D239" s="145" t="n"/>
      <c r="E239" s="145" t="n"/>
      <c r="F239" s="145" t="n"/>
      <c r="G239" s="145" t="n"/>
      <c r="H239" s="145" t="n"/>
      <c r="I239" s="145" t="n"/>
      <c r="J239" s="145" t="n"/>
      <c r="K239" s="145" t="n"/>
      <c r="L239" s="1" t="n"/>
      <c r="M239" s="145" t="n"/>
      <c r="N239" s="145" t="n"/>
      <c r="O239" s="145" t="n"/>
      <c r="P239" s="1" t="n"/>
      <c r="Q239" s="1" t="n"/>
      <c r="R239" s="1" t="n"/>
      <c r="S239" s="1" t="n"/>
      <c r="T239" s="1" t="n"/>
      <c r="U239" s="1" t="n"/>
      <c r="V239" s="1" t="n"/>
      <c r="W239" s="1" t="n"/>
      <c r="X239" s="1" t="n"/>
      <c r="Y239" s="1" t="n"/>
      <c r="Z239" s="1" t="n"/>
    </row>
    <row r="240" ht="15.75" customHeight="1" s="311">
      <c r="A240" s="145" t="n"/>
      <c r="B240" s="145" t="n"/>
      <c r="C240" s="145" t="n"/>
      <c r="D240" s="145" t="n"/>
      <c r="E240" s="145" t="n"/>
      <c r="F240" s="145" t="n"/>
      <c r="G240" s="145" t="n"/>
      <c r="H240" s="145" t="n"/>
      <c r="I240" s="145" t="n"/>
      <c r="J240" s="145" t="n"/>
      <c r="K240" s="145" t="n"/>
      <c r="L240" s="1" t="n"/>
      <c r="M240" s="145" t="n"/>
      <c r="N240" s="145" t="n"/>
      <c r="O240" s="145" t="n"/>
      <c r="P240" s="1" t="n"/>
      <c r="Q240" s="1" t="n"/>
      <c r="R240" s="1" t="n"/>
      <c r="S240" s="1" t="n"/>
      <c r="T240" s="1" t="n"/>
      <c r="U240" s="1" t="n"/>
      <c r="V240" s="1" t="n"/>
      <c r="W240" s="1" t="n"/>
      <c r="X240" s="1" t="n"/>
      <c r="Y240" s="1" t="n"/>
      <c r="Z240" s="1" t="n"/>
    </row>
    <row r="241" ht="15.75" customHeight="1" s="311">
      <c r="A241" s="145" t="n"/>
      <c r="B241" s="145" t="n"/>
      <c r="C241" s="145" t="n"/>
      <c r="D241" s="145" t="n"/>
      <c r="E241" s="145" t="n"/>
      <c r="F241" s="145" t="n"/>
      <c r="G241" s="145" t="n"/>
      <c r="H241" s="145" t="n"/>
      <c r="I241" s="145" t="n"/>
      <c r="J241" s="145" t="n"/>
      <c r="K241" s="145" t="n"/>
      <c r="L241" s="1" t="n"/>
      <c r="M241" s="145" t="n"/>
      <c r="N241" s="145" t="n"/>
      <c r="O241" s="145" t="n"/>
      <c r="P241" s="1" t="n"/>
      <c r="Q241" s="1" t="n"/>
      <c r="R241" s="1" t="n"/>
      <c r="S241" s="1" t="n"/>
      <c r="T241" s="1" t="n"/>
      <c r="U241" s="1" t="n"/>
      <c r="V241" s="1" t="n"/>
      <c r="W241" s="1" t="n"/>
      <c r="X241" s="1" t="n"/>
      <c r="Y241" s="1" t="n"/>
      <c r="Z241" s="1" t="n"/>
    </row>
    <row r="242" ht="15.75" customHeight="1" s="311">
      <c r="A242" s="145" t="n"/>
      <c r="B242" s="145" t="n"/>
      <c r="C242" s="145" t="n"/>
      <c r="D242" s="145" t="n"/>
      <c r="E242" s="145" t="n"/>
      <c r="F242" s="145" t="n"/>
      <c r="G242" s="145" t="n"/>
      <c r="H242" s="145" t="n"/>
      <c r="I242" s="145" t="n"/>
      <c r="J242" s="145" t="n"/>
      <c r="K242" s="145" t="n"/>
      <c r="L242" s="1" t="n"/>
      <c r="M242" s="145" t="n"/>
      <c r="N242" s="145" t="n"/>
      <c r="O242" s="145" t="n"/>
      <c r="P242" s="1" t="n"/>
      <c r="Q242" s="1" t="n"/>
      <c r="R242" s="1" t="n"/>
      <c r="S242" s="1" t="n"/>
      <c r="T242" s="1" t="n"/>
      <c r="U242" s="1" t="n"/>
      <c r="V242" s="1" t="n"/>
      <c r="W242" s="1" t="n"/>
      <c r="X242" s="1" t="n"/>
      <c r="Y242" s="1" t="n"/>
      <c r="Z242" s="1" t="n"/>
    </row>
    <row r="243" ht="15.75" customHeight="1" s="311">
      <c r="A243" s="145" t="n"/>
      <c r="B243" s="145" t="n"/>
      <c r="C243" s="145" t="n"/>
      <c r="D243" s="145" t="n"/>
      <c r="E243" s="145" t="n"/>
      <c r="F243" s="145" t="n"/>
      <c r="G243" s="145" t="n"/>
      <c r="H243" s="145" t="n"/>
      <c r="I243" s="145" t="n"/>
      <c r="J243" s="145" t="n"/>
      <c r="K243" s="145" t="n"/>
      <c r="L243" s="1" t="n"/>
      <c r="M243" s="145" t="n"/>
      <c r="N243" s="145" t="n"/>
      <c r="O243" s="145" t="n"/>
      <c r="P243" s="1" t="n"/>
      <c r="Q243" s="1" t="n"/>
      <c r="R243" s="1" t="n"/>
      <c r="S243" s="1" t="n"/>
      <c r="T243" s="1" t="n"/>
      <c r="U243" s="1" t="n"/>
      <c r="V243" s="1" t="n"/>
      <c r="W243" s="1" t="n"/>
      <c r="X243" s="1" t="n"/>
      <c r="Y243" s="1" t="n"/>
      <c r="Z243" s="1" t="n"/>
    </row>
    <row r="244" ht="15.75" customHeight="1" s="311">
      <c r="A244" s="145" t="n"/>
      <c r="B244" s="145" t="n"/>
      <c r="C244" s="145" t="n"/>
      <c r="D244" s="145" t="n"/>
      <c r="E244" s="145" t="n"/>
      <c r="F244" s="145" t="n"/>
      <c r="G244" s="145" t="n"/>
      <c r="H244" s="145" t="n"/>
      <c r="I244" s="145" t="n"/>
      <c r="J244" s="145" t="n"/>
      <c r="K244" s="145" t="n"/>
      <c r="L244" s="1" t="n"/>
      <c r="M244" s="145" t="n"/>
      <c r="N244" s="145" t="n"/>
      <c r="O244" s="145" t="n"/>
      <c r="P244" s="1" t="n"/>
      <c r="Q244" s="1" t="n"/>
      <c r="R244" s="1" t="n"/>
      <c r="S244" s="1" t="n"/>
      <c r="T244" s="1" t="n"/>
      <c r="U244" s="1" t="n"/>
      <c r="V244" s="1" t="n"/>
      <c r="W244" s="1" t="n"/>
      <c r="X244" s="1" t="n"/>
      <c r="Y244" s="1" t="n"/>
      <c r="Z244" s="1" t="n"/>
    </row>
    <row r="245" ht="15.75" customHeight="1" s="311">
      <c r="A245" s="145" t="n"/>
      <c r="B245" s="145" t="n"/>
      <c r="C245" s="145" t="n"/>
      <c r="D245" s="145" t="n"/>
      <c r="E245" s="145" t="n"/>
      <c r="F245" s="145" t="n"/>
      <c r="G245" s="145" t="n"/>
      <c r="H245" s="145" t="n"/>
      <c r="I245" s="145" t="n"/>
      <c r="J245" s="145" t="n"/>
      <c r="K245" s="145" t="n"/>
      <c r="L245" s="1" t="n"/>
      <c r="M245" s="145" t="n"/>
      <c r="N245" s="145" t="n"/>
      <c r="O245" s="145" t="n"/>
      <c r="P245" s="1" t="n"/>
      <c r="Q245" s="1" t="n"/>
      <c r="R245" s="1" t="n"/>
      <c r="S245" s="1" t="n"/>
      <c r="T245" s="1" t="n"/>
      <c r="U245" s="1" t="n"/>
      <c r="V245" s="1" t="n"/>
      <c r="W245" s="1" t="n"/>
      <c r="X245" s="1" t="n"/>
      <c r="Y245" s="1" t="n"/>
      <c r="Z245" s="1" t="n"/>
    </row>
    <row r="246" ht="15.75" customHeight="1" s="311">
      <c r="A246" s="145" t="n"/>
      <c r="B246" s="145" t="n"/>
      <c r="C246" s="145" t="n"/>
      <c r="D246" s="145" t="n"/>
      <c r="E246" s="145" t="n"/>
      <c r="F246" s="145" t="n"/>
      <c r="G246" s="145" t="n"/>
      <c r="H246" s="145" t="n"/>
      <c r="I246" s="145" t="n"/>
      <c r="J246" s="145" t="n"/>
      <c r="K246" s="145" t="n"/>
      <c r="L246" s="1" t="n"/>
      <c r="M246" s="145" t="n"/>
      <c r="N246" s="145" t="n"/>
      <c r="O246" s="145" t="n"/>
      <c r="P246" s="1" t="n"/>
      <c r="Q246" s="1" t="n"/>
      <c r="R246" s="1" t="n"/>
      <c r="S246" s="1" t="n"/>
      <c r="T246" s="1" t="n"/>
      <c r="U246" s="1" t="n"/>
      <c r="V246" s="1" t="n"/>
      <c r="W246" s="1" t="n"/>
      <c r="X246" s="1" t="n"/>
      <c r="Y246" s="1" t="n"/>
      <c r="Z246" s="1" t="n"/>
    </row>
    <row r="247" ht="15.75" customHeight="1" s="311">
      <c r="A247" s="145" t="n"/>
      <c r="B247" s="145" t="n"/>
      <c r="C247" s="145" t="n"/>
      <c r="D247" s="145" t="n"/>
      <c r="E247" s="145" t="n"/>
      <c r="F247" s="145" t="n"/>
      <c r="G247" s="145" t="n"/>
      <c r="H247" s="145" t="n"/>
      <c r="I247" s="145" t="n"/>
      <c r="J247" s="145" t="n"/>
      <c r="K247" s="145" t="n"/>
      <c r="L247" s="1" t="n"/>
      <c r="M247" s="145" t="n"/>
      <c r="N247" s="145" t="n"/>
      <c r="O247" s="145" t="n"/>
      <c r="P247" s="1" t="n"/>
      <c r="Q247" s="1" t="n"/>
      <c r="R247" s="1" t="n"/>
      <c r="S247" s="1" t="n"/>
      <c r="T247" s="1" t="n"/>
      <c r="U247" s="1" t="n"/>
      <c r="V247" s="1" t="n"/>
      <c r="W247" s="1" t="n"/>
      <c r="X247" s="1" t="n"/>
      <c r="Y247" s="1" t="n"/>
      <c r="Z247" s="1" t="n"/>
    </row>
    <row r="248" ht="15.75" customHeight="1" s="311">
      <c r="A248" s="145" t="n"/>
      <c r="B248" s="145" t="n"/>
      <c r="C248" s="145" t="n"/>
      <c r="D248" s="145" t="n"/>
      <c r="E248" s="145" t="n"/>
      <c r="F248" s="145" t="n"/>
      <c r="G248" s="145" t="n"/>
      <c r="H248" s="145" t="n"/>
      <c r="I248" s="145" t="n"/>
      <c r="J248" s="145" t="n"/>
      <c r="K248" s="145" t="n"/>
      <c r="L248" s="1" t="n"/>
      <c r="M248" s="145" t="n"/>
      <c r="N248" s="145" t="n"/>
      <c r="O248" s="145" t="n"/>
      <c r="P248" s="1" t="n"/>
      <c r="Q248" s="1" t="n"/>
      <c r="R248" s="1" t="n"/>
      <c r="S248" s="1" t="n"/>
      <c r="T248" s="1" t="n"/>
      <c r="U248" s="1" t="n"/>
      <c r="V248" s="1" t="n"/>
      <c r="W248" s="1" t="n"/>
      <c r="X248" s="1" t="n"/>
      <c r="Y248" s="1" t="n"/>
      <c r="Z248" s="1" t="n"/>
    </row>
    <row r="249" ht="15.75" customHeight="1" s="311">
      <c r="A249" s="145" t="n"/>
      <c r="B249" s="145" t="n"/>
      <c r="C249" s="145" t="n"/>
      <c r="D249" s="145" t="n"/>
      <c r="E249" s="145" t="n"/>
      <c r="F249" s="145" t="n"/>
      <c r="G249" s="145" t="n"/>
      <c r="H249" s="145" t="n"/>
      <c r="I249" s="145" t="n"/>
      <c r="J249" s="145" t="n"/>
      <c r="K249" s="145" t="n"/>
      <c r="L249" s="1" t="n"/>
      <c r="M249" s="145" t="n"/>
      <c r="N249" s="145" t="n"/>
      <c r="O249" s="145" t="n"/>
      <c r="P249" s="1" t="n"/>
      <c r="Q249" s="1" t="n"/>
      <c r="R249" s="1" t="n"/>
      <c r="S249" s="1" t="n"/>
      <c r="T249" s="1" t="n"/>
      <c r="U249" s="1" t="n"/>
      <c r="V249" s="1" t="n"/>
      <c r="W249" s="1" t="n"/>
      <c r="X249" s="1" t="n"/>
      <c r="Y249" s="1" t="n"/>
      <c r="Z249" s="1" t="n"/>
    </row>
    <row r="250" ht="15.75" customHeight="1" s="311">
      <c r="A250" s="145" t="n"/>
      <c r="B250" s="145" t="n"/>
      <c r="C250" s="145" t="n"/>
      <c r="D250" s="145" t="n"/>
      <c r="E250" s="145" t="n"/>
      <c r="F250" s="145" t="n"/>
      <c r="G250" s="145" t="n"/>
      <c r="H250" s="145" t="n"/>
      <c r="I250" s="145" t="n"/>
      <c r="J250" s="145" t="n"/>
      <c r="K250" s="145" t="n"/>
      <c r="L250" s="1" t="n"/>
      <c r="M250" s="145" t="n"/>
      <c r="N250" s="145" t="n"/>
      <c r="O250" s="145" t="n"/>
      <c r="P250" s="1" t="n"/>
      <c r="Q250" s="1" t="n"/>
      <c r="R250" s="1" t="n"/>
      <c r="S250" s="1" t="n"/>
      <c r="T250" s="1" t="n"/>
      <c r="U250" s="1" t="n"/>
      <c r="V250" s="1" t="n"/>
      <c r="W250" s="1" t="n"/>
      <c r="X250" s="1" t="n"/>
      <c r="Y250" s="1" t="n"/>
      <c r="Z250" s="1" t="n"/>
    </row>
    <row r="251" ht="15.75" customHeight="1" s="311">
      <c r="A251" s="145" t="n"/>
      <c r="B251" s="145" t="n"/>
      <c r="C251" s="145" t="n"/>
      <c r="D251" s="145" t="n"/>
      <c r="E251" s="145" t="n"/>
      <c r="F251" s="145" t="n"/>
      <c r="G251" s="145" t="n"/>
      <c r="H251" s="145" t="n"/>
      <c r="I251" s="145" t="n"/>
      <c r="J251" s="145" t="n"/>
      <c r="K251" s="145" t="n"/>
      <c r="L251" s="1" t="n"/>
      <c r="M251" s="145" t="n"/>
      <c r="N251" s="145" t="n"/>
      <c r="O251" s="145" t="n"/>
      <c r="P251" s="1" t="n"/>
      <c r="Q251" s="1" t="n"/>
      <c r="R251" s="1" t="n"/>
      <c r="S251" s="1" t="n"/>
      <c r="T251" s="1" t="n"/>
      <c r="U251" s="1" t="n"/>
      <c r="V251" s="1" t="n"/>
      <c r="W251" s="1" t="n"/>
      <c r="X251" s="1" t="n"/>
      <c r="Y251" s="1" t="n"/>
      <c r="Z251" s="1" t="n"/>
    </row>
    <row r="252" ht="15.75" customHeight="1" s="311">
      <c r="A252" s="145" t="n"/>
      <c r="B252" s="145" t="n"/>
      <c r="C252" s="145" t="n"/>
      <c r="D252" s="145" t="n"/>
      <c r="E252" s="145" t="n"/>
      <c r="F252" s="145" t="n"/>
      <c r="G252" s="145" t="n"/>
      <c r="H252" s="145" t="n"/>
      <c r="I252" s="145" t="n"/>
      <c r="J252" s="145" t="n"/>
      <c r="K252" s="145" t="n"/>
      <c r="L252" s="1" t="n"/>
      <c r="M252" s="145" t="n"/>
      <c r="N252" s="145" t="n"/>
      <c r="O252" s="145" t="n"/>
      <c r="P252" s="1" t="n"/>
      <c r="Q252" s="1" t="n"/>
      <c r="R252" s="1" t="n"/>
      <c r="S252" s="1" t="n"/>
      <c r="T252" s="1" t="n"/>
      <c r="U252" s="1" t="n"/>
      <c r="V252" s="1" t="n"/>
      <c r="W252" s="1" t="n"/>
      <c r="X252" s="1" t="n"/>
      <c r="Y252" s="1" t="n"/>
      <c r="Z252" s="1" t="n"/>
    </row>
    <row r="253" ht="15.75" customHeight="1" s="311">
      <c r="A253" s="145" t="n"/>
      <c r="B253" s="145" t="n"/>
      <c r="C253" s="145" t="n"/>
      <c r="D253" s="145" t="n"/>
      <c r="E253" s="145" t="n"/>
      <c r="F253" s="145" t="n"/>
      <c r="G253" s="145" t="n"/>
      <c r="H253" s="145" t="n"/>
      <c r="I253" s="145" t="n"/>
      <c r="J253" s="145" t="n"/>
      <c r="K253" s="145" t="n"/>
      <c r="L253" s="1" t="n"/>
      <c r="M253" s="145" t="n"/>
      <c r="N253" s="145" t="n"/>
      <c r="O253" s="145" t="n"/>
      <c r="P253" s="1" t="n"/>
      <c r="Q253" s="1" t="n"/>
      <c r="R253" s="1" t="n"/>
      <c r="S253" s="1" t="n"/>
      <c r="T253" s="1" t="n"/>
      <c r="U253" s="1" t="n"/>
      <c r="V253" s="1" t="n"/>
      <c r="W253" s="1" t="n"/>
      <c r="X253" s="1" t="n"/>
      <c r="Y253" s="1" t="n"/>
      <c r="Z253" s="1" t="n"/>
    </row>
    <row r="254" ht="15.75" customHeight="1" s="311">
      <c r="A254" s="145" t="n"/>
      <c r="B254" s="145" t="n"/>
      <c r="C254" s="145" t="n"/>
      <c r="D254" s="145" t="n"/>
      <c r="E254" s="145" t="n"/>
      <c r="F254" s="145" t="n"/>
      <c r="G254" s="145" t="n"/>
      <c r="H254" s="145" t="n"/>
      <c r="I254" s="145" t="n"/>
      <c r="J254" s="145" t="n"/>
      <c r="K254" s="145" t="n"/>
      <c r="L254" s="1" t="n"/>
      <c r="M254" s="145" t="n"/>
      <c r="N254" s="145" t="n"/>
      <c r="O254" s="145" t="n"/>
      <c r="P254" s="1" t="n"/>
      <c r="Q254" s="1" t="n"/>
      <c r="R254" s="1" t="n"/>
      <c r="S254" s="1" t="n"/>
      <c r="T254" s="1" t="n"/>
      <c r="U254" s="1" t="n"/>
      <c r="V254" s="1" t="n"/>
      <c r="W254" s="1" t="n"/>
      <c r="X254" s="1" t="n"/>
      <c r="Y254" s="1" t="n"/>
      <c r="Z254" s="1" t="n"/>
    </row>
    <row r="255" ht="15.75" customHeight="1" s="311">
      <c r="A255" s="145" t="n"/>
      <c r="B255" s="145" t="n"/>
      <c r="C255" s="145" t="n"/>
      <c r="D255" s="145" t="n"/>
      <c r="E255" s="145" t="n"/>
      <c r="F255" s="145" t="n"/>
      <c r="G255" s="145" t="n"/>
      <c r="H255" s="145" t="n"/>
      <c r="I255" s="145" t="n"/>
      <c r="J255" s="145" t="n"/>
      <c r="K255" s="145" t="n"/>
      <c r="L255" s="1" t="n"/>
      <c r="M255" s="145" t="n"/>
      <c r="N255" s="145" t="n"/>
      <c r="O255" s="145" t="n"/>
      <c r="P255" s="1" t="n"/>
      <c r="Q255" s="1" t="n"/>
      <c r="R255" s="1" t="n"/>
      <c r="S255" s="1" t="n"/>
      <c r="T255" s="1" t="n"/>
      <c r="U255" s="1" t="n"/>
      <c r="V255" s="1" t="n"/>
      <c r="W255" s="1" t="n"/>
      <c r="X255" s="1" t="n"/>
      <c r="Y255" s="1" t="n"/>
      <c r="Z255" s="1" t="n"/>
    </row>
    <row r="256" ht="15.75" customHeight="1" s="311">
      <c r="A256" s="145" t="n"/>
      <c r="B256" s="145" t="n"/>
      <c r="C256" s="145" t="n"/>
      <c r="D256" s="145" t="n"/>
      <c r="E256" s="145" t="n"/>
      <c r="F256" s="145" t="n"/>
      <c r="G256" s="145" t="n"/>
      <c r="H256" s="145" t="n"/>
      <c r="I256" s="145" t="n"/>
      <c r="J256" s="145" t="n"/>
      <c r="K256" s="145" t="n"/>
      <c r="L256" s="1" t="n"/>
      <c r="M256" s="145" t="n"/>
      <c r="N256" s="145" t="n"/>
      <c r="O256" s="145" t="n"/>
      <c r="P256" s="1" t="n"/>
      <c r="Q256" s="1" t="n"/>
      <c r="R256" s="1" t="n"/>
      <c r="S256" s="1" t="n"/>
      <c r="T256" s="1" t="n"/>
      <c r="U256" s="1" t="n"/>
      <c r="V256" s="1" t="n"/>
      <c r="W256" s="1" t="n"/>
      <c r="X256" s="1" t="n"/>
      <c r="Y256" s="1" t="n"/>
      <c r="Z256" s="1" t="n"/>
    </row>
    <row r="257" ht="15.75" customHeight="1" s="311">
      <c r="A257" s="145" t="n"/>
      <c r="B257" s="145" t="n"/>
      <c r="C257" s="145" t="n"/>
      <c r="D257" s="145" t="n"/>
      <c r="E257" s="145" t="n"/>
      <c r="F257" s="145" t="n"/>
      <c r="G257" s="145" t="n"/>
      <c r="H257" s="145" t="n"/>
      <c r="I257" s="145" t="n"/>
      <c r="J257" s="145" t="n"/>
      <c r="K257" s="145" t="n"/>
      <c r="L257" s="1" t="n"/>
      <c r="M257" s="145" t="n"/>
      <c r="N257" s="145" t="n"/>
      <c r="O257" s="145" t="n"/>
      <c r="P257" s="1" t="n"/>
      <c r="Q257" s="1" t="n"/>
      <c r="R257" s="1" t="n"/>
      <c r="S257" s="1" t="n"/>
      <c r="T257" s="1" t="n"/>
      <c r="U257" s="1" t="n"/>
      <c r="V257" s="1" t="n"/>
      <c r="W257" s="1" t="n"/>
      <c r="X257" s="1" t="n"/>
      <c r="Y257" s="1" t="n"/>
      <c r="Z257" s="1" t="n"/>
    </row>
    <row r="258" ht="15.75" customHeight="1" s="311">
      <c r="A258" s="145" t="n"/>
      <c r="B258" s="145" t="n"/>
      <c r="C258" s="145" t="n"/>
      <c r="D258" s="145" t="n"/>
      <c r="E258" s="145" t="n"/>
      <c r="F258" s="145" t="n"/>
      <c r="G258" s="145" t="n"/>
      <c r="H258" s="145" t="n"/>
      <c r="I258" s="145" t="n"/>
      <c r="J258" s="145" t="n"/>
      <c r="K258" s="145" t="n"/>
      <c r="L258" s="1" t="n"/>
      <c r="M258" s="145" t="n"/>
      <c r="N258" s="145" t="n"/>
      <c r="O258" s="145" t="n"/>
      <c r="P258" s="1" t="n"/>
      <c r="Q258" s="1" t="n"/>
      <c r="R258" s="1" t="n"/>
      <c r="S258" s="1" t="n"/>
      <c r="T258" s="1" t="n"/>
      <c r="U258" s="1" t="n"/>
      <c r="V258" s="1" t="n"/>
      <c r="W258" s="1" t="n"/>
      <c r="X258" s="1" t="n"/>
      <c r="Y258" s="1" t="n"/>
      <c r="Z258" s="1" t="n"/>
    </row>
    <row r="259" ht="15.75" customHeight="1" s="311">
      <c r="A259" s="145" t="n"/>
      <c r="B259" s="145" t="n"/>
      <c r="C259" s="145" t="n"/>
      <c r="D259" s="145" t="n"/>
      <c r="E259" s="145" t="n"/>
      <c r="F259" s="145" t="n"/>
      <c r="G259" s="145" t="n"/>
      <c r="H259" s="145" t="n"/>
      <c r="I259" s="145" t="n"/>
      <c r="J259" s="145" t="n"/>
      <c r="K259" s="145" t="n"/>
      <c r="L259" s="1" t="n"/>
      <c r="M259" s="145" t="n"/>
      <c r="N259" s="145" t="n"/>
      <c r="O259" s="145" t="n"/>
      <c r="P259" s="1" t="n"/>
      <c r="Q259" s="1" t="n"/>
      <c r="R259" s="1" t="n"/>
      <c r="S259" s="1" t="n"/>
      <c r="T259" s="1" t="n"/>
      <c r="U259" s="1" t="n"/>
      <c r="V259" s="1" t="n"/>
      <c r="W259" s="1" t="n"/>
      <c r="X259" s="1" t="n"/>
      <c r="Y259" s="1" t="n"/>
      <c r="Z259" s="1" t="n"/>
    </row>
    <row r="260" ht="15.75" customHeight="1" s="311">
      <c r="A260" s="145" t="n"/>
      <c r="B260" s="145" t="n"/>
      <c r="C260" s="145" t="n"/>
      <c r="D260" s="145" t="n"/>
      <c r="E260" s="145" t="n"/>
      <c r="F260" s="145" t="n"/>
      <c r="G260" s="145" t="n"/>
      <c r="H260" s="145" t="n"/>
      <c r="I260" s="145" t="n"/>
      <c r="J260" s="145" t="n"/>
      <c r="K260" s="145" t="n"/>
      <c r="L260" s="1" t="n"/>
      <c r="M260" s="145" t="n"/>
      <c r="N260" s="145" t="n"/>
      <c r="O260" s="145" t="n"/>
      <c r="P260" s="1" t="n"/>
      <c r="Q260" s="1" t="n"/>
      <c r="R260" s="1" t="n"/>
      <c r="S260" s="1" t="n"/>
      <c r="T260" s="1" t="n"/>
      <c r="U260" s="1" t="n"/>
      <c r="V260" s="1" t="n"/>
      <c r="W260" s="1" t="n"/>
      <c r="X260" s="1" t="n"/>
      <c r="Y260" s="1" t="n"/>
      <c r="Z260" s="1" t="n"/>
    </row>
    <row r="261" ht="15.75" customHeight="1" s="311">
      <c r="A261" s="145" t="n"/>
      <c r="B261" s="145" t="n"/>
      <c r="C261" s="145" t="n"/>
      <c r="D261" s="145" t="n"/>
      <c r="E261" s="145" t="n"/>
      <c r="F261" s="145" t="n"/>
      <c r="G261" s="145" t="n"/>
      <c r="H261" s="145" t="n"/>
      <c r="I261" s="145" t="n"/>
      <c r="J261" s="145" t="n"/>
      <c r="K261" s="145" t="n"/>
      <c r="L261" s="1" t="n"/>
      <c r="M261" s="145" t="n"/>
      <c r="N261" s="145" t="n"/>
      <c r="O261" s="145" t="n"/>
      <c r="P261" s="1" t="n"/>
      <c r="Q261" s="1" t="n"/>
      <c r="R261" s="1" t="n"/>
      <c r="S261" s="1" t="n"/>
      <c r="T261" s="1" t="n"/>
      <c r="U261" s="1" t="n"/>
      <c r="V261" s="1" t="n"/>
      <c r="W261" s="1" t="n"/>
      <c r="X261" s="1" t="n"/>
      <c r="Y261" s="1" t="n"/>
      <c r="Z261" s="1" t="n"/>
    </row>
    <row r="262" ht="15.75" customHeight="1" s="311">
      <c r="A262" s="145" t="n"/>
      <c r="B262" s="145" t="n"/>
      <c r="C262" s="145" t="n"/>
      <c r="D262" s="145" t="n"/>
      <c r="E262" s="145" t="n"/>
      <c r="F262" s="145" t="n"/>
      <c r="G262" s="145" t="n"/>
      <c r="H262" s="145" t="n"/>
      <c r="I262" s="145" t="n"/>
      <c r="J262" s="145" t="n"/>
      <c r="K262" s="145" t="n"/>
      <c r="L262" s="1" t="n"/>
      <c r="M262" s="145" t="n"/>
      <c r="N262" s="145" t="n"/>
      <c r="O262" s="145" t="n"/>
      <c r="P262" s="1" t="n"/>
      <c r="Q262" s="1" t="n"/>
      <c r="R262" s="1" t="n"/>
      <c r="S262" s="1" t="n"/>
      <c r="T262" s="1" t="n"/>
      <c r="U262" s="1" t="n"/>
      <c r="V262" s="1" t="n"/>
      <c r="W262" s="1" t="n"/>
      <c r="X262" s="1" t="n"/>
      <c r="Y262" s="1" t="n"/>
      <c r="Z262" s="1" t="n"/>
    </row>
    <row r="263" ht="15.75" customHeight="1" s="311">
      <c r="A263" s="145" t="n"/>
      <c r="B263" s="145" t="n"/>
      <c r="C263" s="145" t="n"/>
      <c r="D263" s="145" t="n"/>
      <c r="E263" s="145" t="n"/>
      <c r="F263" s="145" t="n"/>
      <c r="G263" s="145" t="n"/>
      <c r="H263" s="145" t="n"/>
      <c r="I263" s="145" t="n"/>
      <c r="J263" s="145" t="n"/>
      <c r="K263" s="145" t="n"/>
      <c r="L263" s="1" t="n"/>
      <c r="M263" s="145" t="n"/>
      <c r="N263" s="145" t="n"/>
      <c r="O263" s="145" t="n"/>
      <c r="P263" s="1" t="n"/>
      <c r="Q263" s="1" t="n"/>
      <c r="R263" s="1" t="n"/>
      <c r="S263" s="1" t="n"/>
      <c r="T263" s="1" t="n"/>
      <c r="U263" s="1" t="n"/>
      <c r="V263" s="1" t="n"/>
      <c r="W263" s="1" t="n"/>
      <c r="X263" s="1" t="n"/>
      <c r="Y263" s="1" t="n"/>
      <c r="Z263" s="1" t="n"/>
    </row>
    <row r="264" ht="15.75" customHeight="1" s="311">
      <c r="A264" s="145" t="n"/>
      <c r="B264" s="145" t="n"/>
      <c r="C264" s="145" t="n"/>
      <c r="D264" s="145" t="n"/>
      <c r="E264" s="145" t="n"/>
      <c r="F264" s="145" t="n"/>
      <c r="G264" s="145" t="n"/>
      <c r="H264" s="145" t="n"/>
      <c r="I264" s="145" t="n"/>
      <c r="J264" s="145" t="n"/>
      <c r="K264" s="145" t="n"/>
      <c r="L264" s="1" t="n"/>
      <c r="M264" s="145" t="n"/>
      <c r="N264" s="145" t="n"/>
      <c r="O264" s="145" t="n"/>
      <c r="P264" s="1" t="n"/>
      <c r="Q264" s="1" t="n"/>
      <c r="R264" s="1" t="n"/>
      <c r="S264" s="1" t="n"/>
      <c r="T264" s="1" t="n"/>
      <c r="U264" s="1" t="n"/>
      <c r="V264" s="1" t="n"/>
      <c r="W264" s="1" t="n"/>
      <c r="X264" s="1" t="n"/>
      <c r="Y264" s="1" t="n"/>
      <c r="Z264" s="1" t="n"/>
    </row>
    <row r="265" ht="15.75" customHeight="1" s="311">
      <c r="A265" s="145" t="n"/>
      <c r="B265" s="145" t="n"/>
      <c r="C265" s="145" t="n"/>
      <c r="D265" s="145" t="n"/>
      <c r="E265" s="145" t="n"/>
      <c r="F265" s="145" t="n"/>
      <c r="G265" s="145" t="n"/>
      <c r="H265" s="145" t="n"/>
      <c r="I265" s="145" t="n"/>
      <c r="J265" s="145" t="n"/>
      <c r="K265" s="145" t="n"/>
      <c r="L265" s="1" t="n"/>
      <c r="M265" s="145" t="n"/>
      <c r="N265" s="145" t="n"/>
      <c r="O265" s="145" t="n"/>
      <c r="P265" s="1" t="n"/>
      <c r="Q265" s="1" t="n"/>
      <c r="R265" s="1" t="n"/>
      <c r="S265" s="1" t="n"/>
      <c r="T265" s="1" t="n"/>
      <c r="U265" s="1" t="n"/>
      <c r="V265" s="1" t="n"/>
      <c r="W265" s="1" t="n"/>
      <c r="X265" s="1" t="n"/>
      <c r="Y265" s="1" t="n"/>
      <c r="Z265" s="1" t="n"/>
    </row>
    <row r="266" ht="15.75" customHeight="1" s="311">
      <c r="A266" s="145" t="n"/>
      <c r="B266" s="145" t="n"/>
      <c r="C266" s="145" t="n"/>
      <c r="D266" s="145" t="n"/>
      <c r="E266" s="145" t="n"/>
      <c r="F266" s="145" t="n"/>
      <c r="G266" s="145" t="n"/>
      <c r="H266" s="145" t="n"/>
      <c r="I266" s="145" t="n"/>
      <c r="J266" s="145" t="n"/>
      <c r="K266" s="145" t="n"/>
      <c r="L266" s="1" t="n"/>
      <c r="M266" s="145" t="n"/>
      <c r="N266" s="145" t="n"/>
      <c r="O266" s="145" t="n"/>
      <c r="P266" s="1" t="n"/>
      <c r="Q266" s="1" t="n"/>
      <c r="R266" s="1" t="n"/>
      <c r="S266" s="1" t="n"/>
      <c r="T266" s="1" t="n"/>
      <c r="U266" s="1" t="n"/>
      <c r="V266" s="1" t="n"/>
      <c r="W266" s="1" t="n"/>
      <c r="X266" s="1" t="n"/>
      <c r="Y266" s="1" t="n"/>
      <c r="Z266" s="1" t="n"/>
    </row>
    <row r="267" ht="15.75" customHeight="1" s="311">
      <c r="A267" s="145" t="n"/>
      <c r="B267" s="145" t="n"/>
      <c r="C267" s="145" t="n"/>
      <c r="D267" s="145" t="n"/>
      <c r="E267" s="145" t="n"/>
      <c r="F267" s="145" t="n"/>
      <c r="G267" s="145" t="n"/>
      <c r="H267" s="145" t="n"/>
      <c r="I267" s="145" t="n"/>
      <c r="J267" s="145" t="n"/>
      <c r="K267" s="145" t="n"/>
      <c r="L267" s="1" t="n"/>
      <c r="M267" s="145" t="n"/>
      <c r="N267" s="145" t="n"/>
      <c r="O267" s="145" t="n"/>
      <c r="P267" s="1" t="n"/>
      <c r="Q267" s="1" t="n"/>
      <c r="R267" s="1" t="n"/>
      <c r="S267" s="1" t="n"/>
      <c r="T267" s="1" t="n"/>
      <c r="U267" s="1" t="n"/>
      <c r="V267" s="1" t="n"/>
      <c r="W267" s="1" t="n"/>
      <c r="X267" s="1" t="n"/>
      <c r="Y267" s="1" t="n"/>
      <c r="Z267" s="1" t="n"/>
    </row>
    <row r="268" ht="15.75" customHeight="1" s="311">
      <c r="A268" s="145" t="n"/>
      <c r="B268" s="145" t="n"/>
      <c r="C268" s="145" t="n"/>
      <c r="D268" s="145" t="n"/>
      <c r="E268" s="145" t="n"/>
      <c r="F268" s="145" t="n"/>
      <c r="G268" s="145" t="n"/>
      <c r="H268" s="145" t="n"/>
      <c r="I268" s="145" t="n"/>
      <c r="J268" s="145" t="n"/>
      <c r="K268" s="145" t="n"/>
      <c r="L268" s="1" t="n"/>
      <c r="M268" s="145" t="n"/>
      <c r="N268" s="145" t="n"/>
      <c r="O268" s="145" t="n"/>
      <c r="P268" s="1" t="n"/>
      <c r="Q268" s="1" t="n"/>
      <c r="R268" s="1" t="n"/>
      <c r="S268" s="1" t="n"/>
      <c r="T268" s="1" t="n"/>
      <c r="U268" s="1" t="n"/>
      <c r="V268" s="1" t="n"/>
      <c r="W268" s="1" t="n"/>
      <c r="X268" s="1" t="n"/>
      <c r="Y268" s="1" t="n"/>
      <c r="Z268" s="1" t="n"/>
    </row>
    <row r="269" ht="15.75" customHeight="1" s="311">
      <c r="A269" s="145" t="n"/>
      <c r="B269" s="145" t="n"/>
      <c r="C269" s="145" t="n"/>
      <c r="D269" s="145" t="n"/>
      <c r="E269" s="145" t="n"/>
      <c r="F269" s="145" t="n"/>
      <c r="G269" s="145" t="n"/>
      <c r="H269" s="145" t="n"/>
      <c r="I269" s="145" t="n"/>
      <c r="J269" s="145" t="n"/>
      <c r="K269" s="145" t="n"/>
      <c r="L269" s="1" t="n"/>
      <c r="M269" s="145" t="n"/>
      <c r="N269" s="145" t="n"/>
      <c r="O269" s="145" t="n"/>
      <c r="P269" s="1" t="n"/>
      <c r="Q269" s="1" t="n"/>
      <c r="R269" s="1" t="n"/>
      <c r="S269" s="1" t="n"/>
      <c r="T269" s="1" t="n"/>
      <c r="U269" s="1" t="n"/>
      <c r="V269" s="1" t="n"/>
      <c r="W269" s="1" t="n"/>
      <c r="X269" s="1" t="n"/>
      <c r="Y269" s="1" t="n"/>
      <c r="Z269" s="1" t="n"/>
    </row>
    <row r="270" ht="15.75" customHeight="1" s="311">
      <c r="A270" s="145" t="n"/>
      <c r="B270" s="145" t="n"/>
      <c r="C270" s="145" t="n"/>
      <c r="D270" s="145" t="n"/>
      <c r="E270" s="145" t="n"/>
      <c r="F270" s="145" t="n"/>
      <c r="G270" s="145" t="n"/>
      <c r="H270" s="145" t="n"/>
      <c r="I270" s="145" t="n"/>
      <c r="J270" s="145" t="n"/>
      <c r="K270" s="145" t="n"/>
      <c r="L270" s="1" t="n"/>
      <c r="M270" s="145" t="n"/>
      <c r="N270" s="145" t="n"/>
      <c r="O270" s="145" t="n"/>
      <c r="P270" s="1" t="n"/>
      <c r="Q270" s="1" t="n"/>
      <c r="R270" s="1" t="n"/>
      <c r="S270" s="1" t="n"/>
      <c r="T270" s="1" t="n"/>
      <c r="U270" s="1" t="n"/>
      <c r="V270" s="1" t="n"/>
      <c r="W270" s="1" t="n"/>
      <c r="X270" s="1" t="n"/>
      <c r="Y270" s="1" t="n"/>
      <c r="Z270" s="1" t="n"/>
    </row>
    <row r="271" ht="15.75" customHeight="1" s="311">
      <c r="A271" s="145" t="n"/>
      <c r="B271" s="145" t="n"/>
      <c r="C271" s="145" t="n"/>
      <c r="D271" s="145" t="n"/>
      <c r="E271" s="145" t="n"/>
      <c r="F271" s="145" t="n"/>
      <c r="G271" s="145" t="n"/>
      <c r="H271" s="145" t="n"/>
      <c r="I271" s="145" t="n"/>
      <c r="J271" s="145" t="n"/>
      <c r="K271" s="145" t="n"/>
      <c r="L271" s="1" t="n"/>
      <c r="M271" s="145" t="n"/>
      <c r="N271" s="145" t="n"/>
      <c r="O271" s="145" t="n"/>
      <c r="P271" s="1" t="n"/>
      <c r="Q271" s="1" t="n"/>
      <c r="R271" s="1" t="n"/>
      <c r="S271" s="1" t="n"/>
      <c r="T271" s="1" t="n"/>
      <c r="U271" s="1" t="n"/>
      <c r="V271" s="1" t="n"/>
      <c r="W271" s="1" t="n"/>
      <c r="X271" s="1" t="n"/>
      <c r="Y271" s="1" t="n"/>
      <c r="Z271" s="1" t="n"/>
    </row>
    <row r="272" ht="15.75" customHeight="1" s="311">
      <c r="A272" s="145" t="n"/>
      <c r="B272" s="145" t="n"/>
      <c r="C272" s="145" t="n"/>
      <c r="D272" s="145" t="n"/>
      <c r="E272" s="145" t="n"/>
      <c r="F272" s="145" t="n"/>
      <c r="G272" s="145" t="n"/>
      <c r="H272" s="145" t="n"/>
      <c r="I272" s="145" t="n"/>
      <c r="J272" s="145" t="n"/>
      <c r="K272" s="145" t="n"/>
      <c r="L272" s="1" t="n"/>
      <c r="M272" s="145" t="n"/>
      <c r="N272" s="145" t="n"/>
      <c r="O272" s="145" t="n"/>
      <c r="P272" s="1" t="n"/>
      <c r="Q272" s="1" t="n"/>
      <c r="R272" s="1" t="n"/>
      <c r="S272" s="1" t="n"/>
      <c r="T272" s="1" t="n"/>
      <c r="U272" s="1" t="n"/>
      <c r="V272" s="1" t="n"/>
      <c r="W272" s="1" t="n"/>
      <c r="X272" s="1" t="n"/>
      <c r="Y272" s="1" t="n"/>
      <c r="Z272" s="1" t="n"/>
    </row>
    <row r="273" ht="15.75" customHeight="1" s="311">
      <c r="A273" s="145" t="n"/>
      <c r="B273" s="145" t="n"/>
      <c r="C273" s="145" t="n"/>
      <c r="D273" s="145" t="n"/>
      <c r="E273" s="145" t="n"/>
      <c r="F273" s="145" t="n"/>
      <c r="G273" s="145" t="n"/>
      <c r="H273" s="145" t="n"/>
      <c r="I273" s="145" t="n"/>
      <c r="J273" s="145" t="n"/>
      <c r="K273" s="145" t="n"/>
      <c r="L273" s="1" t="n"/>
      <c r="M273" s="145" t="n"/>
      <c r="N273" s="145" t="n"/>
      <c r="O273" s="145" t="n"/>
      <c r="P273" s="1" t="n"/>
      <c r="Q273" s="1" t="n"/>
      <c r="R273" s="1" t="n"/>
      <c r="S273" s="1" t="n"/>
      <c r="T273" s="1" t="n"/>
      <c r="U273" s="1" t="n"/>
      <c r="V273" s="1" t="n"/>
      <c r="W273" s="1" t="n"/>
      <c r="X273" s="1" t="n"/>
      <c r="Y273" s="1" t="n"/>
      <c r="Z273" s="1" t="n"/>
    </row>
    <row r="274" ht="15.75" customHeight="1" s="311">
      <c r="A274" s="145" t="n"/>
      <c r="B274" s="145" t="n"/>
      <c r="C274" s="145" t="n"/>
      <c r="D274" s="145" t="n"/>
      <c r="E274" s="145" t="n"/>
      <c r="F274" s="145" t="n"/>
      <c r="G274" s="145" t="n"/>
      <c r="H274" s="145" t="n"/>
      <c r="I274" s="145" t="n"/>
      <c r="J274" s="145" t="n"/>
      <c r="K274" s="145" t="n"/>
      <c r="L274" s="1" t="n"/>
      <c r="M274" s="145" t="n"/>
      <c r="N274" s="145" t="n"/>
      <c r="O274" s="145" t="n"/>
      <c r="P274" s="1" t="n"/>
      <c r="Q274" s="1" t="n"/>
      <c r="R274" s="1" t="n"/>
      <c r="S274" s="1" t="n"/>
      <c r="T274" s="1" t="n"/>
      <c r="U274" s="1" t="n"/>
      <c r="V274" s="1" t="n"/>
      <c r="W274" s="1" t="n"/>
      <c r="X274" s="1" t="n"/>
      <c r="Y274" s="1" t="n"/>
      <c r="Z274" s="1" t="n"/>
    </row>
    <row r="275" ht="15.75" customHeight="1" s="311">
      <c r="A275" s="1" t="n"/>
      <c r="B275" s="1" t="n"/>
      <c r="C275" s="1" t="n"/>
      <c r="D275" s="1" t="n"/>
      <c r="E275" s="1" t="n"/>
      <c r="F275" s="1" t="n"/>
      <c r="G275" s="1" t="n"/>
      <c r="H275" s="1" t="n"/>
      <c r="I275" s="1" t="n"/>
      <c r="J275" s="1" t="n"/>
      <c r="K275" s="1" t="n"/>
      <c r="L275" s="1" t="n"/>
      <c r="M275" s="1" t="n"/>
      <c r="N275" s="1" t="n"/>
      <c r="O275" s="1" t="n"/>
    </row>
    <row r="276" ht="15.75" customHeight="1" s="311">
      <c r="A276" s="1" t="n"/>
      <c r="B276" s="1" t="n"/>
      <c r="C276" s="1" t="n"/>
      <c r="D276" s="1" t="n"/>
      <c r="E276" s="1" t="n"/>
      <c r="F276" s="1" t="n"/>
      <c r="G276" s="1" t="n"/>
      <c r="H276" s="1" t="n"/>
      <c r="I276" s="1" t="n"/>
      <c r="J276" s="1" t="n"/>
      <c r="K276" s="1" t="n"/>
      <c r="L276" s="1" t="n"/>
      <c r="M276" s="1" t="n"/>
      <c r="N276" s="1" t="n"/>
      <c r="O276" s="1" t="n"/>
    </row>
    <row r="277" ht="15.75" customHeight="1" s="311">
      <c r="A277" s="1" t="n"/>
      <c r="B277" s="1" t="n"/>
      <c r="C277" s="1" t="n"/>
      <c r="D277" s="1" t="n"/>
      <c r="E277" s="1" t="n"/>
      <c r="F277" s="1" t="n"/>
      <c r="G277" s="1" t="n"/>
      <c r="H277" s="1" t="n"/>
      <c r="I277" s="1" t="n"/>
      <c r="J277" s="1" t="n"/>
      <c r="K277" s="1" t="n"/>
      <c r="L277" s="1" t="n"/>
      <c r="M277" s="1" t="n"/>
      <c r="N277" s="1" t="n"/>
      <c r="O277" s="1" t="n"/>
    </row>
    <row r="278" ht="15.75" customHeight="1" s="311">
      <c r="A278" s="1" t="n"/>
      <c r="B278" s="1" t="n"/>
      <c r="C278" s="1" t="n"/>
      <c r="D278" s="1" t="n"/>
      <c r="E278" s="1" t="n"/>
      <c r="F278" s="1" t="n"/>
      <c r="G278" s="1" t="n"/>
      <c r="H278" s="1" t="n"/>
      <c r="I278" s="1" t="n"/>
      <c r="J278" s="1" t="n"/>
      <c r="K278" s="1" t="n"/>
      <c r="L278" s="1" t="n"/>
      <c r="M278" s="1" t="n"/>
      <c r="N278" s="1" t="n"/>
      <c r="O278" s="1" t="n"/>
    </row>
    <row r="279" ht="15.75" customHeight="1" s="311">
      <c r="A279" s="1" t="n"/>
      <c r="B279" s="1" t="n"/>
      <c r="C279" s="1" t="n"/>
      <c r="D279" s="1" t="n"/>
      <c r="E279" s="1" t="n"/>
      <c r="F279" s="1" t="n"/>
      <c r="G279" s="1" t="n"/>
      <c r="H279" s="1" t="n"/>
      <c r="I279" s="1" t="n"/>
      <c r="J279" s="1" t="n"/>
      <c r="K279" s="1" t="n"/>
      <c r="L279" s="1" t="n"/>
      <c r="M279" s="1" t="n"/>
      <c r="N279" s="1" t="n"/>
      <c r="O279" s="1" t="n"/>
    </row>
    <row r="280" ht="15.75" customHeight="1" s="311">
      <c r="A280" s="1" t="n"/>
      <c r="B280" s="1" t="n"/>
      <c r="C280" s="1" t="n"/>
      <c r="D280" s="1" t="n"/>
      <c r="E280" s="1" t="n"/>
      <c r="F280" s="1" t="n"/>
      <c r="G280" s="1" t="n"/>
      <c r="H280" s="1" t="n"/>
      <c r="I280" s="1" t="n"/>
      <c r="J280" s="1" t="n"/>
      <c r="K280" s="1" t="n"/>
      <c r="L280" s="1" t="n"/>
      <c r="M280" s="1" t="n"/>
      <c r="N280" s="1" t="n"/>
      <c r="O280" s="1" t="n"/>
    </row>
    <row r="281" ht="15.75" customHeight="1" s="311">
      <c r="A281" s="1" t="n"/>
      <c r="B281" s="1" t="n"/>
      <c r="C281" s="1" t="n"/>
      <c r="D281" s="1" t="n"/>
      <c r="E281" s="1" t="n"/>
      <c r="F281" s="1" t="n"/>
      <c r="G281" s="1" t="n"/>
      <c r="H281" s="1" t="n"/>
      <c r="I281" s="1" t="n"/>
      <c r="J281" s="1" t="n"/>
      <c r="K281" s="1" t="n"/>
      <c r="L281" s="1" t="n"/>
      <c r="M281" s="1" t="n"/>
      <c r="N281" s="1" t="n"/>
      <c r="O281" s="1" t="n"/>
    </row>
    <row r="282" ht="15.75" customHeight="1" s="311">
      <c r="A282" s="1" t="n"/>
      <c r="B282" s="1" t="n"/>
      <c r="C282" s="1" t="n"/>
      <c r="D282" s="1" t="n"/>
      <c r="E282" s="1" t="n"/>
      <c r="F282" s="1" t="n"/>
      <c r="G282" s="1" t="n"/>
      <c r="H282" s="1" t="n"/>
      <c r="I282" s="1" t="n"/>
      <c r="J282" s="1" t="n"/>
      <c r="K282" s="1" t="n"/>
      <c r="L282" s="1" t="n"/>
      <c r="M282" s="1" t="n"/>
      <c r="N282" s="1" t="n"/>
      <c r="O282" s="1" t="n"/>
    </row>
    <row r="283" ht="15.75" customHeight="1" s="311">
      <c r="A283" s="1" t="n"/>
      <c r="B283" s="1" t="n"/>
      <c r="C283" s="1" t="n"/>
      <c r="D283" s="1" t="n"/>
      <c r="E283" s="1" t="n"/>
      <c r="F283" s="1" t="n"/>
      <c r="G283" s="1" t="n"/>
      <c r="H283" s="1" t="n"/>
      <c r="I283" s="1" t="n"/>
      <c r="J283" s="1" t="n"/>
      <c r="K283" s="1" t="n"/>
      <c r="L283" s="1" t="n"/>
      <c r="M283" s="1" t="n"/>
      <c r="N283" s="1" t="n"/>
      <c r="O283" s="1" t="n"/>
    </row>
    <row r="284" ht="15.75" customHeight="1" s="311">
      <c r="A284" s="1" t="n"/>
      <c r="B284" s="1" t="n"/>
      <c r="C284" s="1" t="n"/>
      <c r="D284" s="1" t="n"/>
      <c r="E284" s="1" t="n"/>
      <c r="F284" s="1" t="n"/>
      <c r="G284" s="1" t="n"/>
      <c r="H284" s="1" t="n"/>
      <c r="I284" s="1" t="n"/>
      <c r="J284" s="1" t="n"/>
      <c r="K284" s="1" t="n"/>
      <c r="L284" s="1" t="n"/>
      <c r="M284" s="1" t="n"/>
      <c r="N284" s="1" t="n"/>
      <c r="O284" s="1" t="n"/>
    </row>
    <row r="285" ht="15.75" customHeight="1" s="311">
      <c r="A285" s="1" t="n"/>
      <c r="B285" s="1" t="n"/>
      <c r="C285" s="1" t="n"/>
      <c r="D285" s="1" t="n"/>
      <c r="E285" s="1" t="n"/>
      <c r="F285" s="1" t="n"/>
      <c r="G285" s="1" t="n"/>
      <c r="H285" s="1" t="n"/>
      <c r="I285" s="1" t="n"/>
      <c r="J285" s="1" t="n"/>
      <c r="K285" s="1" t="n"/>
      <c r="L285" s="1" t="n"/>
      <c r="M285" s="1" t="n"/>
      <c r="N285" s="1" t="n"/>
      <c r="O285" s="1" t="n"/>
    </row>
    <row r="286" ht="15.75" customHeight="1" s="311">
      <c r="A286" s="1" t="n"/>
      <c r="B286" s="1" t="n"/>
      <c r="C286" s="1" t="n"/>
      <c r="D286" s="1" t="n"/>
      <c r="E286" s="1" t="n"/>
      <c r="F286" s="1" t="n"/>
      <c r="G286" s="1" t="n"/>
      <c r="H286" s="1" t="n"/>
      <c r="I286" s="1" t="n"/>
      <c r="J286" s="1" t="n"/>
      <c r="K286" s="1" t="n"/>
      <c r="L286" s="1" t="n"/>
      <c r="M286" s="1" t="n"/>
      <c r="N286" s="1" t="n"/>
      <c r="O286" s="1" t="n"/>
    </row>
    <row r="287" ht="15.75" customHeight="1" s="311">
      <c r="A287" s="1" t="n"/>
      <c r="B287" s="1" t="n"/>
      <c r="C287" s="1" t="n"/>
      <c r="D287" s="1" t="n"/>
      <c r="E287" s="1" t="n"/>
      <c r="F287" s="1" t="n"/>
      <c r="G287" s="1" t="n"/>
      <c r="H287" s="1" t="n"/>
      <c r="I287" s="1" t="n"/>
      <c r="J287" s="1" t="n"/>
      <c r="K287" s="1" t="n"/>
      <c r="L287" s="1" t="n"/>
      <c r="M287" s="1" t="n"/>
      <c r="N287" s="1" t="n"/>
      <c r="O287" s="1" t="n"/>
    </row>
    <row r="288" ht="15.75" customHeight="1" s="311">
      <c r="A288" s="1" t="n"/>
      <c r="B288" s="1" t="n"/>
      <c r="C288" s="1" t="n"/>
      <c r="D288" s="1" t="n"/>
      <c r="E288" s="1" t="n"/>
      <c r="F288" s="1" t="n"/>
      <c r="G288" s="1" t="n"/>
      <c r="H288" s="1" t="n"/>
      <c r="I288" s="1" t="n"/>
      <c r="J288" s="1" t="n"/>
      <c r="K288" s="1" t="n"/>
      <c r="L288" s="1" t="n"/>
      <c r="M288" s="1" t="n"/>
      <c r="N288" s="1" t="n"/>
      <c r="O288" s="1" t="n"/>
    </row>
    <row r="289" ht="15.75" customHeight="1" s="311">
      <c r="A289" s="1" t="n"/>
      <c r="B289" s="1" t="n"/>
      <c r="C289" s="1" t="n"/>
      <c r="D289" s="1" t="n"/>
      <c r="E289" s="1" t="n"/>
      <c r="F289" s="1" t="n"/>
      <c r="G289" s="1" t="n"/>
      <c r="H289" s="1" t="n"/>
      <c r="I289" s="1" t="n"/>
      <c r="J289" s="1" t="n"/>
      <c r="K289" s="1" t="n"/>
      <c r="L289" s="1" t="n"/>
      <c r="M289" s="1" t="n"/>
      <c r="N289" s="1" t="n"/>
      <c r="O289" s="1" t="n"/>
    </row>
    <row r="290" ht="15.75" customHeight="1" s="311">
      <c r="A290" s="1" t="n"/>
      <c r="B290" s="1" t="n"/>
      <c r="C290" s="1" t="n"/>
      <c r="D290" s="1" t="n"/>
      <c r="E290" s="1" t="n"/>
      <c r="F290" s="1" t="n"/>
      <c r="G290" s="1" t="n"/>
      <c r="H290" s="1" t="n"/>
      <c r="I290" s="1" t="n"/>
      <c r="J290" s="1" t="n"/>
      <c r="K290" s="1" t="n"/>
      <c r="L290" s="1" t="n"/>
      <c r="M290" s="1" t="n"/>
      <c r="N290" s="1" t="n"/>
      <c r="O290" s="1" t="n"/>
    </row>
    <row r="291" ht="15.75" customHeight="1" s="311">
      <c r="A291" s="1" t="n"/>
      <c r="B291" s="1" t="n"/>
      <c r="C291" s="1" t="n"/>
      <c r="D291" s="1" t="n"/>
      <c r="E291" s="1" t="n"/>
      <c r="F291" s="1" t="n"/>
      <c r="G291" s="1" t="n"/>
      <c r="H291" s="1" t="n"/>
      <c r="I291" s="1" t="n"/>
      <c r="J291" s="1" t="n"/>
      <c r="K291" s="1" t="n"/>
      <c r="L291" s="1" t="n"/>
      <c r="M291" s="1" t="n"/>
      <c r="N291" s="1" t="n"/>
      <c r="O291" s="1" t="n"/>
    </row>
    <row r="292" ht="15.75" customHeight="1" s="311">
      <c r="A292" s="1" t="n"/>
      <c r="B292" s="1" t="n"/>
      <c r="C292" s="1" t="n"/>
      <c r="D292" s="1" t="n"/>
      <c r="E292" s="1" t="n"/>
      <c r="F292" s="1" t="n"/>
      <c r="G292" s="1" t="n"/>
      <c r="H292" s="1" t="n"/>
      <c r="I292" s="1" t="n"/>
      <c r="J292" s="1" t="n"/>
      <c r="K292" s="1" t="n"/>
      <c r="L292" s="1" t="n"/>
      <c r="M292" s="1" t="n"/>
      <c r="N292" s="1" t="n"/>
      <c r="O292" s="1" t="n"/>
    </row>
    <row r="293" ht="15.75" customHeight="1" s="311">
      <c r="A293" s="1" t="n"/>
      <c r="B293" s="1" t="n"/>
      <c r="C293" s="1" t="n"/>
      <c r="D293" s="1" t="n"/>
      <c r="E293" s="1" t="n"/>
      <c r="F293" s="1" t="n"/>
      <c r="G293" s="1" t="n"/>
      <c r="H293" s="1" t="n"/>
      <c r="I293" s="1" t="n"/>
      <c r="J293" s="1" t="n"/>
      <c r="K293" s="1" t="n"/>
      <c r="L293" s="1" t="n"/>
      <c r="M293" s="1" t="n"/>
      <c r="N293" s="1" t="n"/>
      <c r="O293" s="1" t="n"/>
    </row>
    <row r="294" ht="15.75" customHeight="1" s="311">
      <c r="A294" s="1" t="n"/>
      <c r="B294" s="1" t="n"/>
      <c r="C294" s="1" t="n"/>
      <c r="D294" s="1" t="n"/>
      <c r="E294" s="1" t="n"/>
      <c r="F294" s="1" t="n"/>
      <c r="G294" s="1" t="n"/>
      <c r="H294" s="1" t="n"/>
      <c r="I294" s="1" t="n"/>
      <c r="J294" s="1" t="n"/>
      <c r="K294" s="1" t="n"/>
      <c r="L294" s="1" t="n"/>
      <c r="M294" s="1" t="n"/>
      <c r="N294" s="1" t="n"/>
      <c r="O294" s="1" t="n"/>
    </row>
    <row r="295" ht="15.75" customHeight="1" s="311">
      <c r="A295" s="1" t="n"/>
      <c r="B295" s="1" t="n"/>
      <c r="C295" s="1" t="n"/>
      <c r="D295" s="1" t="n"/>
      <c r="E295" s="1" t="n"/>
      <c r="F295" s="1" t="n"/>
      <c r="G295" s="1" t="n"/>
      <c r="H295" s="1" t="n"/>
      <c r="I295" s="1" t="n"/>
      <c r="J295" s="1" t="n"/>
      <c r="K295" s="1" t="n"/>
      <c r="L295" s="1" t="n"/>
      <c r="M295" s="1" t="n"/>
      <c r="N295" s="1" t="n"/>
      <c r="O295" s="1" t="n"/>
    </row>
    <row r="296" ht="15.75" customHeight="1" s="311">
      <c r="A296" s="1" t="n"/>
      <c r="B296" s="1" t="n"/>
      <c r="C296" s="1" t="n"/>
      <c r="D296" s="1" t="n"/>
      <c r="E296" s="1" t="n"/>
      <c r="F296" s="1" t="n"/>
      <c r="G296" s="1" t="n"/>
      <c r="H296" s="1" t="n"/>
      <c r="I296" s="1" t="n"/>
      <c r="J296" s="1" t="n"/>
      <c r="K296" s="1" t="n"/>
      <c r="L296" s="1" t="n"/>
      <c r="M296" s="1" t="n"/>
      <c r="N296" s="1" t="n"/>
      <c r="O296" s="1" t="n"/>
    </row>
    <row r="297" ht="15.75" customHeight="1" s="311">
      <c r="A297" s="1" t="n"/>
      <c r="B297" s="1" t="n"/>
      <c r="C297" s="1" t="n"/>
      <c r="D297" s="1" t="n"/>
      <c r="E297" s="1" t="n"/>
      <c r="F297" s="1" t="n"/>
      <c r="G297" s="1" t="n"/>
      <c r="H297" s="1" t="n"/>
      <c r="I297" s="1" t="n"/>
      <c r="J297" s="1" t="n"/>
      <c r="K297" s="1" t="n"/>
      <c r="L297" s="1" t="n"/>
      <c r="M297" s="1" t="n"/>
      <c r="N297" s="1" t="n"/>
      <c r="O297" s="1" t="n"/>
    </row>
    <row r="298" ht="15.75" customHeight="1" s="311">
      <c r="A298" s="1" t="n"/>
      <c r="B298" s="1" t="n"/>
      <c r="C298" s="1" t="n"/>
      <c r="D298" s="1" t="n"/>
      <c r="E298" s="1" t="n"/>
      <c r="F298" s="1" t="n"/>
      <c r="G298" s="1" t="n"/>
      <c r="H298" s="1" t="n"/>
      <c r="I298" s="1" t="n"/>
      <c r="J298" s="1" t="n"/>
      <c r="K298" s="1" t="n"/>
      <c r="L298" s="1" t="n"/>
      <c r="M298" s="1" t="n"/>
      <c r="N298" s="1" t="n"/>
      <c r="O298" s="1" t="n"/>
    </row>
    <row r="299" ht="15.75" customHeight="1" s="311">
      <c r="A299" s="1" t="n"/>
      <c r="B299" s="1" t="n"/>
      <c r="C299" s="1" t="n"/>
      <c r="D299" s="1" t="n"/>
      <c r="E299" s="1" t="n"/>
      <c r="F299" s="1" t="n"/>
      <c r="G299" s="1" t="n"/>
      <c r="H299" s="1" t="n"/>
      <c r="I299" s="1" t="n"/>
      <c r="J299" s="1" t="n"/>
      <c r="K299" s="1" t="n"/>
      <c r="L299" s="1" t="n"/>
      <c r="M299" s="1" t="n"/>
      <c r="N299" s="1" t="n"/>
      <c r="O299" s="1" t="n"/>
    </row>
    <row r="300" ht="15.75" customHeight="1" s="311">
      <c r="A300" s="1" t="n"/>
      <c r="B300" s="1" t="n"/>
      <c r="C300" s="1" t="n"/>
      <c r="D300" s="1" t="n"/>
      <c r="E300" s="1" t="n"/>
      <c r="F300" s="1" t="n"/>
      <c r="G300" s="1" t="n"/>
      <c r="H300" s="1" t="n"/>
      <c r="I300" s="1" t="n"/>
      <c r="J300" s="1" t="n"/>
      <c r="K300" s="1" t="n"/>
      <c r="L300" s="1" t="n"/>
      <c r="M300" s="1" t="n"/>
      <c r="N300" s="1" t="n"/>
      <c r="O300" s="1" t="n"/>
    </row>
    <row r="301" ht="15.75" customHeight="1" s="311">
      <c r="A301" s="1" t="n"/>
      <c r="B301" s="1" t="n"/>
      <c r="C301" s="1" t="n"/>
      <c r="D301" s="1" t="n"/>
      <c r="E301" s="1" t="n"/>
      <c r="F301" s="1" t="n"/>
      <c r="G301" s="1" t="n"/>
      <c r="H301" s="1" t="n"/>
      <c r="I301" s="1" t="n"/>
      <c r="J301" s="1" t="n"/>
      <c r="K301" s="1" t="n"/>
      <c r="L301" s="1" t="n"/>
      <c r="M301" s="1" t="n"/>
      <c r="N301" s="1" t="n"/>
      <c r="O301" s="1" t="n"/>
    </row>
    <row r="302" ht="15.75" customHeight="1" s="311">
      <c r="A302" s="1" t="n"/>
      <c r="B302" s="1" t="n"/>
      <c r="C302" s="1" t="n"/>
      <c r="D302" s="1" t="n"/>
      <c r="E302" s="1" t="n"/>
      <c r="F302" s="1" t="n"/>
      <c r="G302" s="1" t="n"/>
      <c r="H302" s="1" t="n"/>
      <c r="I302" s="1" t="n"/>
      <c r="J302" s="1" t="n"/>
      <c r="K302" s="1" t="n"/>
      <c r="L302" s="1" t="n"/>
      <c r="M302" s="1" t="n"/>
      <c r="N302" s="1" t="n"/>
      <c r="O302" s="1" t="n"/>
    </row>
    <row r="303" ht="15.75" customHeight="1" s="311">
      <c r="A303" s="1" t="n"/>
      <c r="B303" s="1" t="n"/>
      <c r="C303" s="1" t="n"/>
      <c r="D303" s="1" t="n"/>
      <c r="E303" s="1" t="n"/>
      <c r="F303" s="1" t="n"/>
      <c r="G303" s="1" t="n"/>
      <c r="H303" s="1" t="n"/>
      <c r="I303" s="1" t="n"/>
      <c r="J303" s="1" t="n"/>
      <c r="K303" s="1" t="n"/>
      <c r="L303" s="1" t="n"/>
      <c r="M303" s="1" t="n"/>
      <c r="N303" s="1" t="n"/>
      <c r="O303" s="1" t="n"/>
    </row>
    <row r="304" ht="15.75" customHeight="1" s="311">
      <c r="A304" s="1" t="n"/>
      <c r="B304" s="1" t="n"/>
      <c r="C304" s="1" t="n"/>
      <c r="D304" s="1" t="n"/>
      <c r="E304" s="1" t="n"/>
      <c r="F304" s="1" t="n"/>
      <c r="G304" s="1" t="n"/>
      <c r="H304" s="1" t="n"/>
      <c r="I304" s="1" t="n"/>
      <c r="J304" s="1" t="n"/>
      <c r="K304" s="1" t="n"/>
      <c r="L304" s="1" t="n"/>
      <c r="M304" s="1" t="n"/>
      <c r="N304" s="1" t="n"/>
      <c r="O304" s="1" t="n"/>
    </row>
    <row r="305" ht="15.75" customHeight="1" s="311">
      <c r="A305" s="1" t="n"/>
      <c r="B305" s="1" t="n"/>
      <c r="C305" s="1" t="n"/>
      <c r="D305" s="1" t="n"/>
      <c r="E305" s="1" t="n"/>
      <c r="F305" s="1" t="n"/>
      <c r="G305" s="1" t="n"/>
      <c r="H305" s="1" t="n"/>
      <c r="I305" s="1" t="n"/>
      <c r="J305" s="1" t="n"/>
      <c r="K305" s="1" t="n"/>
      <c r="L305" s="1" t="n"/>
      <c r="M305" s="1" t="n"/>
      <c r="N305" s="1" t="n"/>
      <c r="O305" s="1" t="n"/>
    </row>
    <row r="306" ht="15.75" customHeight="1" s="311">
      <c r="A306" s="1" t="n"/>
      <c r="B306" s="1" t="n"/>
      <c r="C306" s="1" t="n"/>
      <c r="D306" s="1" t="n"/>
      <c r="E306" s="1" t="n"/>
      <c r="F306" s="1" t="n"/>
      <c r="G306" s="1" t="n"/>
      <c r="H306" s="1" t="n"/>
      <c r="I306" s="1" t="n"/>
      <c r="J306" s="1" t="n"/>
      <c r="K306" s="1" t="n"/>
      <c r="L306" s="1" t="n"/>
      <c r="M306" s="1" t="n"/>
      <c r="N306" s="1" t="n"/>
      <c r="O306" s="1" t="n"/>
    </row>
    <row r="307" ht="15.75" customHeight="1" s="311">
      <c r="A307" s="1" t="n"/>
      <c r="B307" s="1" t="n"/>
      <c r="C307" s="1" t="n"/>
      <c r="D307" s="1" t="n"/>
      <c r="E307" s="1" t="n"/>
      <c r="F307" s="1" t="n"/>
      <c r="G307" s="1" t="n"/>
      <c r="H307" s="1" t="n"/>
      <c r="I307" s="1" t="n"/>
      <c r="J307" s="1" t="n"/>
      <c r="K307" s="1" t="n"/>
      <c r="L307" s="1" t="n"/>
      <c r="M307" s="1" t="n"/>
      <c r="N307" s="1" t="n"/>
      <c r="O307" s="1" t="n"/>
    </row>
    <row r="308" ht="15.75" customHeight="1" s="311">
      <c r="A308" s="1" t="n"/>
      <c r="B308" s="1" t="n"/>
      <c r="C308" s="1" t="n"/>
      <c r="D308" s="1" t="n"/>
      <c r="E308" s="1" t="n"/>
      <c r="F308" s="1" t="n"/>
      <c r="G308" s="1" t="n"/>
      <c r="H308" s="1" t="n"/>
      <c r="I308" s="1" t="n"/>
      <c r="J308" s="1" t="n"/>
      <c r="K308" s="1" t="n"/>
      <c r="L308" s="1" t="n"/>
      <c r="M308" s="1" t="n"/>
      <c r="N308" s="1" t="n"/>
      <c r="O308" s="1" t="n"/>
    </row>
    <row r="309" ht="15.75" customHeight="1" s="311">
      <c r="A309" s="1" t="n"/>
      <c r="B309" s="1" t="n"/>
      <c r="C309" s="1" t="n"/>
      <c r="D309" s="1" t="n"/>
      <c r="E309" s="1" t="n"/>
      <c r="F309" s="1" t="n"/>
      <c r="G309" s="1" t="n"/>
      <c r="H309" s="1" t="n"/>
      <c r="I309" s="1" t="n"/>
      <c r="J309" s="1" t="n"/>
      <c r="K309" s="1" t="n"/>
      <c r="L309" s="1" t="n"/>
      <c r="M309" s="1" t="n"/>
      <c r="N309" s="1" t="n"/>
      <c r="O309" s="1" t="n"/>
    </row>
    <row r="310" ht="15.75" customHeight="1" s="311">
      <c r="A310" s="1" t="n"/>
      <c r="B310" s="1" t="n"/>
      <c r="C310" s="1" t="n"/>
      <c r="D310" s="1" t="n"/>
      <c r="E310" s="1" t="n"/>
      <c r="F310" s="1" t="n"/>
      <c r="G310" s="1" t="n"/>
      <c r="H310" s="1" t="n"/>
      <c r="I310" s="1" t="n"/>
      <c r="J310" s="1" t="n"/>
      <c r="K310" s="1" t="n"/>
      <c r="L310" s="1" t="n"/>
      <c r="M310" s="1" t="n"/>
      <c r="N310" s="1" t="n"/>
      <c r="O310" s="1" t="n"/>
    </row>
    <row r="311" ht="15.75" customHeight="1" s="311">
      <c r="A311" s="1" t="n"/>
      <c r="B311" s="1" t="n"/>
      <c r="C311" s="1" t="n"/>
      <c r="D311" s="1" t="n"/>
      <c r="E311" s="1" t="n"/>
      <c r="F311" s="1" t="n"/>
      <c r="G311" s="1" t="n"/>
      <c r="H311" s="1" t="n"/>
      <c r="I311" s="1" t="n"/>
      <c r="J311" s="1" t="n"/>
      <c r="K311" s="1" t="n"/>
      <c r="L311" s="1" t="n"/>
      <c r="M311" s="1" t="n"/>
      <c r="N311" s="1" t="n"/>
      <c r="O311" s="1" t="n"/>
    </row>
    <row r="312" ht="15.75" customHeight="1" s="311">
      <c r="A312" s="1" t="n"/>
      <c r="B312" s="1" t="n"/>
      <c r="C312" s="1" t="n"/>
      <c r="D312" s="1" t="n"/>
      <c r="E312" s="1" t="n"/>
      <c r="F312" s="1" t="n"/>
      <c r="G312" s="1" t="n"/>
      <c r="H312" s="1" t="n"/>
      <c r="I312" s="1" t="n"/>
      <c r="J312" s="1" t="n"/>
      <c r="K312" s="1" t="n"/>
      <c r="L312" s="1" t="n"/>
      <c r="M312" s="1" t="n"/>
      <c r="N312" s="1" t="n"/>
      <c r="O312" s="1" t="n"/>
    </row>
    <row r="313" ht="15.75" customHeight="1" s="311">
      <c r="A313" s="1" t="n"/>
      <c r="B313" s="1" t="n"/>
      <c r="C313" s="1" t="n"/>
      <c r="D313" s="1" t="n"/>
      <c r="E313" s="1" t="n"/>
      <c r="F313" s="1" t="n"/>
      <c r="G313" s="1" t="n"/>
      <c r="H313" s="1" t="n"/>
      <c r="I313" s="1" t="n"/>
      <c r="J313" s="1" t="n"/>
      <c r="K313" s="1" t="n"/>
      <c r="L313" s="1" t="n"/>
      <c r="M313" s="1" t="n"/>
      <c r="N313" s="1" t="n"/>
      <c r="O313" s="1" t="n"/>
    </row>
    <row r="314" ht="15.75" customHeight="1" s="311">
      <c r="A314" s="1" t="n"/>
      <c r="B314" s="1" t="n"/>
      <c r="C314" s="1" t="n"/>
      <c r="D314" s="1" t="n"/>
      <c r="E314" s="1" t="n"/>
      <c r="F314" s="1" t="n"/>
      <c r="G314" s="1" t="n"/>
      <c r="H314" s="1" t="n"/>
      <c r="I314" s="1" t="n"/>
      <c r="J314" s="1" t="n"/>
      <c r="K314" s="1" t="n"/>
      <c r="L314" s="1" t="n"/>
      <c r="M314" s="1" t="n"/>
      <c r="N314" s="1" t="n"/>
      <c r="O314" s="1" t="n"/>
    </row>
    <row r="315" ht="15.75" customHeight="1" s="311">
      <c r="A315" s="1" t="n"/>
      <c r="B315" s="1" t="n"/>
      <c r="C315" s="1" t="n"/>
      <c r="D315" s="1" t="n"/>
      <c r="E315" s="1" t="n"/>
      <c r="F315" s="1" t="n"/>
      <c r="G315" s="1" t="n"/>
      <c r="H315" s="1" t="n"/>
      <c r="I315" s="1" t="n"/>
      <c r="J315" s="1" t="n"/>
      <c r="K315" s="1" t="n"/>
      <c r="L315" s="1" t="n"/>
      <c r="M315" s="1" t="n"/>
      <c r="N315" s="1" t="n"/>
      <c r="O315" s="1" t="n"/>
    </row>
    <row r="316" ht="15.75" customHeight="1" s="311">
      <c r="A316" s="1" t="n"/>
      <c r="B316" s="1" t="n"/>
      <c r="C316" s="1" t="n"/>
      <c r="D316" s="1" t="n"/>
      <c r="E316" s="1" t="n"/>
      <c r="F316" s="1" t="n"/>
      <c r="G316" s="1" t="n"/>
      <c r="H316" s="1" t="n"/>
      <c r="I316" s="1" t="n"/>
      <c r="J316" s="1" t="n"/>
      <c r="K316" s="1" t="n"/>
      <c r="L316" s="1" t="n"/>
      <c r="M316" s="1" t="n"/>
      <c r="N316" s="1" t="n"/>
      <c r="O316" s="1" t="n"/>
    </row>
    <row r="317" ht="15.75" customHeight="1" s="311">
      <c r="A317" s="1" t="n"/>
      <c r="B317" s="1" t="n"/>
      <c r="C317" s="1" t="n"/>
      <c r="D317" s="1" t="n"/>
      <c r="E317" s="1" t="n"/>
      <c r="F317" s="1" t="n"/>
      <c r="G317" s="1" t="n"/>
      <c r="H317" s="1" t="n"/>
      <c r="I317" s="1" t="n"/>
      <c r="J317" s="1" t="n"/>
      <c r="K317" s="1" t="n"/>
      <c r="L317" s="1" t="n"/>
      <c r="M317" s="1" t="n"/>
      <c r="N317" s="1" t="n"/>
      <c r="O317" s="1" t="n"/>
    </row>
    <row r="318" ht="15.75" customHeight="1" s="311">
      <c r="A318" s="1" t="n"/>
      <c r="B318" s="1" t="n"/>
      <c r="C318" s="1" t="n"/>
      <c r="D318" s="1" t="n"/>
      <c r="E318" s="1" t="n"/>
      <c r="F318" s="1" t="n"/>
      <c r="G318" s="1" t="n"/>
      <c r="H318" s="1" t="n"/>
      <c r="I318" s="1" t="n"/>
      <c r="J318" s="1" t="n"/>
      <c r="K318" s="1" t="n"/>
      <c r="L318" s="1" t="n"/>
      <c r="M318" s="1" t="n"/>
      <c r="N318" s="1" t="n"/>
      <c r="O318" s="1" t="n"/>
    </row>
    <row r="319" ht="15.75" customHeight="1" s="311">
      <c r="A319" s="1" t="n"/>
      <c r="B319" s="1" t="n"/>
      <c r="C319" s="1" t="n"/>
      <c r="D319" s="1" t="n"/>
      <c r="E319" s="1" t="n"/>
      <c r="F319" s="1" t="n"/>
      <c r="G319" s="1" t="n"/>
      <c r="H319" s="1" t="n"/>
      <c r="I319" s="1" t="n"/>
      <c r="J319" s="1" t="n"/>
      <c r="K319" s="1" t="n"/>
      <c r="L319" s="1" t="n"/>
      <c r="M319" s="1" t="n"/>
      <c r="N319" s="1" t="n"/>
      <c r="O319" s="1" t="n"/>
    </row>
    <row r="320" ht="15.75" customHeight="1" s="311">
      <c r="A320" s="1" t="n"/>
      <c r="B320" s="1" t="n"/>
      <c r="C320" s="1" t="n"/>
      <c r="D320" s="1" t="n"/>
      <c r="E320" s="1" t="n"/>
      <c r="F320" s="1" t="n"/>
      <c r="G320" s="1" t="n"/>
      <c r="H320" s="1" t="n"/>
      <c r="I320" s="1" t="n"/>
      <c r="J320" s="1" t="n"/>
      <c r="K320" s="1" t="n"/>
      <c r="L320" s="1" t="n"/>
      <c r="M320" s="1" t="n"/>
      <c r="N320" s="1" t="n"/>
      <c r="O320" s="1" t="n"/>
    </row>
    <row r="321" ht="15.75" customHeight="1" s="311">
      <c r="A321" s="1" t="n"/>
      <c r="B321" s="1" t="n"/>
      <c r="C321" s="1" t="n"/>
      <c r="D321" s="1" t="n"/>
      <c r="E321" s="1" t="n"/>
      <c r="F321" s="1" t="n"/>
      <c r="G321" s="1" t="n"/>
      <c r="H321" s="1" t="n"/>
      <c r="I321" s="1" t="n"/>
      <c r="J321" s="1" t="n"/>
      <c r="K321" s="1" t="n"/>
      <c r="L321" s="1" t="n"/>
      <c r="M321" s="1" t="n"/>
      <c r="N321" s="1" t="n"/>
      <c r="O321" s="1" t="n"/>
    </row>
    <row r="322" ht="15.75" customHeight="1" s="311">
      <c r="A322" s="1" t="n"/>
      <c r="B322" s="1" t="n"/>
      <c r="C322" s="1" t="n"/>
      <c r="D322" s="1" t="n"/>
      <c r="E322" s="1" t="n"/>
      <c r="F322" s="1" t="n"/>
      <c r="G322" s="1" t="n"/>
      <c r="H322" s="1" t="n"/>
      <c r="I322" s="1" t="n"/>
      <c r="J322" s="1" t="n"/>
      <c r="K322" s="1" t="n"/>
      <c r="L322" s="1" t="n"/>
      <c r="M322" s="1" t="n"/>
      <c r="N322" s="1" t="n"/>
      <c r="O322" s="1" t="n"/>
    </row>
    <row r="323" ht="15.75" customHeight="1" s="311">
      <c r="A323" s="1" t="n"/>
      <c r="B323" s="1" t="n"/>
      <c r="C323" s="1" t="n"/>
      <c r="D323" s="1" t="n"/>
      <c r="E323" s="1" t="n"/>
      <c r="F323" s="1" t="n"/>
      <c r="G323" s="1" t="n"/>
      <c r="H323" s="1" t="n"/>
      <c r="I323" s="1" t="n"/>
      <c r="J323" s="1" t="n"/>
      <c r="K323" s="1" t="n"/>
      <c r="L323" s="1" t="n"/>
      <c r="M323" s="1" t="n"/>
      <c r="N323" s="1" t="n"/>
      <c r="O323" s="1" t="n"/>
    </row>
    <row r="324" ht="15.75" customHeight="1" s="311">
      <c r="A324" s="1" t="n"/>
      <c r="B324" s="1" t="n"/>
      <c r="C324" s="1" t="n"/>
      <c r="D324" s="1" t="n"/>
      <c r="E324" s="1" t="n"/>
      <c r="F324" s="1" t="n"/>
      <c r="G324" s="1" t="n"/>
      <c r="H324" s="1" t="n"/>
      <c r="I324" s="1" t="n"/>
      <c r="J324" s="1" t="n"/>
      <c r="K324" s="1" t="n"/>
      <c r="L324" s="1" t="n"/>
      <c r="M324" s="1" t="n"/>
      <c r="N324" s="1" t="n"/>
      <c r="O324" s="1" t="n"/>
    </row>
    <row r="325" ht="15.75" customHeight="1" s="311">
      <c r="A325" s="1" t="n"/>
      <c r="B325" s="1" t="n"/>
      <c r="C325" s="1" t="n"/>
      <c r="D325" s="1" t="n"/>
      <c r="E325" s="1" t="n"/>
      <c r="F325" s="1" t="n"/>
      <c r="G325" s="1" t="n"/>
      <c r="H325" s="1" t="n"/>
      <c r="I325" s="1" t="n"/>
      <c r="J325" s="1" t="n"/>
      <c r="K325" s="1" t="n"/>
      <c r="L325" s="1" t="n"/>
      <c r="M325" s="1" t="n"/>
      <c r="N325" s="1" t="n"/>
      <c r="O325" s="1" t="n"/>
    </row>
    <row r="326" ht="15.75" customHeight="1" s="311">
      <c r="A326" s="1" t="n"/>
      <c r="B326" s="1" t="n"/>
      <c r="C326" s="1" t="n"/>
      <c r="D326" s="1" t="n"/>
      <c r="E326" s="1" t="n"/>
      <c r="F326" s="1" t="n"/>
      <c r="G326" s="1" t="n"/>
      <c r="H326" s="1" t="n"/>
      <c r="I326" s="1" t="n"/>
      <c r="J326" s="1" t="n"/>
      <c r="K326" s="1" t="n"/>
      <c r="L326" s="1" t="n"/>
      <c r="M326" s="1" t="n"/>
      <c r="N326" s="1" t="n"/>
      <c r="O326" s="1" t="n"/>
    </row>
    <row r="327" ht="15.75" customHeight="1" s="311">
      <c r="A327" s="1" t="n"/>
      <c r="B327" s="1" t="n"/>
      <c r="C327" s="1" t="n"/>
      <c r="D327" s="1" t="n"/>
      <c r="E327" s="1" t="n"/>
      <c r="F327" s="1" t="n"/>
      <c r="G327" s="1" t="n"/>
      <c r="H327" s="1" t="n"/>
      <c r="I327" s="1" t="n"/>
      <c r="J327" s="1" t="n"/>
      <c r="K327" s="1" t="n"/>
      <c r="L327" s="1" t="n"/>
      <c r="M327" s="1" t="n"/>
      <c r="N327" s="1" t="n"/>
      <c r="O327" s="1" t="n"/>
    </row>
    <row r="328" ht="15.75" customHeight="1" s="311">
      <c r="A328" s="1" t="n"/>
      <c r="B328" s="1" t="n"/>
      <c r="C328" s="1" t="n"/>
      <c r="D328" s="1" t="n"/>
      <c r="E328" s="1" t="n"/>
      <c r="F328" s="1" t="n"/>
      <c r="G328" s="1" t="n"/>
      <c r="H328" s="1" t="n"/>
      <c r="I328" s="1" t="n"/>
      <c r="J328" s="1" t="n"/>
      <c r="K328" s="1" t="n"/>
      <c r="L328" s="1" t="n"/>
      <c r="M328" s="1" t="n"/>
      <c r="N328" s="1" t="n"/>
      <c r="O328" s="1" t="n"/>
    </row>
    <row r="329" ht="15.75" customHeight="1" s="311">
      <c r="A329" s="1" t="n"/>
      <c r="B329" s="1" t="n"/>
      <c r="C329" s="1" t="n"/>
      <c r="D329" s="1" t="n"/>
      <c r="E329" s="1" t="n"/>
      <c r="F329" s="1" t="n"/>
      <c r="G329" s="1" t="n"/>
      <c r="H329" s="1" t="n"/>
      <c r="I329" s="1" t="n"/>
      <c r="J329" s="1" t="n"/>
      <c r="K329" s="1" t="n"/>
      <c r="L329" s="1" t="n"/>
      <c r="M329" s="1" t="n"/>
      <c r="N329" s="1" t="n"/>
      <c r="O329" s="1" t="n"/>
    </row>
    <row r="330" ht="15.75" customHeight="1" s="311">
      <c r="A330" s="1" t="n"/>
      <c r="B330" s="1" t="n"/>
      <c r="C330" s="1" t="n"/>
      <c r="D330" s="1" t="n"/>
      <c r="E330" s="1" t="n"/>
      <c r="F330" s="1" t="n"/>
      <c r="G330" s="1" t="n"/>
      <c r="H330" s="1" t="n"/>
      <c r="I330" s="1" t="n"/>
      <c r="J330" s="1" t="n"/>
      <c r="K330" s="1" t="n"/>
      <c r="L330" s="1" t="n"/>
      <c r="M330" s="1" t="n"/>
      <c r="N330" s="1" t="n"/>
      <c r="O330" s="1" t="n"/>
    </row>
    <row r="331" ht="15.75" customHeight="1" s="311">
      <c r="A331" s="1" t="n"/>
      <c r="B331" s="1" t="n"/>
      <c r="C331" s="1" t="n"/>
      <c r="D331" s="1" t="n"/>
      <c r="E331" s="1" t="n"/>
      <c r="F331" s="1" t="n"/>
      <c r="G331" s="1" t="n"/>
      <c r="H331" s="1" t="n"/>
      <c r="I331" s="1" t="n"/>
      <c r="J331" s="1" t="n"/>
      <c r="K331" s="1" t="n"/>
      <c r="L331" s="1" t="n"/>
      <c r="M331" s="1" t="n"/>
      <c r="N331" s="1" t="n"/>
      <c r="O331" s="1" t="n"/>
    </row>
    <row r="332" ht="15.75" customHeight="1" s="311">
      <c r="A332" s="1" t="n"/>
      <c r="B332" s="1" t="n"/>
      <c r="C332" s="1" t="n"/>
      <c r="D332" s="1" t="n"/>
      <c r="E332" s="1" t="n"/>
      <c r="F332" s="1" t="n"/>
      <c r="G332" s="1" t="n"/>
      <c r="H332" s="1" t="n"/>
      <c r="I332" s="1" t="n"/>
      <c r="J332" s="1" t="n"/>
      <c r="K332" s="1" t="n"/>
      <c r="L332" s="1" t="n"/>
      <c r="M332" s="1" t="n"/>
      <c r="N332" s="1" t="n"/>
      <c r="O332" s="1" t="n"/>
    </row>
    <row r="333" ht="15.75" customHeight="1" s="311">
      <c r="A333" s="1" t="n"/>
      <c r="B333" s="1" t="n"/>
      <c r="C333" s="1" t="n"/>
      <c r="D333" s="1" t="n"/>
      <c r="E333" s="1" t="n"/>
      <c r="F333" s="1" t="n"/>
      <c r="G333" s="1" t="n"/>
      <c r="H333" s="1" t="n"/>
      <c r="I333" s="1" t="n"/>
      <c r="J333" s="1" t="n"/>
      <c r="K333" s="1" t="n"/>
      <c r="L333" s="1" t="n"/>
      <c r="M333" s="1" t="n"/>
      <c r="N333" s="1" t="n"/>
      <c r="O333" s="1" t="n"/>
    </row>
    <row r="334" ht="15.75" customHeight="1" s="311">
      <c r="A334" s="1" t="n"/>
      <c r="B334" s="1" t="n"/>
      <c r="C334" s="1" t="n"/>
      <c r="D334" s="1" t="n"/>
      <c r="E334" s="1" t="n"/>
      <c r="F334" s="1" t="n"/>
      <c r="G334" s="1" t="n"/>
      <c r="H334" s="1" t="n"/>
      <c r="I334" s="1" t="n"/>
      <c r="J334" s="1" t="n"/>
      <c r="K334" s="1" t="n"/>
      <c r="L334" s="1" t="n"/>
      <c r="M334" s="1" t="n"/>
      <c r="N334" s="1" t="n"/>
      <c r="O334" s="1" t="n"/>
    </row>
    <row r="335" ht="15.75" customHeight="1" s="311">
      <c r="A335" s="1" t="n"/>
      <c r="B335" s="1" t="n"/>
      <c r="C335" s="1" t="n"/>
      <c r="D335" s="1" t="n"/>
      <c r="E335" s="1" t="n"/>
      <c r="F335" s="1" t="n"/>
      <c r="G335" s="1" t="n"/>
      <c r="H335" s="1" t="n"/>
      <c r="I335" s="1" t="n"/>
      <c r="J335" s="1" t="n"/>
      <c r="K335" s="1" t="n"/>
      <c r="L335" s="1" t="n"/>
      <c r="M335" s="1" t="n"/>
      <c r="N335" s="1" t="n"/>
      <c r="O335" s="1" t="n"/>
    </row>
    <row r="336" ht="15.75" customHeight="1" s="311">
      <c r="A336" s="1" t="n"/>
      <c r="B336" s="1" t="n"/>
      <c r="C336" s="1" t="n"/>
      <c r="D336" s="1" t="n"/>
      <c r="E336" s="1" t="n"/>
      <c r="F336" s="1" t="n"/>
      <c r="G336" s="1" t="n"/>
      <c r="H336" s="1" t="n"/>
      <c r="I336" s="1" t="n"/>
      <c r="J336" s="1" t="n"/>
      <c r="K336" s="1" t="n"/>
      <c r="L336" s="1" t="n"/>
      <c r="M336" s="1" t="n"/>
      <c r="N336" s="1" t="n"/>
      <c r="O336" s="1" t="n"/>
    </row>
    <row r="337" ht="15.75" customHeight="1" s="311">
      <c r="A337" s="1" t="n"/>
      <c r="B337" s="1" t="n"/>
      <c r="C337" s="1" t="n"/>
      <c r="D337" s="1" t="n"/>
      <c r="E337" s="1" t="n"/>
      <c r="F337" s="1" t="n"/>
      <c r="G337" s="1" t="n"/>
      <c r="H337" s="1" t="n"/>
      <c r="I337" s="1" t="n"/>
      <c r="J337" s="1" t="n"/>
      <c r="K337" s="1" t="n"/>
      <c r="L337" s="1" t="n"/>
      <c r="M337" s="1" t="n"/>
      <c r="N337" s="1" t="n"/>
      <c r="O337" s="1" t="n"/>
    </row>
    <row r="338" ht="15.75" customHeight="1" s="311">
      <c r="A338" s="1" t="n"/>
      <c r="B338" s="1" t="n"/>
      <c r="C338" s="1" t="n"/>
      <c r="D338" s="1" t="n"/>
      <c r="E338" s="1" t="n"/>
      <c r="F338" s="1" t="n"/>
      <c r="G338" s="1" t="n"/>
      <c r="H338" s="1" t="n"/>
      <c r="I338" s="1" t="n"/>
      <c r="J338" s="1" t="n"/>
      <c r="K338" s="1" t="n"/>
      <c r="L338" s="1" t="n"/>
      <c r="M338" s="1" t="n"/>
      <c r="N338" s="1" t="n"/>
      <c r="O338" s="1" t="n"/>
    </row>
    <row r="339" ht="15.75" customHeight="1" s="311">
      <c r="A339" s="1" t="n"/>
      <c r="B339" s="1" t="n"/>
      <c r="C339" s="1" t="n"/>
      <c r="D339" s="1" t="n"/>
      <c r="E339" s="1" t="n"/>
      <c r="F339" s="1" t="n"/>
      <c r="G339" s="1" t="n"/>
      <c r="H339" s="1" t="n"/>
      <c r="I339" s="1" t="n"/>
      <c r="J339" s="1" t="n"/>
      <c r="K339" s="1" t="n"/>
      <c r="L339" s="1" t="n"/>
      <c r="M339" s="1" t="n"/>
      <c r="N339" s="1" t="n"/>
      <c r="O339" s="1" t="n"/>
    </row>
    <row r="340" ht="15.75" customHeight="1" s="311">
      <c r="A340" s="1" t="n"/>
      <c r="B340" s="1" t="n"/>
      <c r="C340" s="1" t="n"/>
      <c r="D340" s="1" t="n"/>
      <c r="E340" s="1" t="n"/>
      <c r="F340" s="1" t="n"/>
      <c r="G340" s="1" t="n"/>
      <c r="H340" s="1" t="n"/>
      <c r="I340" s="1" t="n"/>
      <c r="J340" s="1" t="n"/>
      <c r="K340" s="1" t="n"/>
      <c r="L340" s="1" t="n"/>
      <c r="M340" s="1" t="n"/>
      <c r="N340" s="1" t="n"/>
      <c r="O340" s="1" t="n"/>
    </row>
    <row r="341" ht="15.75" customHeight="1" s="311">
      <c r="A341" s="1" t="n"/>
      <c r="B341" s="1" t="n"/>
      <c r="C341" s="1" t="n"/>
      <c r="D341" s="1" t="n"/>
      <c r="E341" s="1" t="n"/>
      <c r="F341" s="1" t="n"/>
      <c r="G341" s="1" t="n"/>
      <c r="H341" s="1" t="n"/>
      <c r="I341" s="1" t="n"/>
      <c r="J341" s="1" t="n"/>
      <c r="K341" s="1" t="n"/>
      <c r="L341" s="1" t="n"/>
      <c r="M341" s="1" t="n"/>
      <c r="N341" s="1" t="n"/>
      <c r="O341" s="1" t="n"/>
    </row>
    <row r="342" ht="15.75" customHeight="1" s="311">
      <c r="A342" s="1" t="n"/>
      <c r="B342" s="1" t="n"/>
      <c r="C342" s="1" t="n"/>
      <c r="D342" s="1" t="n"/>
      <c r="E342" s="1" t="n"/>
      <c r="F342" s="1" t="n"/>
      <c r="G342" s="1" t="n"/>
      <c r="H342" s="1" t="n"/>
      <c r="I342" s="1" t="n"/>
      <c r="J342" s="1" t="n"/>
      <c r="K342" s="1" t="n"/>
      <c r="L342" s="1" t="n"/>
      <c r="M342" s="1" t="n"/>
      <c r="N342" s="1" t="n"/>
      <c r="O342" s="1" t="n"/>
    </row>
    <row r="343" ht="15.75" customHeight="1" s="311">
      <c r="A343" s="1" t="n"/>
      <c r="B343" s="1" t="n"/>
      <c r="C343" s="1" t="n"/>
      <c r="D343" s="1" t="n"/>
      <c r="E343" s="1" t="n"/>
      <c r="F343" s="1" t="n"/>
      <c r="G343" s="1" t="n"/>
      <c r="H343" s="1" t="n"/>
      <c r="I343" s="1" t="n"/>
      <c r="J343" s="1" t="n"/>
      <c r="K343" s="1" t="n"/>
      <c r="L343" s="1" t="n"/>
      <c r="M343" s="1" t="n"/>
      <c r="N343" s="1" t="n"/>
      <c r="O343" s="1" t="n"/>
    </row>
    <row r="344" ht="15.75" customHeight="1" s="311">
      <c r="A344" s="1" t="n"/>
      <c r="B344" s="1" t="n"/>
      <c r="C344" s="1" t="n"/>
      <c r="D344" s="1" t="n"/>
      <c r="E344" s="1" t="n"/>
      <c r="F344" s="1" t="n"/>
      <c r="G344" s="1" t="n"/>
      <c r="H344" s="1" t="n"/>
      <c r="I344" s="1" t="n"/>
      <c r="J344" s="1" t="n"/>
      <c r="K344" s="1" t="n"/>
      <c r="L344" s="1" t="n"/>
      <c r="M344" s="1" t="n"/>
      <c r="N344" s="1" t="n"/>
      <c r="O344" s="1" t="n"/>
    </row>
    <row r="345" ht="15.75" customHeight="1" s="311">
      <c r="A345" s="1" t="n"/>
      <c r="B345" s="1" t="n"/>
      <c r="C345" s="1" t="n"/>
      <c r="D345" s="1" t="n"/>
      <c r="E345" s="1" t="n"/>
      <c r="F345" s="1" t="n"/>
      <c r="G345" s="1" t="n"/>
      <c r="H345" s="1" t="n"/>
      <c r="I345" s="1" t="n"/>
      <c r="J345" s="1" t="n"/>
      <c r="K345" s="1" t="n"/>
      <c r="L345" s="1" t="n"/>
      <c r="M345" s="1" t="n"/>
      <c r="N345" s="1" t="n"/>
      <c r="O345" s="1" t="n"/>
    </row>
    <row r="346" ht="15.75" customHeight="1" s="311">
      <c r="A346" s="1" t="n"/>
      <c r="B346" s="1" t="n"/>
      <c r="C346" s="1" t="n"/>
      <c r="D346" s="1" t="n"/>
      <c r="E346" s="1" t="n"/>
      <c r="F346" s="1" t="n"/>
      <c r="G346" s="1" t="n"/>
      <c r="H346" s="1" t="n"/>
      <c r="I346" s="1" t="n"/>
      <c r="J346" s="1" t="n"/>
      <c r="K346" s="1" t="n"/>
      <c r="L346" s="1" t="n"/>
      <c r="M346" s="1" t="n"/>
      <c r="N346" s="1" t="n"/>
      <c r="O346" s="1" t="n"/>
    </row>
    <row r="347" ht="15.75" customHeight="1" s="311">
      <c r="A347" s="1" t="n"/>
      <c r="B347" s="1" t="n"/>
      <c r="C347" s="1" t="n"/>
      <c r="D347" s="1" t="n"/>
      <c r="E347" s="1" t="n"/>
      <c r="F347" s="1" t="n"/>
      <c r="G347" s="1" t="n"/>
      <c r="H347" s="1" t="n"/>
      <c r="I347" s="1" t="n"/>
      <c r="J347" s="1" t="n"/>
      <c r="K347" s="1" t="n"/>
      <c r="L347" s="1" t="n"/>
      <c r="M347" s="1" t="n"/>
      <c r="N347" s="1" t="n"/>
      <c r="O347" s="1" t="n"/>
    </row>
    <row r="348" ht="15.75" customHeight="1" s="311">
      <c r="A348" s="1" t="n"/>
      <c r="B348" s="1" t="n"/>
      <c r="C348" s="1" t="n"/>
      <c r="D348" s="1" t="n"/>
      <c r="E348" s="1" t="n"/>
      <c r="F348" s="1" t="n"/>
      <c r="G348" s="1" t="n"/>
      <c r="H348" s="1" t="n"/>
      <c r="I348" s="1" t="n"/>
      <c r="J348" s="1" t="n"/>
      <c r="K348" s="1" t="n"/>
      <c r="L348" s="1" t="n"/>
      <c r="M348" s="1" t="n"/>
      <c r="N348" s="1" t="n"/>
      <c r="O348" s="1" t="n"/>
    </row>
    <row r="349" ht="15.75" customHeight="1" s="311">
      <c r="A349" s="1" t="n"/>
      <c r="B349" s="1" t="n"/>
      <c r="C349" s="1" t="n"/>
      <c r="D349" s="1" t="n"/>
      <c r="E349" s="1" t="n"/>
      <c r="F349" s="1" t="n"/>
      <c r="G349" s="1" t="n"/>
      <c r="H349" s="1" t="n"/>
      <c r="I349" s="1" t="n"/>
      <c r="J349" s="1" t="n"/>
      <c r="K349" s="1" t="n"/>
      <c r="L349" s="1" t="n"/>
      <c r="M349" s="1" t="n"/>
      <c r="N349" s="1" t="n"/>
      <c r="O349" s="1" t="n"/>
    </row>
    <row r="350" ht="15.75" customHeight="1" s="311">
      <c r="A350" s="1" t="n"/>
      <c r="B350" s="1" t="n"/>
      <c r="C350" s="1" t="n"/>
      <c r="D350" s="1" t="n"/>
      <c r="E350" s="1" t="n"/>
      <c r="F350" s="1" t="n"/>
      <c r="G350" s="1" t="n"/>
      <c r="H350" s="1" t="n"/>
      <c r="I350" s="1" t="n"/>
      <c r="J350" s="1" t="n"/>
      <c r="K350" s="1" t="n"/>
      <c r="L350" s="1" t="n"/>
      <c r="M350" s="1" t="n"/>
      <c r="N350" s="1" t="n"/>
      <c r="O350" s="1" t="n"/>
    </row>
    <row r="351" ht="15.75" customHeight="1" s="311">
      <c r="A351" s="1" t="n"/>
      <c r="B351" s="1" t="n"/>
      <c r="C351" s="1" t="n"/>
      <c r="D351" s="1" t="n"/>
      <c r="E351" s="1" t="n"/>
      <c r="F351" s="1" t="n"/>
      <c r="G351" s="1" t="n"/>
      <c r="H351" s="1" t="n"/>
      <c r="I351" s="1" t="n"/>
      <c r="J351" s="1" t="n"/>
      <c r="K351" s="1" t="n"/>
      <c r="L351" s="1" t="n"/>
      <c r="M351" s="1" t="n"/>
      <c r="N351" s="1" t="n"/>
      <c r="O351" s="1" t="n"/>
    </row>
    <row r="352" ht="15.75" customHeight="1" s="311">
      <c r="A352" s="1" t="n"/>
      <c r="B352" s="1" t="n"/>
      <c r="C352" s="1" t="n"/>
      <c r="D352" s="1" t="n"/>
      <c r="E352" s="1" t="n"/>
      <c r="F352" s="1" t="n"/>
      <c r="G352" s="1" t="n"/>
      <c r="H352" s="1" t="n"/>
      <c r="I352" s="1" t="n"/>
      <c r="J352" s="1" t="n"/>
      <c r="K352" s="1" t="n"/>
      <c r="L352" s="1" t="n"/>
      <c r="M352" s="1" t="n"/>
      <c r="N352" s="1" t="n"/>
      <c r="O352" s="1" t="n"/>
    </row>
    <row r="353" ht="15.75" customHeight="1" s="311">
      <c r="A353" s="1" t="n"/>
      <c r="B353" s="1" t="n"/>
      <c r="C353" s="1" t="n"/>
      <c r="D353" s="1" t="n"/>
      <c r="E353" s="1" t="n"/>
      <c r="F353" s="1" t="n"/>
      <c r="G353" s="1" t="n"/>
      <c r="H353" s="1" t="n"/>
      <c r="I353" s="1" t="n"/>
      <c r="J353" s="1" t="n"/>
      <c r="K353" s="1" t="n"/>
      <c r="L353" s="1" t="n"/>
      <c r="M353" s="1" t="n"/>
      <c r="N353" s="1" t="n"/>
      <c r="O353" s="1" t="n"/>
    </row>
    <row r="354" ht="15.75" customHeight="1" s="311">
      <c r="A354" s="1" t="n"/>
      <c r="B354" s="1" t="n"/>
      <c r="C354" s="1" t="n"/>
      <c r="D354" s="1" t="n"/>
      <c r="E354" s="1" t="n"/>
      <c r="F354" s="1" t="n"/>
      <c r="G354" s="1" t="n"/>
      <c r="H354" s="1" t="n"/>
      <c r="I354" s="1" t="n"/>
      <c r="J354" s="1" t="n"/>
      <c r="K354" s="1" t="n"/>
      <c r="L354" s="1" t="n"/>
      <c r="M354" s="1" t="n"/>
      <c r="N354" s="1" t="n"/>
      <c r="O354" s="1" t="n"/>
    </row>
    <row r="355" ht="15.75" customHeight="1" s="311">
      <c r="A355" s="1" t="n"/>
      <c r="B355" s="1" t="n"/>
      <c r="C355" s="1" t="n"/>
      <c r="D355" s="1" t="n"/>
      <c r="E355" s="1" t="n"/>
      <c r="F355" s="1" t="n"/>
      <c r="G355" s="1" t="n"/>
      <c r="H355" s="1" t="n"/>
      <c r="I355" s="1" t="n"/>
      <c r="J355" s="1" t="n"/>
      <c r="K355" s="1" t="n"/>
      <c r="L355" s="1" t="n"/>
      <c r="M355" s="1" t="n"/>
      <c r="N355" s="1" t="n"/>
      <c r="O355" s="1" t="n"/>
    </row>
    <row r="356" ht="15.75" customHeight="1" s="311">
      <c r="A356" s="1" t="n"/>
      <c r="B356" s="1" t="n"/>
      <c r="C356" s="1" t="n"/>
      <c r="D356" s="1" t="n"/>
      <c r="E356" s="1" t="n"/>
      <c r="F356" s="1" t="n"/>
      <c r="G356" s="1" t="n"/>
      <c r="H356" s="1" t="n"/>
      <c r="I356" s="1" t="n"/>
      <c r="J356" s="1" t="n"/>
      <c r="K356" s="1" t="n"/>
      <c r="L356" s="1" t="n"/>
      <c r="M356" s="1" t="n"/>
      <c r="N356" s="1" t="n"/>
      <c r="O356" s="1" t="n"/>
    </row>
    <row r="357" ht="15.75" customHeight="1" s="311">
      <c r="A357" s="1" t="n"/>
      <c r="B357" s="1" t="n"/>
      <c r="C357" s="1" t="n"/>
      <c r="D357" s="1" t="n"/>
      <c r="E357" s="1" t="n"/>
      <c r="F357" s="1" t="n"/>
      <c r="G357" s="1" t="n"/>
      <c r="H357" s="1" t="n"/>
      <c r="I357" s="1" t="n"/>
      <c r="J357" s="1" t="n"/>
      <c r="K357" s="1" t="n"/>
      <c r="L357" s="1" t="n"/>
      <c r="M357" s="1" t="n"/>
      <c r="N357" s="1" t="n"/>
      <c r="O357" s="1" t="n"/>
    </row>
    <row r="358" ht="15.75" customHeight="1" s="311">
      <c r="A358" s="1" t="n"/>
      <c r="B358" s="1" t="n"/>
      <c r="C358" s="1" t="n"/>
      <c r="D358" s="1" t="n"/>
      <c r="E358" s="1" t="n"/>
      <c r="F358" s="1" t="n"/>
      <c r="G358" s="1" t="n"/>
      <c r="H358" s="1" t="n"/>
      <c r="I358" s="1" t="n"/>
      <c r="J358" s="1" t="n"/>
      <c r="K358" s="1" t="n"/>
      <c r="L358" s="1" t="n"/>
      <c r="M358" s="1" t="n"/>
      <c r="N358" s="1" t="n"/>
      <c r="O358" s="1" t="n"/>
    </row>
    <row r="359" ht="15.75" customHeight="1" s="311">
      <c r="A359" s="1" t="n"/>
      <c r="B359" s="1" t="n"/>
      <c r="C359" s="1" t="n"/>
      <c r="D359" s="1" t="n"/>
      <c r="E359" s="1" t="n"/>
      <c r="F359" s="1" t="n"/>
      <c r="G359" s="1" t="n"/>
      <c r="H359" s="1" t="n"/>
      <c r="I359" s="1" t="n"/>
      <c r="J359" s="1" t="n"/>
      <c r="K359" s="1" t="n"/>
      <c r="L359" s="1" t="n"/>
      <c r="M359" s="1" t="n"/>
      <c r="N359" s="1" t="n"/>
      <c r="O359" s="1" t="n"/>
    </row>
    <row r="360" ht="15.75" customHeight="1" s="311">
      <c r="A360" s="1" t="n"/>
      <c r="B360" s="1" t="n"/>
      <c r="C360" s="1" t="n"/>
      <c r="D360" s="1" t="n"/>
      <c r="E360" s="1" t="n"/>
      <c r="F360" s="1" t="n"/>
      <c r="G360" s="1" t="n"/>
      <c r="H360" s="1" t="n"/>
      <c r="I360" s="1" t="n"/>
      <c r="J360" s="1" t="n"/>
      <c r="K360" s="1" t="n"/>
      <c r="L360" s="1" t="n"/>
      <c r="M360" s="1" t="n"/>
      <c r="N360" s="1" t="n"/>
      <c r="O360" s="1" t="n"/>
    </row>
    <row r="361" ht="15.75" customHeight="1" s="311">
      <c r="A361" s="1" t="n"/>
      <c r="B361" s="1" t="n"/>
      <c r="C361" s="1" t="n"/>
      <c r="D361" s="1" t="n"/>
      <c r="E361" s="1" t="n"/>
      <c r="F361" s="1" t="n"/>
      <c r="G361" s="1" t="n"/>
      <c r="H361" s="1" t="n"/>
      <c r="I361" s="1" t="n"/>
      <c r="J361" s="1" t="n"/>
      <c r="K361" s="1" t="n"/>
      <c r="L361" s="1" t="n"/>
      <c r="M361" s="1" t="n"/>
      <c r="N361" s="1" t="n"/>
      <c r="O361" s="1" t="n"/>
    </row>
    <row r="362" ht="15.75" customHeight="1" s="311">
      <c r="A362" s="1" t="n"/>
      <c r="B362" s="1" t="n"/>
      <c r="C362" s="1" t="n"/>
      <c r="D362" s="1" t="n"/>
      <c r="E362" s="1" t="n"/>
      <c r="F362" s="1" t="n"/>
      <c r="G362" s="1" t="n"/>
      <c r="H362" s="1" t="n"/>
      <c r="I362" s="1" t="n"/>
      <c r="J362" s="1" t="n"/>
      <c r="K362" s="1" t="n"/>
      <c r="L362" s="1" t="n"/>
      <c r="M362" s="1" t="n"/>
      <c r="N362" s="1" t="n"/>
      <c r="O362" s="1" t="n"/>
    </row>
    <row r="363" ht="15.75" customHeight="1" s="311">
      <c r="A363" s="1" t="n"/>
      <c r="B363" s="1" t="n"/>
      <c r="C363" s="1" t="n"/>
      <c r="D363" s="1" t="n"/>
      <c r="E363" s="1" t="n"/>
      <c r="F363" s="1" t="n"/>
      <c r="G363" s="1" t="n"/>
      <c r="H363" s="1" t="n"/>
      <c r="I363" s="1" t="n"/>
      <c r="J363" s="1" t="n"/>
      <c r="K363" s="1" t="n"/>
      <c r="L363" s="1" t="n"/>
      <c r="M363" s="1" t="n"/>
      <c r="N363" s="1" t="n"/>
      <c r="O363" s="1" t="n"/>
    </row>
    <row r="364" ht="15.75" customHeight="1" s="311">
      <c r="A364" s="1" t="n"/>
      <c r="B364" s="1" t="n"/>
      <c r="C364" s="1" t="n"/>
      <c r="D364" s="1" t="n"/>
      <c r="E364" s="1" t="n"/>
      <c r="F364" s="1" t="n"/>
      <c r="G364" s="1" t="n"/>
      <c r="H364" s="1" t="n"/>
      <c r="I364" s="1" t="n"/>
      <c r="J364" s="1" t="n"/>
      <c r="K364" s="1" t="n"/>
      <c r="L364" s="1" t="n"/>
      <c r="M364" s="1" t="n"/>
      <c r="N364" s="1" t="n"/>
      <c r="O364" s="1" t="n"/>
    </row>
    <row r="365" ht="15.75" customHeight="1" s="311">
      <c r="A365" s="1" t="n"/>
      <c r="B365" s="1" t="n"/>
      <c r="C365" s="1" t="n"/>
      <c r="D365" s="1" t="n"/>
      <c r="E365" s="1" t="n"/>
      <c r="F365" s="1" t="n"/>
      <c r="G365" s="1" t="n"/>
      <c r="H365" s="1" t="n"/>
      <c r="I365" s="1" t="n"/>
      <c r="J365" s="1" t="n"/>
      <c r="K365" s="1" t="n"/>
      <c r="L365" s="1" t="n"/>
      <c r="M365" s="1" t="n"/>
      <c r="N365" s="1" t="n"/>
      <c r="O365" s="1" t="n"/>
    </row>
    <row r="366" ht="15.75" customHeight="1" s="311">
      <c r="A366" s="1" t="n"/>
      <c r="B366" s="1" t="n"/>
      <c r="C366" s="1" t="n"/>
      <c r="D366" s="1" t="n"/>
      <c r="E366" s="1" t="n"/>
      <c r="F366" s="1" t="n"/>
      <c r="G366" s="1" t="n"/>
      <c r="H366" s="1" t="n"/>
      <c r="I366" s="1" t="n"/>
      <c r="J366" s="1" t="n"/>
      <c r="K366" s="1" t="n"/>
      <c r="L366" s="1" t="n"/>
      <c r="M366" s="1" t="n"/>
      <c r="N366" s="1" t="n"/>
      <c r="O366" s="1" t="n"/>
    </row>
    <row r="367" ht="15.75" customHeight="1" s="311">
      <c r="A367" s="1" t="n"/>
      <c r="B367" s="1" t="n"/>
      <c r="C367" s="1" t="n"/>
      <c r="D367" s="1" t="n"/>
      <c r="E367" s="1" t="n"/>
      <c r="F367" s="1" t="n"/>
      <c r="G367" s="1" t="n"/>
      <c r="H367" s="1" t="n"/>
      <c r="I367" s="1" t="n"/>
      <c r="J367" s="1" t="n"/>
      <c r="K367" s="1" t="n"/>
      <c r="L367" s="1" t="n"/>
      <c r="M367" s="1" t="n"/>
      <c r="N367" s="1" t="n"/>
      <c r="O367" s="1" t="n"/>
    </row>
    <row r="368" ht="15.75" customHeight="1" s="311">
      <c r="A368" s="1" t="n"/>
      <c r="B368" s="1" t="n"/>
      <c r="C368" s="1" t="n"/>
      <c r="D368" s="1" t="n"/>
      <c r="E368" s="1" t="n"/>
      <c r="F368" s="1" t="n"/>
      <c r="G368" s="1" t="n"/>
      <c r="H368" s="1" t="n"/>
      <c r="I368" s="1" t="n"/>
      <c r="J368" s="1" t="n"/>
      <c r="K368" s="1" t="n"/>
      <c r="L368" s="1" t="n"/>
      <c r="M368" s="1" t="n"/>
      <c r="N368" s="1" t="n"/>
      <c r="O368" s="1" t="n"/>
    </row>
    <row r="369" ht="15.75" customHeight="1" s="311">
      <c r="A369" s="1" t="n"/>
      <c r="B369" s="1" t="n"/>
      <c r="C369" s="1" t="n"/>
      <c r="D369" s="1" t="n"/>
      <c r="E369" s="1" t="n"/>
      <c r="F369" s="1" t="n"/>
      <c r="G369" s="1" t="n"/>
      <c r="H369" s="1" t="n"/>
      <c r="I369" s="1" t="n"/>
      <c r="J369" s="1" t="n"/>
      <c r="K369" s="1" t="n"/>
      <c r="L369" s="1" t="n"/>
      <c r="M369" s="1" t="n"/>
      <c r="N369" s="1" t="n"/>
      <c r="O369" s="1" t="n"/>
    </row>
    <row r="370" ht="15.75" customHeight="1" s="311">
      <c r="A370" s="1" t="n"/>
      <c r="B370" s="1" t="n"/>
      <c r="C370" s="1" t="n"/>
      <c r="D370" s="1" t="n"/>
      <c r="E370" s="1" t="n"/>
      <c r="F370" s="1" t="n"/>
      <c r="G370" s="1" t="n"/>
      <c r="H370" s="1" t="n"/>
      <c r="I370" s="1" t="n"/>
      <c r="J370" s="1" t="n"/>
      <c r="K370" s="1" t="n"/>
      <c r="L370" s="1" t="n"/>
      <c r="M370" s="1" t="n"/>
      <c r="N370" s="1" t="n"/>
      <c r="O370" s="1" t="n"/>
    </row>
    <row r="371" ht="15.75" customHeight="1" s="311">
      <c r="A371" s="1" t="n"/>
      <c r="B371" s="1" t="n"/>
      <c r="C371" s="1" t="n"/>
      <c r="D371" s="1" t="n"/>
      <c r="E371" s="1" t="n"/>
      <c r="F371" s="1" t="n"/>
      <c r="G371" s="1" t="n"/>
      <c r="H371" s="1" t="n"/>
      <c r="I371" s="1" t="n"/>
      <c r="J371" s="1" t="n"/>
      <c r="K371" s="1" t="n"/>
      <c r="L371" s="1" t="n"/>
      <c r="M371" s="1" t="n"/>
      <c r="N371" s="1" t="n"/>
      <c r="O371" s="1" t="n"/>
    </row>
    <row r="372" ht="15.75" customHeight="1" s="311">
      <c r="A372" s="1" t="n"/>
      <c r="B372" s="1" t="n"/>
      <c r="C372" s="1" t="n"/>
      <c r="D372" s="1" t="n"/>
      <c r="E372" s="1" t="n"/>
      <c r="F372" s="1" t="n"/>
      <c r="G372" s="1" t="n"/>
      <c r="H372" s="1" t="n"/>
      <c r="I372" s="1" t="n"/>
      <c r="J372" s="1" t="n"/>
      <c r="K372" s="1" t="n"/>
      <c r="L372" s="1" t="n"/>
      <c r="M372" s="1" t="n"/>
      <c r="N372" s="1" t="n"/>
      <c r="O372" s="1" t="n"/>
    </row>
    <row r="373" ht="15.75" customHeight="1" s="311">
      <c r="A373" s="1" t="n"/>
      <c r="B373" s="1" t="n"/>
      <c r="C373" s="1" t="n"/>
      <c r="D373" s="1" t="n"/>
      <c r="E373" s="1" t="n"/>
      <c r="F373" s="1" t="n"/>
      <c r="G373" s="1" t="n"/>
      <c r="H373" s="1" t="n"/>
      <c r="I373" s="1" t="n"/>
      <c r="J373" s="1" t="n"/>
      <c r="K373" s="1" t="n"/>
      <c r="L373" s="1" t="n"/>
      <c r="M373" s="1" t="n"/>
      <c r="N373" s="1" t="n"/>
      <c r="O373" s="1" t="n"/>
    </row>
    <row r="374" ht="15.75" customHeight="1" s="311">
      <c r="A374" s="1" t="n"/>
      <c r="B374" s="1" t="n"/>
      <c r="C374" s="1" t="n"/>
      <c r="D374" s="1" t="n"/>
      <c r="E374" s="1" t="n"/>
      <c r="F374" s="1" t="n"/>
      <c r="G374" s="1" t="n"/>
      <c r="H374" s="1" t="n"/>
      <c r="I374" s="1" t="n"/>
      <c r="J374" s="1" t="n"/>
      <c r="K374" s="1" t="n"/>
      <c r="L374" s="1" t="n"/>
      <c r="M374" s="1" t="n"/>
      <c r="N374" s="1" t="n"/>
      <c r="O374" s="1" t="n"/>
    </row>
    <row r="375" ht="15.75" customHeight="1" s="311">
      <c r="A375" s="1" t="n"/>
      <c r="B375" s="1" t="n"/>
      <c r="C375" s="1" t="n"/>
      <c r="D375" s="1" t="n"/>
      <c r="E375" s="1" t="n"/>
      <c r="F375" s="1" t="n"/>
      <c r="G375" s="1" t="n"/>
      <c r="H375" s="1" t="n"/>
      <c r="I375" s="1" t="n"/>
      <c r="J375" s="1" t="n"/>
      <c r="K375" s="1" t="n"/>
      <c r="L375" s="1" t="n"/>
      <c r="M375" s="1" t="n"/>
      <c r="N375" s="1" t="n"/>
      <c r="O375" s="1" t="n"/>
    </row>
    <row r="376" ht="15.75" customHeight="1" s="311">
      <c r="A376" s="1" t="n"/>
      <c r="B376" s="1" t="n"/>
      <c r="C376" s="1" t="n"/>
      <c r="D376" s="1" t="n"/>
      <c r="E376" s="1" t="n"/>
      <c r="F376" s="1" t="n"/>
      <c r="G376" s="1" t="n"/>
      <c r="H376" s="1" t="n"/>
      <c r="I376" s="1" t="n"/>
      <c r="J376" s="1" t="n"/>
      <c r="K376" s="1" t="n"/>
      <c r="L376" s="1" t="n"/>
      <c r="M376" s="1" t="n"/>
      <c r="N376" s="1" t="n"/>
      <c r="O376" s="1" t="n"/>
    </row>
    <row r="377" ht="15.75" customHeight="1" s="311">
      <c r="A377" s="1" t="n"/>
      <c r="B377" s="1" t="n"/>
      <c r="C377" s="1" t="n"/>
      <c r="D377" s="1" t="n"/>
      <c r="E377" s="1" t="n"/>
      <c r="F377" s="1" t="n"/>
      <c r="G377" s="1" t="n"/>
      <c r="H377" s="1" t="n"/>
      <c r="I377" s="1" t="n"/>
      <c r="J377" s="1" t="n"/>
      <c r="K377" s="1" t="n"/>
      <c r="L377" s="1" t="n"/>
      <c r="M377" s="1" t="n"/>
      <c r="N377" s="1" t="n"/>
      <c r="O377" s="1" t="n"/>
    </row>
    <row r="378" ht="15.75" customHeight="1" s="311">
      <c r="A378" s="1" t="n"/>
      <c r="B378" s="1" t="n"/>
      <c r="C378" s="1" t="n"/>
      <c r="D378" s="1" t="n"/>
      <c r="E378" s="1" t="n"/>
      <c r="F378" s="1" t="n"/>
      <c r="G378" s="1" t="n"/>
      <c r="H378" s="1" t="n"/>
      <c r="I378" s="1" t="n"/>
      <c r="J378" s="1" t="n"/>
      <c r="K378" s="1" t="n"/>
      <c r="L378" s="1" t="n"/>
      <c r="M378" s="1" t="n"/>
      <c r="N378" s="1" t="n"/>
      <c r="O378" s="1" t="n"/>
    </row>
    <row r="379" ht="15.75" customHeight="1" s="311">
      <c r="A379" s="1" t="n"/>
      <c r="B379" s="1" t="n"/>
      <c r="C379" s="1" t="n"/>
      <c r="D379" s="1" t="n"/>
      <c r="E379" s="1" t="n"/>
      <c r="F379" s="1" t="n"/>
      <c r="G379" s="1" t="n"/>
      <c r="H379" s="1" t="n"/>
      <c r="I379" s="1" t="n"/>
      <c r="J379" s="1" t="n"/>
      <c r="K379" s="1" t="n"/>
      <c r="L379" s="1" t="n"/>
      <c r="M379" s="1" t="n"/>
      <c r="N379" s="1" t="n"/>
      <c r="O379" s="1" t="n"/>
    </row>
    <row r="380" ht="15.75" customHeight="1" s="311">
      <c r="A380" s="1" t="n"/>
      <c r="B380" s="1" t="n"/>
      <c r="C380" s="1" t="n"/>
      <c r="D380" s="1" t="n"/>
      <c r="E380" s="1" t="n"/>
      <c r="F380" s="1" t="n"/>
      <c r="G380" s="1" t="n"/>
      <c r="H380" s="1" t="n"/>
      <c r="I380" s="1" t="n"/>
      <c r="J380" s="1" t="n"/>
      <c r="K380" s="1" t="n"/>
      <c r="L380" s="1" t="n"/>
      <c r="M380" s="1" t="n"/>
      <c r="N380" s="1" t="n"/>
      <c r="O380" s="1" t="n"/>
    </row>
    <row r="381" ht="15.75" customHeight="1" s="311">
      <c r="A381" s="1" t="n"/>
      <c r="B381" s="1" t="n"/>
      <c r="C381" s="1" t="n"/>
      <c r="D381" s="1" t="n"/>
      <c r="E381" s="1" t="n"/>
      <c r="F381" s="1" t="n"/>
      <c r="G381" s="1" t="n"/>
      <c r="H381" s="1" t="n"/>
      <c r="I381" s="1" t="n"/>
      <c r="J381" s="1" t="n"/>
      <c r="K381" s="1" t="n"/>
      <c r="L381" s="1" t="n"/>
      <c r="M381" s="1" t="n"/>
      <c r="N381" s="1" t="n"/>
      <c r="O381" s="1" t="n"/>
    </row>
    <row r="382" ht="15.75" customHeight="1" s="311">
      <c r="A382" s="1" t="n"/>
      <c r="B382" s="1" t="n"/>
      <c r="C382" s="1" t="n"/>
      <c r="D382" s="1" t="n"/>
      <c r="E382" s="1" t="n"/>
      <c r="F382" s="1" t="n"/>
      <c r="G382" s="1" t="n"/>
      <c r="H382" s="1" t="n"/>
      <c r="I382" s="1" t="n"/>
      <c r="J382" s="1" t="n"/>
      <c r="K382" s="1" t="n"/>
      <c r="L382" s="1" t="n"/>
      <c r="M382" s="1" t="n"/>
      <c r="N382" s="1" t="n"/>
      <c r="O382" s="1" t="n"/>
    </row>
    <row r="383" ht="15.75" customHeight="1" s="311">
      <c r="A383" s="1" t="n"/>
      <c r="B383" s="1" t="n"/>
      <c r="C383" s="1" t="n"/>
      <c r="D383" s="1" t="n"/>
      <c r="E383" s="1" t="n"/>
      <c r="F383" s="1" t="n"/>
      <c r="G383" s="1" t="n"/>
      <c r="H383" s="1" t="n"/>
      <c r="I383" s="1" t="n"/>
      <c r="J383" s="1" t="n"/>
      <c r="K383" s="1" t="n"/>
      <c r="L383" s="1" t="n"/>
      <c r="M383" s="1" t="n"/>
      <c r="N383" s="1" t="n"/>
      <c r="O383" s="1" t="n"/>
    </row>
    <row r="384" ht="15.75" customHeight="1" s="311">
      <c r="A384" s="1" t="n"/>
      <c r="B384" s="1" t="n"/>
      <c r="C384" s="1" t="n"/>
      <c r="D384" s="1" t="n"/>
      <c r="E384" s="1" t="n"/>
      <c r="F384" s="1" t="n"/>
      <c r="G384" s="1" t="n"/>
      <c r="H384" s="1" t="n"/>
      <c r="I384" s="1" t="n"/>
      <c r="J384" s="1" t="n"/>
      <c r="K384" s="1" t="n"/>
      <c r="L384" s="1" t="n"/>
      <c r="M384" s="1" t="n"/>
      <c r="N384" s="1" t="n"/>
      <c r="O384" s="1" t="n"/>
    </row>
    <row r="385" ht="15.75" customHeight="1" s="311">
      <c r="A385" s="1" t="n"/>
      <c r="B385" s="1" t="n"/>
      <c r="C385" s="1" t="n"/>
      <c r="D385" s="1" t="n"/>
      <c r="E385" s="1" t="n"/>
      <c r="F385" s="1" t="n"/>
      <c r="G385" s="1" t="n"/>
      <c r="H385" s="1" t="n"/>
      <c r="I385" s="1" t="n"/>
      <c r="J385" s="1" t="n"/>
      <c r="K385" s="1" t="n"/>
      <c r="L385" s="1" t="n"/>
      <c r="M385" s="1" t="n"/>
      <c r="N385" s="1" t="n"/>
      <c r="O385" s="1" t="n"/>
    </row>
    <row r="386" ht="15.75" customHeight="1" s="311">
      <c r="A386" s="1" t="n"/>
      <c r="B386" s="1" t="n"/>
      <c r="C386" s="1" t="n"/>
      <c r="D386" s="1" t="n"/>
      <c r="E386" s="1" t="n"/>
      <c r="F386" s="1" t="n"/>
      <c r="G386" s="1" t="n"/>
      <c r="H386" s="1" t="n"/>
      <c r="I386" s="1" t="n"/>
      <c r="J386" s="1" t="n"/>
      <c r="K386" s="1" t="n"/>
      <c r="L386" s="1" t="n"/>
      <c r="M386" s="1" t="n"/>
      <c r="N386" s="1" t="n"/>
      <c r="O386" s="1" t="n"/>
    </row>
    <row r="387" ht="15.75" customHeight="1" s="311">
      <c r="A387" s="1" t="n"/>
      <c r="B387" s="1" t="n"/>
      <c r="C387" s="1" t="n"/>
      <c r="D387" s="1" t="n"/>
      <c r="E387" s="1" t="n"/>
      <c r="F387" s="1" t="n"/>
      <c r="G387" s="1" t="n"/>
      <c r="H387" s="1" t="n"/>
      <c r="I387" s="1" t="n"/>
      <c r="J387" s="1" t="n"/>
      <c r="K387" s="1" t="n"/>
      <c r="L387" s="1" t="n"/>
      <c r="M387" s="1" t="n"/>
      <c r="N387" s="1" t="n"/>
      <c r="O387" s="1" t="n"/>
    </row>
    <row r="388" ht="15.75" customHeight="1" s="311">
      <c r="A388" s="1" t="n"/>
      <c r="B388" s="1" t="n"/>
      <c r="C388" s="1" t="n"/>
      <c r="D388" s="1" t="n"/>
      <c r="E388" s="1" t="n"/>
      <c r="F388" s="1" t="n"/>
      <c r="G388" s="1" t="n"/>
      <c r="H388" s="1" t="n"/>
      <c r="I388" s="1" t="n"/>
      <c r="J388" s="1" t="n"/>
      <c r="K388" s="1" t="n"/>
      <c r="L388" s="1" t="n"/>
      <c r="M388" s="1" t="n"/>
      <c r="N388" s="1" t="n"/>
      <c r="O388" s="1" t="n"/>
    </row>
    <row r="389" ht="15.75" customHeight="1" s="311">
      <c r="A389" s="1" t="n"/>
      <c r="B389" s="1" t="n"/>
      <c r="C389" s="1" t="n"/>
      <c r="D389" s="1" t="n"/>
      <c r="E389" s="1" t="n"/>
      <c r="F389" s="1" t="n"/>
      <c r="G389" s="1" t="n"/>
      <c r="H389" s="1" t="n"/>
      <c r="I389" s="1" t="n"/>
      <c r="J389" s="1" t="n"/>
      <c r="K389" s="1" t="n"/>
      <c r="L389" s="1" t="n"/>
      <c r="M389" s="1" t="n"/>
      <c r="N389" s="1" t="n"/>
      <c r="O389" s="1" t="n"/>
    </row>
    <row r="390" ht="15.75" customHeight="1" s="311">
      <c r="A390" s="1" t="n"/>
      <c r="B390" s="1" t="n"/>
      <c r="C390" s="1" t="n"/>
      <c r="D390" s="1" t="n"/>
      <c r="E390" s="1" t="n"/>
      <c r="F390" s="1" t="n"/>
      <c r="G390" s="1" t="n"/>
      <c r="H390" s="1" t="n"/>
      <c r="I390" s="1" t="n"/>
      <c r="J390" s="1" t="n"/>
      <c r="K390" s="1" t="n"/>
      <c r="L390" s="1" t="n"/>
      <c r="M390" s="1" t="n"/>
      <c r="N390" s="1" t="n"/>
      <c r="O390" s="1" t="n"/>
    </row>
    <row r="391" ht="15.75" customHeight="1" s="311">
      <c r="A391" s="1" t="n"/>
      <c r="B391" s="1" t="n"/>
      <c r="C391" s="1" t="n"/>
      <c r="D391" s="1" t="n"/>
      <c r="E391" s="1" t="n"/>
      <c r="F391" s="1" t="n"/>
      <c r="G391" s="1" t="n"/>
      <c r="H391" s="1" t="n"/>
      <c r="I391" s="1" t="n"/>
      <c r="J391" s="1" t="n"/>
      <c r="K391" s="1" t="n"/>
      <c r="L391" s="1" t="n"/>
      <c r="M391" s="1" t="n"/>
      <c r="N391" s="1" t="n"/>
      <c r="O391" s="1" t="n"/>
    </row>
    <row r="392" ht="15.75" customHeight="1" s="311">
      <c r="A392" s="1" t="n"/>
      <c r="B392" s="1" t="n"/>
      <c r="C392" s="1" t="n"/>
      <c r="D392" s="1" t="n"/>
      <c r="E392" s="1" t="n"/>
      <c r="F392" s="1" t="n"/>
      <c r="G392" s="1" t="n"/>
      <c r="H392" s="1" t="n"/>
      <c r="I392" s="1" t="n"/>
      <c r="J392" s="1" t="n"/>
      <c r="K392" s="1" t="n"/>
      <c r="L392" s="1" t="n"/>
      <c r="M392" s="1" t="n"/>
      <c r="N392" s="1" t="n"/>
      <c r="O392" s="1" t="n"/>
    </row>
    <row r="393" ht="15.75" customHeight="1" s="311">
      <c r="A393" s="1" t="n"/>
      <c r="B393" s="1" t="n"/>
      <c r="C393" s="1" t="n"/>
      <c r="D393" s="1" t="n"/>
      <c r="E393" s="1" t="n"/>
      <c r="F393" s="1" t="n"/>
      <c r="G393" s="1" t="n"/>
      <c r="H393" s="1" t="n"/>
      <c r="I393" s="1" t="n"/>
      <c r="J393" s="1" t="n"/>
      <c r="K393" s="1" t="n"/>
      <c r="L393" s="1" t="n"/>
      <c r="M393" s="1" t="n"/>
      <c r="N393" s="1" t="n"/>
      <c r="O393" s="1" t="n"/>
    </row>
    <row r="394" ht="15.75" customHeight="1" s="311">
      <c r="A394" s="1" t="n"/>
      <c r="B394" s="1" t="n"/>
      <c r="C394" s="1" t="n"/>
      <c r="D394" s="1" t="n"/>
      <c r="E394" s="1" t="n"/>
      <c r="F394" s="1" t="n"/>
      <c r="G394" s="1" t="n"/>
      <c r="H394" s="1" t="n"/>
      <c r="I394" s="1" t="n"/>
      <c r="J394" s="1" t="n"/>
      <c r="K394" s="1" t="n"/>
      <c r="L394" s="1" t="n"/>
      <c r="M394" s="1" t="n"/>
      <c r="N394" s="1" t="n"/>
      <c r="O394" s="1" t="n"/>
    </row>
    <row r="395" ht="15.75" customHeight="1" s="311">
      <c r="A395" s="1" t="n"/>
      <c r="B395" s="1" t="n"/>
      <c r="C395" s="1" t="n"/>
      <c r="D395" s="1" t="n"/>
      <c r="E395" s="1" t="n"/>
      <c r="F395" s="1" t="n"/>
      <c r="G395" s="1" t="n"/>
      <c r="H395" s="1" t="n"/>
      <c r="I395" s="1" t="n"/>
      <c r="J395" s="1" t="n"/>
      <c r="K395" s="1" t="n"/>
      <c r="L395" s="1" t="n"/>
      <c r="M395" s="1" t="n"/>
      <c r="N395" s="1" t="n"/>
      <c r="O395" s="1" t="n"/>
    </row>
    <row r="396" ht="15.75" customHeight="1" s="311">
      <c r="A396" s="1" t="n"/>
      <c r="B396" s="1" t="n"/>
      <c r="C396" s="1" t="n"/>
      <c r="D396" s="1" t="n"/>
      <c r="E396" s="1" t="n"/>
      <c r="F396" s="1" t="n"/>
      <c r="G396" s="1" t="n"/>
      <c r="H396" s="1" t="n"/>
      <c r="I396" s="1" t="n"/>
      <c r="J396" s="1" t="n"/>
      <c r="K396" s="1" t="n"/>
      <c r="L396" s="1" t="n"/>
      <c r="M396" s="1" t="n"/>
      <c r="N396" s="1" t="n"/>
      <c r="O396" s="1" t="n"/>
    </row>
    <row r="397" ht="15.75" customHeight="1" s="311">
      <c r="A397" s="1" t="n"/>
      <c r="B397" s="1" t="n"/>
      <c r="C397" s="1" t="n"/>
      <c r="D397" s="1" t="n"/>
      <c r="E397" s="1" t="n"/>
      <c r="F397" s="1" t="n"/>
      <c r="G397" s="1" t="n"/>
      <c r="H397" s="1" t="n"/>
      <c r="I397" s="1" t="n"/>
      <c r="J397" s="1" t="n"/>
      <c r="K397" s="1" t="n"/>
      <c r="L397" s="1" t="n"/>
      <c r="M397" s="1" t="n"/>
      <c r="N397" s="1" t="n"/>
      <c r="O397" s="1" t="n"/>
    </row>
    <row r="398" ht="15.75" customHeight="1" s="311">
      <c r="A398" s="1" t="n"/>
      <c r="B398" s="1" t="n"/>
      <c r="C398" s="1" t="n"/>
      <c r="D398" s="1" t="n"/>
      <c r="E398" s="1" t="n"/>
      <c r="F398" s="1" t="n"/>
      <c r="G398" s="1" t="n"/>
      <c r="H398" s="1" t="n"/>
      <c r="I398" s="1" t="n"/>
      <c r="J398" s="1" t="n"/>
      <c r="K398" s="1" t="n"/>
      <c r="L398" s="1" t="n"/>
      <c r="M398" s="1" t="n"/>
      <c r="N398" s="1" t="n"/>
      <c r="O398" s="1" t="n"/>
    </row>
    <row r="399" ht="15.75" customHeight="1" s="311">
      <c r="A399" s="1" t="n"/>
      <c r="B399" s="1" t="n"/>
      <c r="C399" s="1" t="n"/>
      <c r="D399" s="1" t="n"/>
      <c r="E399" s="1" t="n"/>
      <c r="F399" s="1" t="n"/>
      <c r="G399" s="1" t="n"/>
      <c r="H399" s="1" t="n"/>
      <c r="I399" s="1" t="n"/>
      <c r="J399" s="1" t="n"/>
      <c r="K399" s="1" t="n"/>
      <c r="L399" s="1" t="n"/>
      <c r="M399" s="1" t="n"/>
      <c r="N399" s="1" t="n"/>
      <c r="O399" s="1" t="n"/>
    </row>
    <row r="400" ht="15.75" customHeight="1" s="311">
      <c r="A400" s="1" t="n"/>
      <c r="B400" s="1" t="n"/>
      <c r="C400" s="1" t="n"/>
      <c r="D400" s="1" t="n"/>
      <c r="E400" s="1" t="n"/>
      <c r="F400" s="1" t="n"/>
      <c r="G400" s="1" t="n"/>
      <c r="H400" s="1" t="n"/>
      <c r="I400" s="1" t="n"/>
      <c r="J400" s="1" t="n"/>
      <c r="K400" s="1" t="n"/>
      <c r="L400" s="1" t="n"/>
      <c r="M400" s="1" t="n"/>
      <c r="N400" s="1" t="n"/>
      <c r="O400" s="1" t="n"/>
    </row>
    <row r="401" ht="15.75" customHeight="1" s="311">
      <c r="A401" s="1" t="n"/>
      <c r="B401" s="1" t="n"/>
      <c r="C401" s="1" t="n"/>
      <c r="D401" s="1" t="n"/>
      <c r="E401" s="1" t="n"/>
      <c r="F401" s="1" t="n"/>
      <c r="G401" s="1" t="n"/>
      <c r="H401" s="1" t="n"/>
      <c r="I401" s="1" t="n"/>
      <c r="J401" s="1" t="n"/>
      <c r="K401" s="1" t="n"/>
      <c r="L401" s="1" t="n"/>
      <c r="M401" s="1" t="n"/>
      <c r="N401" s="1" t="n"/>
      <c r="O401" s="1" t="n"/>
    </row>
    <row r="402" ht="15.75" customHeight="1" s="311">
      <c r="A402" s="1" t="n"/>
      <c r="B402" s="1" t="n"/>
      <c r="C402" s="1" t="n"/>
      <c r="D402" s="1" t="n"/>
      <c r="E402" s="1" t="n"/>
      <c r="F402" s="1" t="n"/>
      <c r="G402" s="1" t="n"/>
      <c r="H402" s="1" t="n"/>
      <c r="I402" s="1" t="n"/>
      <c r="J402" s="1" t="n"/>
      <c r="K402" s="1" t="n"/>
      <c r="L402" s="1" t="n"/>
      <c r="M402" s="1" t="n"/>
      <c r="N402" s="1" t="n"/>
      <c r="O402" s="1" t="n"/>
    </row>
    <row r="403" ht="15.75" customHeight="1" s="311">
      <c r="A403" s="1" t="n"/>
      <c r="B403" s="1" t="n"/>
      <c r="C403" s="1" t="n"/>
      <c r="D403" s="1" t="n"/>
      <c r="E403" s="1" t="n"/>
      <c r="F403" s="1" t="n"/>
      <c r="G403" s="1" t="n"/>
      <c r="H403" s="1" t="n"/>
      <c r="I403" s="1" t="n"/>
      <c r="J403" s="1" t="n"/>
      <c r="K403" s="1" t="n"/>
      <c r="L403" s="1" t="n"/>
      <c r="M403" s="1" t="n"/>
      <c r="N403" s="1" t="n"/>
      <c r="O403" s="1" t="n"/>
    </row>
    <row r="404" ht="15.75" customHeight="1" s="311">
      <c r="A404" s="1" t="n"/>
      <c r="B404" s="1" t="n"/>
      <c r="C404" s="1" t="n"/>
      <c r="D404" s="1" t="n"/>
      <c r="E404" s="1" t="n"/>
      <c r="F404" s="1" t="n"/>
      <c r="G404" s="1" t="n"/>
      <c r="H404" s="1" t="n"/>
      <c r="I404" s="1" t="n"/>
      <c r="J404" s="1" t="n"/>
      <c r="K404" s="1" t="n"/>
      <c r="L404" s="1" t="n"/>
      <c r="M404" s="1" t="n"/>
      <c r="N404" s="1" t="n"/>
      <c r="O404" s="1" t="n"/>
    </row>
    <row r="405" ht="15.75" customHeight="1" s="311">
      <c r="A405" s="1" t="n"/>
      <c r="B405" s="1" t="n"/>
      <c r="C405" s="1" t="n"/>
      <c r="D405" s="1" t="n"/>
      <c r="E405" s="1" t="n"/>
      <c r="F405" s="1" t="n"/>
      <c r="G405" s="1" t="n"/>
      <c r="H405" s="1" t="n"/>
      <c r="I405" s="1" t="n"/>
      <c r="J405" s="1" t="n"/>
      <c r="K405" s="1" t="n"/>
      <c r="L405" s="1" t="n"/>
      <c r="M405" s="1" t="n"/>
      <c r="N405" s="1" t="n"/>
      <c r="O405" s="1" t="n"/>
    </row>
    <row r="406" ht="15.75" customHeight="1" s="311">
      <c r="A406" s="1" t="n"/>
      <c r="B406" s="1" t="n"/>
      <c r="C406" s="1" t="n"/>
      <c r="D406" s="1" t="n"/>
      <c r="E406" s="1" t="n"/>
      <c r="F406" s="1" t="n"/>
      <c r="G406" s="1" t="n"/>
      <c r="H406" s="1" t="n"/>
      <c r="I406" s="1" t="n"/>
      <c r="J406" s="1" t="n"/>
      <c r="K406" s="1" t="n"/>
      <c r="L406" s="1" t="n"/>
      <c r="M406" s="1" t="n"/>
      <c r="N406" s="1" t="n"/>
      <c r="O406" s="1" t="n"/>
    </row>
    <row r="407" ht="15.75" customHeight="1" s="311">
      <c r="A407" s="1" t="n"/>
      <c r="B407" s="1" t="n"/>
      <c r="C407" s="1" t="n"/>
      <c r="D407" s="1" t="n"/>
      <c r="E407" s="1" t="n"/>
      <c r="F407" s="1" t="n"/>
      <c r="G407" s="1" t="n"/>
      <c r="H407" s="1" t="n"/>
      <c r="I407" s="1" t="n"/>
      <c r="J407" s="1" t="n"/>
      <c r="K407" s="1" t="n"/>
      <c r="L407" s="1" t="n"/>
      <c r="M407" s="1" t="n"/>
      <c r="N407" s="1" t="n"/>
      <c r="O407" s="1" t="n"/>
    </row>
    <row r="408" ht="15.75" customHeight="1" s="311">
      <c r="A408" s="1" t="n"/>
      <c r="B408" s="1" t="n"/>
      <c r="C408" s="1" t="n"/>
      <c r="D408" s="1" t="n"/>
      <c r="E408" s="1" t="n"/>
      <c r="F408" s="1" t="n"/>
      <c r="G408" s="1" t="n"/>
      <c r="H408" s="1" t="n"/>
      <c r="I408" s="1" t="n"/>
      <c r="J408" s="1" t="n"/>
      <c r="K408" s="1" t="n"/>
      <c r="L408" s="1" t="n"/>
      <c r="M408" s="1" t="n"/>
      <c r="N408" s="1" t="n"/>
      <c r="O408" s="1" t="n"/>
    </row>
    <row r="409" ht="15.75" customHeight="1" s="311">
      <c r="A409" s="1" t="n"/>
      <c r="B409" s="1" t="n"/>
      <c r="C409" s="1" t="n"/>
      <c r="D409" s="1" t="n"/>
      <c r="E409" s="1" t="n"/>
      <c r="F409" s="1" t="n"/>
      <c r="G409" s="1" t="n"/>
      <c r="H409" s="1" t="n"/>
      <c r="I409" s="1" t="n"/>
      <c r="J409" s="1" t="n"/>
      <c r="K409" s="1" t="n"/>
      <c r="L409" s="1" t="n"/>
      <c r="M409" s="1" t="n"/>
      <c r="N409" s="1" t="n"/>
      <c r="O409" s="1" t="n"/>
    </row>
    <row r="410" ht="15.75" customHeight="1" s="311">
      <c r="A410" s="1" t="n"/>
      <c r="B410" s="1" t="n"/>
      <c r="C410" s="1" t="n"/>
      <c r="D410" s="1" t="n"/>
      <c r="E410" s="1" t="n"/>
      <c r="F410" s="1" t="n"/>
      <c r="G410" s="1" t="n"/>
      <c r="H410" s="1" t="n"/>
      <c r="I410" s="1" t="n"/>
      <c r="J410" s="1" t="n"/>
      <c r="K410" s="1" t="n"/>
      <c r="L410" s="1" t="n"/>
      <c r="M410" s="1" t="n"/>
      <c r="N410" s="1" t="n"/>
      <c r="O410" s="1" t="n"/>
    </row>
    <row r="411" ht="15.75" customHeight="1" s="311">
      <c r="A411" s="1" t="n"/>
      <c r="B411" s="1" t="n"/>
      <c r="C411" s="1" t="n"/>
      <c r="D411" s="1" t="n"/>
      <c r="E411" s="1" t="n"/>
      <c r="F411" s="1" t="n"/>
      <c r="G411" s="1" t="n"/>
      <c r="H411" s="1" t="n"/>
      <c r="I411" s="1" t="n"/>
      <c r="J411" s="1" t="n"/>
      <c r="K411" s="1" t="n"/>
      <c r="L411" s="1" t="n"/>
      <c r="M411" s="1" t="n"/>
      <c r="N411" s="1" t="n"/>
      <c r="O411" s="1" t="n"/>
    </row>
    <row r="412" ht="15.75" customHeight="1" s="311">
      <c r="A412" s="1" t="n"/>
      <c r="B412" s="1" t="n"/>
      <c r="C412" s="1" t="n"/>
      <c r="D412" s="1" t="n"/>
      <c r="E412" s="1" t="n"/>
      <c r="F412" s="1" t="n"/>
      <c r="G412" s="1" t="n"/>
      <c r="H412" s="1" t="n"/>
      <c r="I412" s="1" t="n"/>
      <c r="J412" s="1" t="n"/>
      <c r="K412" s="1" t="n"/>
      <c r="L412" s="1" t="n"/>
      <c r="M412" s="1" t="n"/>
      <c r="N412" s="1" t="n"/>
      <c r="O412" s="1" t="n"/>
    </row>
    <row r="413" ht="15.75" customHeight="1" s="311">
      <c r="A413" s="1" t="n"/>
      <c r="B413" s="1" t="n"/>
      <c r="C413" s="1" t="n"/>
      <c r="D413" s="1" t="n"/>
      <c r="E413" s="1" t="n"/>
      <c r="F413" s="1" t="n"/>
      <c r="G413" s="1" t="n"/>
      <c r="H413" s="1" t="n"/>
      <c r="I413" s="1" t="n"/>
      <c r="J413" s="1" t="n"/>
      <c r="K413" s="1" t="n"/>
      <c r="L413" s="1" t="n"/>
      <c r="M413" s="1" t="n"/>
      <c r="N413" s="1" t="n"/>
      <c r="O413" s="1" t="n"/>
    </row>
    <row r="414" ht="15.75" customHeight="1" s="311">
      <c r="A414" s="1" t="n"/>
      <c r="B414" s="1" t="n"/>
      <c r="C414" s="1" t="n"/>
      <c r="D414" s="1" t="n"/>
      <c r="E414" s="1" t="n"/>
      <c r="F414" s="1" t="n"/>
      <c r="G414" s="1" t="n"/>
      <c r="H414" s="1" t="n"/>
      <c r="I414" s="1" t="n"/>
      <c r="J414" s="1" t="n"/>
      <c r="K414" s="1" t="n"/>
      <c r="L414" s="1" t="n"/>
      <c r="M414" s="1" t="n"/>
      <c r="N414" s="1" t="n"/>
      <c r="O414" s="1" t="n"/>
    </row>
    <row r="415" ht="15.75" customHeight="1" s="311">
      <c r="A415" s="1" t="n"/>
      <c r="B415" s="1" t="n"/>
      <c r="C415" s="1" t="n"/>
      <c r="D415" s="1" t="n"/>
      <c r="E415" s="1" t="n"/>
      <c r="F415" s="1" t="n"/>
      <c r="G415" s="1" t="n"/>
      <c r="H415" s="1" t="n"/>
      <c r="I415" s="1" t="n"/>
      <c r="J415" s="1" t="n"/>
      <c r="K415" s="1" t="n"/>
      <c r="L415" s="1" t="n"/>
      <c r="M415" s="1" t="n"/>
      <c r="N415" s="1" t="n"/>
      <c r="O415" s="1" t="n"/>
    </row>
    <row r="416" ht="15.75" customHeight="1" s="311">
      <c r="A416" s="1" t="n"/>
      <c r="B416" s="1" t="n"/>
      <c r="C416" s="1" t="n"/>
      <c r="D416" s="1" t="n"/>
      <c r="E416" s="1" t="n"/>
      <c r="F416" s="1" t="n"/>
      <c r="G416" s="1" t="n"/>
      <c r="H416" s="1" t="n"/>
      <c r="I416" s="1" t="n"/>
      <c r="J416" s="1" t="n"/>
      <c r="K416" s="1" t="n"/>
      <c r="L416" s="1" t="n"/>
      <c r="M416" s="1" t="n"/>
      <c r="N416" s="1" t="n"/>
      <c r="O416" s="1" t="n"/>
    </row>
    <row r="417" ht="15.75" customHeight="1" s="311">
      <c r="A417" s="1" t="n"/>
      <c r="B417" s="1" t="n"/>
      <c r="C417" s="1" t="n"/>
      <c r="D417" s="1" t="n"/>
      <c r="E417" s="1" t="n"/>
      <c r="F417" s="1" t="n"/>
      <c r="G417" s="1" t="n"/>
      <c r="H417" s="1" t="n"/>
      <c r="I417" s="1" t="n"/>
      <c r="J417" s="1" t="n"/>
      <c r="K417" s="1" t="n"/>
      <c r="L417" s="1" t="n"/>
      <c r="M417" s="1" t="n"/>
      <c r="N417" s="1" t="n"/>
      <c r="O417" s="1" t="n"/>
    </row>
    <row r="418" ht="15.75" customHeight="1" s="311">
      <c r="A418" s="1" t="n"/>
      <c r="B418" s="1" t="n"/>
      <c r="C418" s="1" t="n"/>
      <c r="D418" s="1" t="n"/>
      <c r="E418" s="1" t="n"/>
      <c r="F418" s="1" t="n"/>
      <c r="G418" s="1" t="n"/>
      <c r="H418" s="1" t="n"/>
      <c r="I418" s="1" t="n"/>
      <c r="J418" s="1" t="n"/>
      <c r="K418" s="1" t="n"/>
      <c r="L418" s="1" t="n"/>
      <c r="M418" s="1" t="n"/>
      <c r="N418" s="1" t="n"/>
      <c r="O418" s="1" t="n"/>
    </row>
    <row r="419" ht="15.75" customHeight="1" s="311">
      <c r="A419" s="1" t="n"/>
      <c r="B419" s="1" t="n"/>
      <c r="C419" s="1" t="n"/>
      <c r="D419" s="1" t="n"/>
      <c r="E419" s="1" t="n"/>
      <c r="F419" s="1" t="n"/>
      <c r="G419" s="1" t="n"/>
      <c r="H419" s="1" t="n"/>
      <c r="I419" s="1" t="n"/>
      <c r="J419" s="1" t="n"/>
      <c r="K419" s="1" t="n"/>
      <c r="L419" s="1" t="n"/>
      <c r="M419" s="1" t="n"/>
      <c r="N419" s="1" t="n"/>
      <c r="O419" s="1" t="n"/>
    </row>
    <row r="420" ht="15.75" customHeight="1" s="311">
      <c r="A420" s="1" t="n"/>
      <c r="B420" s="1" t="n"/>
      <c r="C420" s="1" t="n"/>
      <c r="D420" s="1" t="n"/>
      <c r="E420" s="1" t="n"/>
      <c r="F420" s="1" t="n"/>
      <c r="G420" s="1" t="n"/>
      <c r="H420" s="1" t="n"/>
      <c r="I420" s="1" t="n"/>
      <c r="J420" s="1" t="n"/>
      <c r="K420" s="1" t="n"/>
      <c r="L420" s="1" t="n"/>
      <c r="M420" s="1" t="n"/>
      <c r="N420" s="1" t="n"/>
      <c r="O420" s="1" t="n"/>
    </row>
    <row r="421" ht="15.75" customHeight="1" s="311">
      <c r="A421" s="1" t="n"/>
      <c r="B421" s="1" t="n"/>
      <c r="C421" s="1" t="n"/>
      <c r="D421" s="1" t="n"/>
      <c r="E421" s="1" t="n"/>
      <c r="F421" s="1" t="n"/>
      <c r="G421" s="1" t="n"/>
      <c r="H421" s="1" t="n"/>
      <c r="I421" s="1" t="n"/>
      <c r="J421" s="1" t="n"/>
      <c r="K421" s="1" t="n"/>
      <c r="L421" s="1" t="n"/>
      <c r="M421" s="1" t="n"/>
      <c r="N421" s="1" t="n"/>
      <c r="O421" s="1" t="n"/>
    </row>
    <row r="422" ht="15.75" customHeight="1" s="311">
      <c r="A422" s="1" t="n"/>
      <c r="B422" s="1" t="n"/>
      <c r="C422" s="1" t="n"/>
      <c r="D422" s="1" t="n"/>
      <c r="E422" s="1" t="n"/>
      <c r="F422" s="1" t="n"/>
      <c r="G422" s="1" t="n"/>
      <c r="H422" s="1" t="n"/>
      <c r="I422" s="1" t="n"/>
      <c r="J422" s="1" t="n"/>
      <c r="K422" s="1" t="n"/>
      <c r="L422" s="1" t="n"/>
      <c r="M422" s="1" t="n"/>
      <c r="N422" s="1" t="n"/>
      <c r="O422" s="1" t="n"/>
    </row>
    <row r="423" ht="15.75" customHeight="1" s="311">
      <c r="A423" s="1" t="n"/>
      <c r="B423" s="1" t="n"/>
      <c r="C423" s="1" t="n"/>
      <c r="D423" s="1" t="n"/>
      <c r="E423" s="1" t="n"/>
      <c r="F423" s="1" t="n"/>
      <c r="G423" s="1" t="n"/>
      <c r="H423" s="1" t="n"/>
      <c r="I423" s="1" t="n"/>
      <c r="J423" s="1" t="n"/>
      <c r="K423" s="1" t="n"/>
      <c r="L423" s="1" t="n"/>
      <c r="M423" s="1" t="n"/>
      <c r="N423" s="1" t="n"/>
      <c r="O423" s="1" t="n"/>
    </row>
    <row r="424" ht="15.75" customHeight="1" s="311">
      <c r="A424" s="1" t="n"/>
      <c r="B424" s="1" t="n"/>
      <c r="C424" s="1" t="n"/>
      <c r="D424" s="1" t="n"/>
      <c r="E424" s="1" t="n"/>
      <c r="F424" s="1" t="n"/>
      <c r="G424" s="1" t="n"/>
      <c r="H424" s="1" t="n"/>
      <c r="I424" s="1" t="n"/>
      <c r="J424" s="1" t="n"/>
      <c r="K424" s="1" t="n"/>
      <c r="L424" s="1" t="n"/>
      <c r="M424" s="1" t="n"/>
      <c r="N424" s="1" t="n"/>
      <c r="O424" s="1" t="n"/>
    </row>
    <row r="425" ht="15.75" customHeight="1" s="311">
      <c r="A425" s="1" t="n"/>
      <c r="B425" s="1" t="n"/>
      <c r="C425" s="1" t="n"/>
      <c r="D425" s="1" t="n"/>
      <c r="E425" s="1" t="n"/>
      <c r="F425" s="1" t="n"/>
      <c r="G425" s="1" t="n"/>
      <c r="H425" s="1" t="n"/>
      <c r="I425" s="1" t="n"/>
      <c r="J425" s="1" t="n"/>
      <c r="K425" s="1" t="n"/>
      <c r="L425" s="1" t="n"/>
      <c r="M425" s="1" t="n"/>
      <c r="N425" s="1" t="n"/>
      <c r="O425" s="1" t="n"/>
    </row>
    <row r="426" ht="15.75" customHeight="1" s="311">
      <c r="A426" s="1" t="n"/>
      <c r="B426" s="1" t="n"/>
      <c r="C426" s="1" t="n"/>
      <c r="D426" s="1" t="n"/>
      <c r="E426" s="1" t="n"/>
      <c r="F426" s="1" t="n"/>
      <c r="G426" s="1" t="n"/>
      <c r="H426" s="1" t="n"/>
      <c r="I426" s="1" t="n"/>
      <c r="J426" s="1" t="n"/>
      <c r="K426" s="1" t="n"/>
      <c r="L426" s="1" t="n"/>
      <c r="M426" s="1" t="n"/>
      <c r="N426" s="1" t="n"/>
      <c r="O426" s="1" t="n"/>
    </row>
    <row r="427" ht="15.75" customHeight="1" s="311">
      <c r="A427" s="1" t="n"/>
      <c r="B427" s="1" t="n"/>
      <c r="C427" s="1" t="n"/>
      <c r="D427" s="1" t="n"/>
      <c r="E427" s="1" t="n"/>
      <c r="F427" s="1" t="n"/>
      <c r="G427" s="1" t="n"/>
      <c r="H427" s="1" t="n"/>
      <c r="I427" s="1" t="n"/>
      <c r="J427" s="1" t="n"/>
      <c r="K427" s="1" t="n"/>
      <c r="L427" s="1" t="n"/>
      <c r="M427" s="1" t="n"/>
      <c r="N427" s="1" t="n"/>
      <c r="O427" s="1" t="n"/>
    </row>
    <row r="428" ht="15.75" customHeight="1" s="311">
      <c r="A428" s="1" t="n"/>
      <c r="B428" s="1" t="n"/>
      <c r="C428" s="1" t="n"/>
      <c r="D428" s="1" t="n"/>
      <c r="E428" s="1" t="n"/>
      <c r="F428" s="1" t="n"/>
      <c r="G428" s="1" t="n"/>
      <c r="H428" s="1" t="n"/>
      <c r="I428" s="1" t="n"/>
      <c r="J428" s="1" t="n"/>
      <c r="K428" s="1" t="n"/>
      <c r="L428" s="1" t="n"/>
      <c r="M428" s="1" t="n"/>
      <c r="N428" s="1" t="n"/>
      <c r="O428" s="1" t="n"/>
    </row>
    <row r="429" ht="15.75" customHeight="1" s="311">
      <c r="A429" s="1" t="n"/>
      <c r="B429" s="1" t="n"/>
      <c r="C429" s="1" t="n"/>
      <c r="D429" s="1" t="n"/>
      <c r="E429" s="1" t="n"/>
      <c r="F429" s="1" t="n"/>
      <c r="G429" s="1" t="n"/>
      <c r="H429" s="1" t="n"/>
      <c r="I429" s="1" t="n"/>
      <c r="J429" s="1" t="n"/>
      <c r="K429" s="1" t="n"/>
      <c r="L429" s="1" t="n"/>
      <c r="M429" s="1" t="n"/>
      <c r="N429" s="1" t="n"/>
      <c r="O429" s="1" t="n"/>
    </row>
    <row r="430" ht="15.75" customHeight="1" s="311">
      <c r="A430" s="1" t="n"/>
      <c r="B430" s="1" t="n"/>
      <c r="C430" s="1" t="n"/>
      <c r="D430" s="1" t="n"/>
      <c r="E430" s="1" t="n"/>
      <c r="F430" s="1" t="n"/>
      <c r="G430" s="1" t="n"/>
      <c r="H430" s="1" t="n"/>
      <c r="I430" s="1" t="n"/>
      <c r="J430" s="1" t="n"/>
      <c r="K430" s="1" t="n"/>
      <c r="L430" s="1" t="n"/>
      <c r="M430" s="1" t="n"/>
      <c r="N430" s="1" t="n"/>
      <c r="O430" s="1" t="n"/>
    </row>
    <row r="431" ht="15.75" customHeight="1" s="311">
      <c r="A431" s="1" t="n"/>
      <c r="B431" s="1" t="n"/>
      <c r="C431" s="1" t="n"/>
      <c r="D431" s="1" t="n"/>
      <c r="E431" s="1" t="n"/>
      <c r="F431" s="1" t="n"/>
      <c r="G431" s="1" t="n"/>
      <c r="H431" s="1" t="n"/>
      <c r="I431" s="1" t="n"/>
      <c r="J431" s="1" t="n"/>
      <c r="K431" s="1" t="n"/>
      <c r="L431" s="1" t="n"/>
      <c r="M431" s="1" t="n"/>
      <c r="N431" s="1" t="n"/>
      <c r="O431" s="1" t="n"/>
    </row>
    <row r="432" ht="15.75" customHeight="1" s="311">
      <c r="A432" s="1" t="n"/>
      <c r="B432" s="1" t="n"/>
      <c r="C432" s="1" t="n"/>
      <c r="D432" s="1" t="n"/>
      <c r="E432" s="1" t="n"/>
      <c r="F432" s="1" t="n"/>
      <c r="G432" s="1" t="n"/>
      <c r="H432" s="1" t="n"/>
      <c r="I432" s="1" t="n"/>
      <c r="J432" s="1" t="n"/>
      <c r="K432" s="1" t="n"/>
      <c r="L432" s="1" t="n"/>
      <c r="M432" s="1" t="n"/>
      <c r="N432" s="1" t="n"/>
      <c r="O432" s="1" t="n"/>
    </row>
    <row r="433" ht="15.75" customHeight="1" s="311">
      <c r="A433" s="1" t="n"/>
      <c r="B433" s="1" t="n"/>
      <c r="C433" s="1" t="n"/>
      <c r="D433" s="1" t="n"/>
      <c r="E433" s="1" t="n"/>
      <c r="F433" s="1" t="n"/>
      <c r="G433" s="1" t="n"/>
      <c r="H433" s="1" t="n"/>
      <c r="I433" s="1" t="n"/>
      <c r="J433" s="1" t="n"/>
      <c r="K433" s="1" t="n"/>
      <c r="L433" s="1" t="n"/>
      <c r="M433" s="1" t="n"/>
      <c r="N433" s="1" t="n"/>
      <c r="O433" s="1" t="n"/>
    </row>
    <row r="434" ht="15.75" customHeight="1" s="311">
      <c r="A434" s="1" t="n"/>
      <c r="B434" s="1" t="n"/>
      <c r="C434" s="1" t="n"/>
      <c r="D434" s="1" t="n"/>
      <c r="E434" s="1" t="n"/>
      <c r="F434" s="1" t="n"/>
      <c r="G434" s="1" t="n"/>
      <c r="H434" s="1" t="n"/>
      <c r="I434" s="1" t="n"/>
      <c r="J434" s="1" t="n"/>
      <c r="K434" s="1" t="n"/>
      <c r="L434" s="1" t="n"/>
      <c r="M434" s="1" t="n"/>
      <c r="N434" s="1" t="n"/>
      <c r="O434" s="1" t="n"/>
    </row>
    <row r="435" ht="15.75" customHeight="1" s="311">
      <c r="A435" s="1" t="n"/>
      <c r="B435" s="1" t="n"/>
      <c r="C435" s="1" t="n"/>
      <c r="D435" s="1" t="n"/>
      <c r="E435" s="1" t="n"/>
      <c r="F435" s="1" t="n"/>
      <c r="G435" s="1" t="n"/>
      <c r="H435" s="1" t="n"/>
      <c r="I435" s="1" t="n"/>
      <c r="J435" s="1" t="n"/>
      <c r="K435" s="1" t="n"/>
      <c r="L435" s="1" t="n"/>
      <c r="M435" s="1" t="n"/>
      <c r="N435" s="1" t="n"/>
      <c r="O435" s="1" t="n"/>
    </row>
    <row r="436" ht="15.75" customHeight="1" s="311">
      <c r="A436" s="1" t="n"/>
      <c r="B436" s="1" t="n"/>
      <c r="C436" s="1" t="n"/>
      <c r="D436" s="1" t="n"/>
      <c r="E436" s="1" t="n"/>
      <c r="F436" s="1" t="n"/>
      <c r="G436" s="1" t="n"/>
      <c r="H436" s="1" t="n"/>
      <c r="I436" s="1" t="n"/>
      <c r="J436" s="1" t="n"/>
      <c r="K436" s="1" t="n"/>
      <c r="L436" s="1" t="n"/>
      <c r="M436" s="1" t="n"/>
      <c r="N436" s="1" t="n"/>
      <c r="O436" s="1" t="n"/>
    </row>
    <row r="437" ht="15.75" customHeight="1" s="311">
      <c r="A437" s="1" t="n"/>
      <c r="B437" s="1" t="n"/>
      <c r="C437" s="1" t="n"/>
      <c r="D437" s="1" t="n"/>
      <c r="E437" s="1" t="n"/>
      <c r="F437" s="1" t="n"/>
      <c r="G437" s="1" t="n"/>
      <c r="H437" s="1" t="n"/>
      <c r="I437" s="1" t="n"/>
      <c r="J437" s="1" t="n"/>
      <c r="K437" s="1" t="n"/>
      <c r="L437" s="1" t="n"/>
      <c r="M437" s="1" t="n"/>
      <c r="N437" s="1" t="n"/>
      <c r="O437" s="1" t="n"/>
    </row>
    <row r="438" ht="15.75" customHeight="1" s="311">
      <c r="A438" s="1" t="n"/>
      <c r="B438" s="1" t="n"/>
      <c r="C438" s="1" t="n"/>
      <c r="D438" s="1" t="n"/>
      <c r="E438" s="1" t="n"/>
      <c r="F438" s="1" t="n"/>
      <c r="G438" s="1" t="n"/>
      <c r="H438" s="1" t="n"/>
      <c r="I438" s="1" t="n"/>
      <c r="J438" s="1" t="n"/>
      <c r="K438" s="1" t="n"/>
      <c r="L438" s="1" t="n"/>
      <c r="M438" s="1" t="n"/>
      <c r="N438" s="1" t="n"/>
      <c r="O438" s="1" t="n"/>
    </row>
    <row r="439" ht="15.75" customHeight="1" s="311">
      <c r="A439" s="1" t="n"/>
      <c r="B439" s="1" t="n"/>
      <c r="C439" s="1" t="n"/>
      <c r="D439" s="1" t="n"/>
      <c r="E439" s="1" t="n"/>
      <c r="F439" s="1" t="n"/>
      <c r="G439" s="1" t="n"/>
      <c r="H439" s="1" t="n"/>
      <c r="I439" s="1" t="n"/>
      <c r="J439" s="1" t="n"/>
      <c r="K439" s="1" t="n"/>
      <c r="L439" s="1" t="n"/>
      <c r="M439" s="1" t="n"/>
      <c r="N439" s="1" t="n"/>
      <c r="O439" s="1" t="n"/>
    </row>
    <row r="440" ht="15.75" customHeight="1" s="311">
      <c r="A440" s="1" t="n"/>
      <c r="B440" s="1" t="n"/>
      <c r="C440" s="1" t="n"/>
      <c r="D440" s="1" t="n"/>
      <c r="E440" s="1" t="n"/>
      <c r="F440" s="1" t="n"/>
      <c r="G440" s="1" t="n"/>
      <c r="H440" s="1" t="n"/>
      <c r="I440" s="1" t="n"/>
      <c r="J440" s="1" t="n"/>
      <c r="K440" s="1" t="n"/>
      <c r="L440" s="1" t="n"/>
      <c r="M440" s="1" t="n"/>
      <c r="N440" s="1" t="n"/>
      <c r="O440" s="1" t="n"/>
    </row>
    <row r="441" ht="15.75" customHeight="1" s="311">
      <c r="A441" s="1" t="n"/>
      <c r="B441" s="1" t="n"/>
      <c r="C441" s="1" t="n"/>
      <c r="D441" s="1" t="n"/>
      <c r="E441" s="1" t="n"/>
      <c r="F441" s="1" t="n"/>
      <c r="G441" s="1" t="n"/>
      <c r="H441" s="1" t="n"/>
      <c r="I441" s="1" t="n"/>
      <c r="J441" s="1" t="n"/>
      <c r="K441" s="1" t="n"/>
      <c r="L441" s="1" t="n"/>
      <c r="M441" s="1" t="n"/>
      <c r="N441" s="1" t="n"/>
      <c r="O441" s="1" t="n"/>
    </row>
    <row r="442" ht="15.75" customHeight="1" s="311">
      <c r="A442" s="1" t="n"/>
      <c r="B442" s="1" t="n"/>
      <c r="C442" s="1" t="n"/>
      <c r="D442" s="1" t="n"/>
      <c r="E442" s="1" t="n"/>
      <c r="F442" s="1" t="n"/>
      <c r="G442" s="1" t="n"/>
      <c r="H442" s="1" t="n"/>
      <c r="I442" s="1" t="n"/>
      <c r="J442" s="1" t="n"/>
      <c r="K442" s="1" t="n"/>
      <c r="L442" s="1" t="n"/>
      <c r="M442" s="1" t="n"/>
      <c r="N442" s="1" t="n"/>
      <c r="O442" s="1" t="n"/>
    </row>
    <row r="443" ht="15.75" customHeight="1" s="311">
      <c r="A443" s="1" t="n"/>
      <c r="B443" s="1" t="n"/>
      <c r="C443" s="1" t="n"/>
      <c r="D443" s="1" t="n"/>
      <c r="E443" s="1" t="n"/>
      <c r="F443" s="1" t="n"/>
      <c r="G443" s="1" t="n"/>
      <c r="H443" s="1" t="n"/>
      <c r="I443" s="1" t="n"/>
      <c r="J443" s="1" t="n"/>
      <c r="K443" s="1" t="n"/>
      <c r="L443" s="1" t="n"/>
      <c r="M443" s="1" t="n"/>
      <c r="N443" s="1" t="n"/>
      <c r="O443" s="1" t="n"/>
    </row>
    <row r="444" ht="15.75" customHeight="1" s="311">
      <c r="A444" s="1" t="n"/>
      <c r="B444" s="1" t="n"/>
      <c r="C444" s="1" t="n"/>
      <c r="D444" s="1" t="n"/>
      <c r="E444" s="1" t="n"/>
      <c r="F444" s="1" t="n"/>
      <c r="G444" s="1" t="n"/>
      <c r="H444" s="1" t="n"/>
      <c r="I444" s="1" t="n"/>
      <c r="J444" s="1" t="n"/>
      <c r="K444" s="1" t="n"/>
      <c r="L444" s="1" t="n"/>
      <c r="M444" s="1" t="n"/>
      <c r="N444" s="1" t="n"/>
      <c r="O444" s="1" t="n"/>
    </row>
    <row r="445" ht="15.75" customHeight="1" s="311">
      <c r="A445" s="1" t="n"/>
      <c r="B445" s="1" t="n"/>
      <c r="C445" s="1" t="n"/>
      <c r="D445" s="1" t="n"/>
      <c r="E445" s="1" t="n"/>
      <c r="F445" s="1" t="n"/>
      <c r="G445" s="1" t="n"/>
      <c r="H445" s="1" t="n"/>
      <c r="I445" s="1" t="n"/>
      <c r="J445" s="1" t="n"/>
      <c r="K445" s="1" t="n"/>
      <c r="L445" s="1" t="n"/>
      <c r="M445" s="1" t="n"/>
      <c r="N445" s="1" t="n"/>
      <c r="O445" s="1" t="n"/>
    </row>
    <row r="446" ht="15.75" customHeight="1" s="311">
      <c r="A446" s="1" t="n"/>
      <c r="B446" s="1" t="n"/>
      <c r="C446" s="1" t="n"/>
      <c r="D446" s="1" t="n"/>
      <c r="E446" s="1" t="n"/>
      <c r="F446" s="1" t="n"/>
      <c r="G446" s="1" t="n"/>
      <c r="H446" s="1" t="n"/>
      <c r="I446" s="1" t="n"/>
      <c r="J446" s="1" t="n"/>
      <c r="K446" s="1" t="n"/>
      <c r="L446" s="1" t="n"/>
      <c r="M446" s="1" t="n"/>
      <c r="N446" s="1" t="n"/>
      <c r="O446" s="1" t="n"/>
    </row>
    <row r="447" ht="15.75" customHeight="1" s="311">
      <c r="A447" s="1" t="n"/>
      <c r="B447" s="1" t="n"/>
      <c r="C447" s="1" t="n"/>
      <c r="D447" s="1" t="n"/>
      <c r="E447" s="1" t="n"/>
      <c r="F447" s="1" t="n"/>
      <c r="G447" s="1" t="n"/>
      <c r="H447" s="1" t="n"/>
      <c r="I447" s="1" t="n"/>
      <c r="J447" s="1" t="n"/>
      <c r="K447" s="1" t="n"/>
      <c r="L447" s="1" t="n"/>
      <c r="M447" s="1" t="n"/>
      <c r="N447" s="1" t="n"/>
      <c r="O447" s="1" t="n"/>
    </row>
    <row r="448" ht="15.75" customHeight="1" s="311">
      <c r="A448" s="1" t="n"/>
      <c r="B448" s="1" t="n"/>
      <c r="C448" s="1" t="n"/>
      <c r="D448" s="1" t="n"/>
      <c r="E448" s="1" t="n"/>
      <c r="F448" s="1" t="n"/>
      <c r="G448" s="1" t="n"/>
      <c r="H448" s="1" t="n"/>
      <c r="I448" s="1" t="n"/>
      <c r="J448" s="1" t="n"/>
      <c r="K448" s="1" t="n"/>
      <c r="L448" s="1" t="n"/>
      <c r="M448" s="1" t="n"/>
      <c r="N448" s="1" t="n"/>
      <c r="O448" s="1" t="n"/>
    </row>
    <row r="449" ht="15.75" customHeight="1" s="311">
      <c r="A449" s="1" t="n"/>
      <c r="B449" s="1" t="n"/>
      <c r="C449" s="1" t="n"/>
      <c r="D449" s="1" t="n"/>
      <c r="E449" s="1" t="n"/>
      <c r="F449" s="1" t="n"/>
      <c r="G449" s="1" t="n"/>
      <c r="H449" s="1" t="n"/>
      <c r="I449" s="1" t="n"/>
      <c r="J449" s="1" t="n"/>
      <c r="K449" s="1" t="n"/>
      <c r="L449" s="1" t="n"/>
      <c r="M449" s="1" t="n"/>
      <c r="N449" s="1" t="n"/>
      <c r="O449" s="1" t="n"/>
    </row>
    <row r="450" ht="15.75" customHeight="1" s="311">
      <c r="A450" s="1" t="n"/>
      <c r="B450" s="1" t="n"/>
      <c r="C450" s="1" t="n"/>
      <c r="D450" s="1" t="n"/>
      <c r="E450" s="1" t="n"/>
      <c r="F450" s="1" t="n"/>
      <c r="G450" s="1" t="n"/>
      <c r="H450" s="1" t="n"/>
      <c r="I450" s="1" t="n"/>
      <c r="J450" s="1" t="n"/>
      <c r="K450" s="1" t="n"/>
      <c r="L450" s="1" t="n"/>
      <c r="M450" s="1" t="n"/>
      <c r="N450" s="1" t="n"/>
      <c r="O450" s="1" t="n"/>
    </row>
    <row r="451" ht="15.75" customHeight="1" s="311">
      <c r="A451" s="1" t="n"/>
      <c r="B451" s="1" t="n"/>
      <c r="C451" s="1" t="n"/>
      <c r="D451" s="1" t="n"/>
      <c r="E451" s="1" t="n"/>
      <c r="F451" s="1" t="n"/>
      <c r="G451" s="1" t="n"/>
      <c r="H451" s="1" t="n"/>
      <c r="I451" s="1" t="n"/>
      <c r="J451" s="1" t="n"/>
      <c r="K451" s="1" t="n"/>
      <c r="L451" s="1" t="n"/>
      <c r="M451" s="1" t="n"/>
      <c r="N451" s="1" t="n"/>
      <c r="O451" s="1" t="n"/>
    </row>
    <row r="452" ht="15.75" customHeight="1" s="311">
      <c r="A452" s="1" t="n"/>
      <c r="B452" s="1" t="n"/>
      <c r="C452" s="1" t="n"/>
      <c r="D452" s="1" t="n"/>
      <c r="E452" s="1" t="n"/>
      <c r="F452" s="1" t="n"/>
      <c r="G452" s="1" t="n"/>
      <c r="H452" s="1" t="n"/>
      <c r="I452" s="1" t="n"/>
      <c r="J452" s="1" t="n"/>
      <c r="K452" s="1" t="n"/>
      <c r="L452" s="1" t="n"/>
      <c r="M452" s="1" t="n"/>
      <c r="N452" s="1" t="n"/>
      <c r="O452" s="1" t="n"/>
    </row>
    <row r="453" ht="15.75" customHeight="1" s="311">
      <c r="A453" s="1" t="n"/>
      <c r="B453" s="1" t="n"/>
      <c r="C453" s="1" t="n"/>
      <c r="D453" s="1" t="n"/>
      <c r="E453" s="1" t="n"/>
      <c r="F453" s="1" t="n"/>
      <c r="G453" s="1" t="n"/>
      <c r="H453" s="1" t="n"/>
      <c r="I453" s="1" t="n"/>
      <c r="J453" s="1" t="n"/>
      <c r="K453" s="1" t="n"/>
      <c r="L453" s="1" t="n"/>
      <c r="M453" s="1" t="n"/>
      <c r="N453" s="1" t="n"/>
      <c r="O453" s="1" t="n"/>
    </row>
    <row r="454" ht="15.75" customHeight="1" s="311">
      <c r="A454" s="1" t="n"/>
      <c r="B454" s="1" t="n"/>
      <c r="C454" s="1" t="n"/>
      <c r="D454" s="1" t="n"/>
      <c r="E454" s="1" t="n"/>
      <c r="F454" s="1" t="n"/>
      <c r="G454" s="1" t="n"/>
      <c r="H454" s="1" t="n"/>
      <c r="I454" s="1" t="n"/>
      <c r="J454" s="1" t="n"/>
      <c r="K454" s="1" t="n"/>
      <c r="L454" s="1" t="n"/>
      <c r="M454" s="1" t="n"/>
      <c r="N454" s="1" t="n"/>
      <c r="O454" s="1" t="n"/>
    </row>
    <row r="455" ht="15.75" customHeight="1" s="311">
      <c r="A455" s="1" t="n"/>
      <c r="B455" s="1" t="n"/>
      <c r="C455" s="1" t="n"/>
      <c r="D455" s="1" t="n"/>
      <c r="E455" s="1" t="n"/>
      <c r="F455" s="1" t="n"/>
      <c r="G455" s="1" t="n"/>
      <c r="H455" s="1" t="n"/>
      <c r="I455" s="1" t="n"/>
      <c r="J455" s="1" t="n"/>
      <c r="K455" s="1" t="n"/>
      <c r="L455" s="1" t="n"/>
      <c r="M455" s="1" t="n"/>
      <c r="N455" s="1" t="n"/>
      <c r="O455" s="1" t="n"/>
    </row>
    <row r="456" ht="15.75" customHeight="1" s="311">
      <c r="A456" s="1" t="n"/>
      <c r="B456" s="1" t="n"/>
      <c r="C456" s="1" t="n"/>
      <c r="D456" s="1" t="n"/>
      <c r="E456" s="1" t="n"/>
      <c r="F456" s="1" t="n"/>
      <c r="G456" s="1" t="n"/>
      <c r="H456" s="1" t="n"/>
      <c r="I456" s="1" t="n"/>
      <c r="J456" s="1" t="n"/>
      <c r="K456" s="1" t="n"/>
      <c r="L456" s="1" t="n"/>
      <c r="M456" s="1" t="n"/>
      <c r="N456" s="1" t="n"/>
      <c r="O456" s="1" t="n"/>
    </row>
    <row r="457" ht="15.75" customHeight="1" s="311">
      <c r="A457" s="1" t="n"/>
      <c r="B457" s="1" t="n"/>
      <c r="C457" s="1" t="n"/>
      <c r="D457" s="1" t="n"/>
      <c r="E457" s="1" t="n"/>
      <c r="F457" s="1" t="n"/>
      <c r="G457" s="1" t="n"/>
      <c r="H457" s="1" t="n"/>
      <c r="I457" s="1" t="n"/>
      <c r="J457" s="1" t="n"/>
      <c r="K457" s="1" t="n"/>
      <c r="L457" s="1" t="n"/>
      <c r="M457" s="1" t="n"/>
      <c r="N457" s="1" t="n"/>
      <c r="O457" s="1" t="n"/>
    </row>
    <row r="458" ht="15.75" customHeight="1" s="311">
      <c r="A458" s="1" t="n"/>
      <c r="B458" s="1" t="n"/>
      <c r="C458" s="1" t="n"/>
      <c r="D458" s="1" t="n"/>
      <c r="E458" s="1" t="n"/>
      <c r="F458" s="1" t="n"/>
      <c r="G458" s="1" t="n"/>
      <c r="H458" s="1" t="n"/>
      <c r="I458" s="1" t="n"/>
      <c r="J458" s="1" t="n"/>
      <c r="K458" s="1" t="n"/>
      <c r="L458" s="1" t="n"/>
      <c r="M458" s="1" t="n"/>
      <c r="N458" s="1" t="n"/>
      <c r="O458" s="1" t="n"/>
    </row>
    <row r="459" ht="15.75" customHeight="1" s="311">
      <c r="A459" s="1" t="n"/>
      <c r="B459" s="1" t="n"/>
      <c r="C459" s="1" t="n"/>
      <c r="D459" s="1" t="n"/>
      <c r="E459" s="1" t="n"/>
      <c r="F459" s="1" t="n"/>
      <c r="G459" s="1" t="n"/>
      <c r="H459" s="1" t="n"/>
      <c r="I459" s="1" t="n"/>
      <c r="J459" s="1" t="n"/>
      <c r="K459" s="1" t="n"/>
      <c r="L459" s="1" t="n"/>
      <c r="M459" s="1" t="n"/>
      <c r="N459" s="1" t="n"/>
      <c r="O459" s="1" t="n"/>
    </row>
    <row r="460" ht="15.75" customHeight="1" s="311">
      <c r="A460" s="1" t="n"/>
      <c r="B460" s="1" t="n"/>
      <c r="C460" s="1" t="n"/>
      <c r="D460" s="1" t="n"/>
      <c r="E460" s="1" t="n"/>
      <c r="F460" s="1" t="n"/>
      <c r="G460" s="1" t="n"/>
      <c r="H460" s="1" t="n"/>
      <c r="I460" s="1" t="n"/>
      <c r="J460" s="1" t="n"/>
      <c r="K460" s="1" t="n"/>
      <c r="L460" s="1" t="n"/>
      <c r="M460" s="1" t="n"/>
      <c r="N460" s="1" t="n"/>
      <c r="O460" s="1" t="n"/>
    </row>
    <row r="461" ht="15.75" customHeight="1" s="311">
      <c r="A461" s="1" t="n"/>
      <c r="B461" s="1" t="n"/>
      <c r="C461" s="1" t="n"/>
      <c r="D461" s="1" t="n"/>
      <c r="E461" s="1" t="n"/>
      <c r="F461" s="1" t="n"/>
      <c r="G461" s="1" t="n"/>
      <c r="H461" s="1" t="n"/>
      <c r="I461" s="1" t="n"/>
      <c r="J461" s="1" t="n"/>
      <c r="K461" s="1" t="n"/>
      <c r="L461" s="1" t="n"/>
      <c r="M461" s="1" t="n"/>
      <c r="N461" s="1" t="n"/>
      <c r="O461" s="1" t="n"/>
    </row>
    <row r="462" ht="15.75" customHeight="1" s="311">
      <c r="A462" s="1" t="n"/>
      <c r="B462" s="1" t="n"/>
      <c r="C462" s="1" t="n"/>
      <c r="D462" s="1" t="n"/>
      <c r="E462" s="1" t="n"/>
      <c r="F462" s="1" t="n"/>
      <c r="G462" s="1" t="n"/>
      <c r="H462" s="1" t="n"/>
      <c r="I462" s="1" t="n"/>
      <c r="J462" s="1" t="n"/>
      <c r="K462" s="1" t="n"/>
      <c r="L462" s="1" t="n"/>
      <c r="M462" s="1" t="n"/>
      <c r="N462" s="1" t="n"/>
      <c r="O462" s="1" t="n"/>
    </row>
    <row r="463" ht="15.75" customHeight="1" s="311">
      <c r="A463" s="1" t="n"/>
      <c r="B463" s="1" t="n"/>
      <c r="C463" s="1" t="n"/>
      <c r="D463" s="1" t="n"/>
      <c r="E463" s="1" t="n"/>
      <c r="F463" s="1" t="n"/>
      <c r="G463" s="1" t="n"/>
      <c r="H463" s="1" t="n"/>
      <c r="I463" s="1" t="n"/>
      <c r="J463" s="1" t="n"/>
      <c r="K463" s="1" t="n"/>
      <c r="L463" s="1" t="n"/>
      <c r="M463" s="1" t="n"/>
      <c r="N463" s="1" t="n"/>
      <c r="O463" s="1" t="n"/>
    </row>
    <row r="464" ht="15.75" customHeight="1" s="311">
      <c r="A464" s="1" t="n"/>
      <c r="B464" s="1" t="n"/>
      <c r="C464" s="1" t="n"/>
      <c r="D464" s="1" t="n"/>
      <c r="E464" s="1" t="n"/>
      <c r="F464" s="1" t="n"/>
      <c r="G464" s="1" t="n"/>
      <c r="H464" s="1" t="n"/>
      <c r="I464" s="1" t="n"/>
      <c r="J464" s="1" t="n"/>
      <c r="K464" s="1" t="n"/>
      <c r="L464" s="1" t="n"/>
      <c r="M464" s="1" t="n"/>
      <c r="N464" s="1" t="n"/>
      <c r="O464" s="1" t="n"/>
    </row>
    <row r="465" ht="15.75" customHeight="1" s="311">
      <c r="A465" s="1" t="n"/>
      <c r="B465" s="1" t="n"/>
      <c r="C465" s="1" t="n"/>
      <c r="D465" s="1" t="n"/>
      <c r="E465" s="1" t="n"/>
      <c r="F465" s="1" t="n"/>
      <c r="G465" s="1" t="n"/>
      <c r="H465" s="1" t="n"/>
      <c r="I465" s="1" t="n"/>
      <c r="J465" s="1" t="n"/>
      <c r="K465" s="1" t="n"/>
      <c r="L465" s="1" t="n"/>
      <c r="M465" s="1" t="n"/>
      <c r="N465" s="1" t="n"/>
      <c r="O465" s="1" t="n"/>
    </row>
    <row r="466" ht="15.75" customHeight="1" s="311">
      <c r="A466" s="1" t="n"/>
      <c r="B466" s="1" t="n"/>
      <c r="C466" s="1" t="n"/>
      <c r="D466" s="1" t="n"/>
      <c r="E466" s="1" t="n"/>
      <c r="F466" s="1" t="n"/>
      <c r="G466" s="1" t="n"/>
      <c r="H466" s="1" t="n"/>
      <c r="I466" s="1" t="n"/>
      <c r="J466" s="1" t="n"/>
      <c r="K466" s="1" t="n"/>
      <c r="L466" s="1" t="n"/>
      <c r="M466" s="1" t="n"/>
      <c r="N466" s="1" t="n"/>
      <c r="O466" s="1" t="n"/>
    </row>
    <row r="467" ht="15.75" customHeight="1" s="311">
      <c r="A467" s="1" t="n"/>
      <c r="B467" s="1" t="n"/>
      <c r="C467" s="1" t="n"/>
      <c r="D467" s="1" t="n"/>
      <c r="E467" s="1" t="n"/>
      <c r="F467" s="1" t="n"/>
      <c r="G467" s="1" t="n"/>
      <c r="H467" s="1" t="n"/>
      <c r="I467" s="1" t="n"/>
      <c r="J467" s="1" t="n"/>
      <c r="K467" s="1" t="n"/>
      <c r="L467" s="1" t="n"/>
      <c r="M467" s="1" t="n"/>
      <c r="N467" s="1" t="n"/>
      <c r="O467" s="1" t="n"/>
    </row>
    <row r="468" ht="15.75" customHeight="1" s="311">
      <c r="A468" s="1" t="n"/>
      <c r="B468" s="1" t="n"/>
      <c r="C468" s="1" t="n"/>
      <c r="D468" s="1" t="n"/>
      <c r="E468" s="1" t="n"/>
      <c r="F468" s="1" t="n"/>
      <c r="G468" s="1" t="n"/>
      <c r="H468" s="1" t="n"/>
      <c r="I468" s="1" t="n"/>
      <c r="J468" s="1" t="n"/>
      <c r="K468" s="1" t="n"/>
      <c r="L468" s="1" t="n"/>
      <c r="M468" s="1" t="n"/>
      <c r="N468" s="1" t="n"/>
      <c r="O468" s="1" t="n"/>
    </row>
    <row r="469" ht="15.75" customHeight="1" s="311">
      <c r="A469" s="1" t="n"/>
      <c r="B469" s="1" t="n"/>
      <c r="C469" s="1" t="n"/>
      <c r="D469" s="1" t="n"/>
      <c r="E469" s="1" t="n"/>
      <c r="F469" s="1" t="n"/>
      <c r="G469" s="1" t="n"/>
      <c r="H469" s="1" t="n"/>
      <c r="I469" s="1" t="n"/>
      <c r="J469" s="1" t="n"/>
      <c r="K469" s="1" t="n"/>
      <c r="L469" s="1" t="n"/>
      <c r="M469" s="1" t="n"/>
      <c r="N469" s="1" t="n"/>
      <c r="O469" s="1" t="n"/>
    </row>
    <row r="470" ht="15.75" customHeight="1" s="311">
      <c r="A470" s="1" t="n"/>
      <c r="B470" s="1" t="n"/>
      <c r="C470" s="1" t="n"/>
      <c r="D470" s="1" t="n"/>
      <c r="E470" s="1" t="n"/>
      <c r="F470" s="1" t="n"/>
      <c r="G470" s="1" t="n"/>
      <c r="H470" s="1" t="n"/>
      <c r="I470" s="1" t="n"/>
      <c r="J470" s="1" t="n"/>
      <c r="K470" s="1" t="n"/>
      <c r="L470" s="1" t="n"/>
      <c r="M470" s="1" t="n"/>
      <c r="N470" s="1" t="n"/>
      <c r="O470" s="1" t="n"/>
    </row>
    <row r="471" ht="15.75" customHeight="1" s="311">
      <c r="A471" s="1" t="n"/>
      <c r="B471" s="1" t="n"/>
      <c r="C471" s="1" t="n"/>
      <c r="D471" s="1" t="n"/>
      <c r="E471" s="1" t="n"/>
      <c r="F471" s="1" t="n"/>
      <c r="G471" s="1" t="n"/>
      <c r="H471" s="1" t="n"/>
      <c r="I471" s="1" t="n"/>
      <c r="J471" s="1" t="n"/>
      <c r="K471" s="1" t="n"/>
      <c r="L471" s="1" t="n"/>
      <c r="M471" s="1" t="n"/>
      <c r="N471" s="1" t="n"/>
      <c r="O471" s="1" t="n"/>
    </row>
    <row r="472" ht="15.75" customHeight="1" s="311">
      <c r="A472" s="1" t="n"/>
      <c r="B472" s="1" t="n"/>
      <c r="C472" s="1" t="n"/>
      <c r="D472" s="1" t="n"/>
      <c r="E472" s="1" t="n"/>
      <c r="F472" s="1" t="n"/>
      <c r="G472" s="1" t="n"/>
      <c r="H472" s="1" t="n"/>
      <c r="I472" s="1" t="n"/>
      <c r="J472" s="1" t="n"/>
      <c r="K472" s="1" t="n"/>
      <c r="L472" s="1" t="n"/>
      <c r="M472" s="1" t="n"/>
      <c r="N472" s="1" t="n"/>
      <c r="O472" s="1" t="n"/>
    </row>
    <row r="473" ht="15.75" customHeight="1" s="311">
      <c r="A473" s="1" t="n"/>
      <c r="B473" s="1" t="n"/>
      <c r="C473" s="1" t="n"/>
      <c r="D473" s="1" t="n"/>
      <c r="E473" s="1" t="n"/>
      <c r="F473" s="1" t="n"/>
      <c r="G473" s="1" t="n"/>
      <c r="H473" s="1" t="n"/>
      <c r="I473" s="1" t="n"/>
      <c r="J473" s="1" t="n"/>
      <c r="K473" s="1" t="n"/>
      <c r="L473" s="1" t="n"/>
      <c r="M473" s="1" t="n"/>
      <c r="N473" s="1" t="n"/>
      <c r="O473" s="1" t="n"/>
    </row>
    <row r="474" ht="15.75" customHeight="1" s="311">
      <c r="A474" s="1" t="n"/>
      <c r="B474" s="1" t="n"/>
      <c r="C474" s="1" t="n"/>
      <c r="D474" s="1" t="n"/>
      <c r="E474" s="1" t="n"/>
      <c r="F474" s="1" t="n"/>
      <c r="G474" s="1" t="n"/>
      <c r="H474" s="1" t="n"/>
      <c r="I474" s="1" t="n"/>
      <c r="J474" s="1" t="n"/>
      <c r="K474" s="1" t="n"/>
      <c r="L474" s="1" t="n"/>
      <c r="M474" s="1" t="n"/>
      <c r="N474" s="1" t="n"/>
      <c r="O474" s="1" t="n"/>
    </row>
    <row r="475" ht="15.75" customHeight="1" s="311">
      <c r="A475" s="1" t="n"/>
      <c r="B475" s="1" t="n"/>
      <c r="C475" s="1" t="n"/>
      <c r="D475" s="1" t="n"/>
      <c r="E475" s="1" t="n"/>
      <c r="F475" s="1" t="n"/>
      <c r="G475" s="1" t="n"/>
      <c r="H475" s="1" t="n"/>
      <c r="I475" s="1" t="n"/>
      <c r="J475" s="1" t="n"/>
      <c r="K475" s="1" t="n"/>
      <c r="L475" s="1" t="n"/>
      <c r="M475" s="1" t="n"/>
      <c r="N475" s="1" t="n"/>
      <c r="O475" s="1" t="n"/>
    </row>
    <row r="476" ht="15.75" customHeight="1" s="311">
      <c r="A476" s="1" t="n"/>
      <c r="B476" s="1" t="n"/>
      <c r="C476" s="1" t="n"/>
      <c r="D476" s="1" t="n"/>
      <c r="E476" s="1" t="n"/>
      <c r="F476" s="1" t="n"/>
      <c r="G476" s="1" t="n"/>
      <c r="H476" s="1" t="n"/>
      <c r="I476" s="1" t="n"/>
      <c r="J476" s="1" t="n"/>
      <c r="K476" s="1" t="n"/>
      <c r="L476" s="1" t="n"/>
      <c r="M476" s="1" t="n"/>
      <c r="N476" s="1" t="n"/>
      <c r="O476" s="1" t="n"/>
    </row>
    <row r="477" ht="15.75" customHeight="1" s="311">
      <c r="A477" s="1" t="n"/>
      <c r="B477" s="1" t="n"/>
      <c r="C477" s="1" t="n"/>
      <c r="D477" s="1" t="n"/>
      <c r="E477" s="1" t="n"/>
      <c r="F477" s="1" t="n"/>
      <c r="G477" s="1" t="n"/>
      <c r="H477" s="1" t="n"/>
      <c r="I477" s="1" t="n"/>
      <c r="J477" s="1" t="n"/>
      <c r="K477" s="1" t="n"/>
      <c r="L477" s="1" t="n"/>
      <c r="M477" s="1" t="n"/>
      <c r="N477" s="1" t="n"/>
      <c r="O477" s="1" t="n"/>
    </row>
    <row r="478" ht="15.75" customHeight="1" s="311">
      <c r="A478" s="1" t="n"/>
      <c r="B478" s="1" t="n"/>
      <c r="C478" s="1" t="n"/>
      <c r="D478" s="1" t="n"/>
      <c r="E478" s="1" t="n"/>
      <c r="F478" s="1" t="n"/>
      <c r="G478" s="1" t="n"/>
      <c r="H478" s="1" t="n"/>
      <c r="I478" s="1" t="n"/>
      <c r="J478" s="1" t="n"/>
      <c r="K478" s="1" t="n"/>
      <c r="L478" s="1" t="n"/>
      <c r="M478" s="1" t="n"/>
      <c r="N478" s="1" t="n"/>
      <c r="O478" s="1" t="n"/>
    </row>
    <row r="479" ht="15.75" customHeight="1" s="311">
      <c r="A479" s="1" t="n"/>
      <c r="B479" s="1" t="n"/>
      <c r="C479" s="1" t="n"/>
      <c r="D479" s="1" t="n"/>
      <c r="E479" s="1" t="n"/>
      <c r="F479" s="1" t="n"/>
      <c r="G479" s="1" t="n"/>
      <c r="H479" s="1" t="n"/>
      <c r="I479" s="1" t="n"/>
      <c r="J479" s="1" t="n"/>
      <c r="K479" s="1" t="n"/>
      <c r="L479" s="1" t="n"/>
      <c r="M479" s="1" t="n"/>
      <c r="N479" s="1" t="n"/>
      <c r="O479" s="1" t="n"/>
    </row>
    <row r="480" ht="15.75" customHeight="1" s="311">
      <c r="A480" s="1" t="n"/>
      <c r="B480" s="1" t="n"/>
      <c r="C480" s="1" t="n"/>
      <c r="D480" s="1" t="n"/>
      <c r="E480" s="1" t="n"/>
      <c r="F480" s="1" t="n"/>
      <c r="G480" s="1" t="n"/>
      <c r="H480" s="1" t="n"/>
      <c r="I480" s="1" t="n"/>
      <c r="J480" s="1" t="n"/>
      <c r="K480" s="1" t="n"/>
      <c r="L480" s="1" t="n"/>
      <c r="M480" s="1" t="n"/>
      <c r="N480" s="1" t="n"/>
      <c r="O480" s="1" t="n"/>
    </row>
    <row r="481" ht="15.75" customHeight="1" s="311">
      <c r="A481" s="1" t="n"/>
      <c r="B481" s="1" t="n"/>
      <c r="C481" s="1" t="n"/>
      <c r="D481" s="1" t="n"/>
      <c r="E481" s="1" t="n"/>
      <c r="F481" s="1" t="n"/>
      <c r="G481" s="1" t="n"/>
      <c r="H481" s="1" t="n"/>
      <c r="I481" s="1" t="n"/>
      <c r="J481" s="1" t="n"/>
      <c r="K481" s="1" t="n"/>
      <c r="L481" s="1" t="n"/>
      <c r="M481" s="1" t="n"/>
      <c r="N481" s="1" t="n"/>
      <c r="O481" s="1" t="n"/>
    </row>
    <row r="482" ht="15.75" customHeight="1" s="311">
      <c r="A482" s="1" t="n"/>
      <c r="B482" s="1" t="n"/>
      <c r="C482" s="1" t="n"/>
      <c r="D482" s="1" t="n"/>
      <c r="E482" s="1" t="n"/>
      <c r="F482" s="1" t="n"/>
      <c r="G482" s="1" t="n"/>
      <c r="H482" s="1" t="n"/>
      <c r="I482" s="1" t="n"/>
      <c r="J482" s="1" t="n"/>
      <c r="K482" s="1" t="n"/>
      <c r="L482" s="1" t="n"/>
      <c r="M482" s="1" t="n"/>
      <c r="N482" s="1" t="n"/>
      <c r="O482" s="1" t="n"/>
    </row>
    <row r="483" ht="15.75" customHeight="1" s="311">
      <c r="A483" s="1" t="n"/>
      <c r="B483" s="1" t="n"/>
      <c r="C483" s="1" t="n"/>
      <c r="D483" s="1" t="n"/>
      <c r="E483" s="1" t="n"/>
      <c r="F483" s="1" t="n"/>
      <c r="G483" s="1" t="n"/>
      <c r="H483" s="1" t="n"/>
      <c r="I483" s="1" t="n"/>
      <c r="J483" s="1" t="n"/>
      <c r="K483" s="1" t="n"/>
      <c r="L483" s="1" t="n"/>
      <c r="M483" s="1" t="n"/>
      <c r="N483" s="1" t="n"/>
      <c r="O483" s="1" t="n"/>
    </row>
    <row r="484" ht="15.75" customHeight="1" s="311">
      <c r="A484" s="1" t="n"/>
      <c r="B484" s="1" t="n"/>
      <c r="C484" s="1" t="n"/>
      <c r="D484" s="1" t="n"/>
      <c r="E484" s="1" t="n"/>
      <c r="F484" s="1" t="n"/>
      <c r="G484" s="1" t="n"/>
      <c r="H484" s="1" t="n"/>
      <c r="I484" s="1" t="n"/>
      <c r="J484" s="1" t="n"/>
      <c r="K484" s="1" t="n"/>
      <c r="L484" s="1" t="n"/>
      <c r="M484" s="1" t="n"/>
      <c r="N484" s="1" t="n"/>
      <c r="O484" s="1" t="n"/>
    </row>
    <row r="485" ht="15.75" customHeight="1" s="311">
      <c r="A485" s="1" t="n"/>
      <c r="B485" s="1" t="n"/>
      <c r="C485" s="1" t="n"/>
      <c r="D485" s="1" t="n"/>
      <c r="E485" s="1" t="n"/>
      <c r="F485" s="1" t="n"/>
      <c r="G485" s="1" t="n"/>
      <c r="H485" s="1" t="n"/>
      <c r="I485" s="1" t="n"/>
      <c r="J485" s="1" t="n"/>
      <c r="K485" s="1" t="n"/>
      <c r="L485" s="1" t="n"/>
      <c r="M485" s="1" t="n"/>
      <c r="N485" s="1" t="n"/>
      <c r="O485" s="1" t="n"/>
    </row>
    <row r="486" ht="15.75" customHeight="1" s="311">
      <c r="A486" s="1" t="n"/>
      <c r="B486" s="1" t="n"/>
      <c r="C486" s="1" t="n"/>
      <c r="D486" s="1" t="n"/>
      <c r="E486" s="1" t="n"/>
      <c r="F486" s="1" t="n"/>
      <c r="G486" s="1" t="n"/>
      <c r="H486" s="1" t="n"/>
      <c r="I486" s="1" t="n"/>
      <c r="J486" s="1" t="n"/>
      <c r="K486" s="1" t="n"/>
      <c r="L486" s="1" t="n"/>
      <c r="M486" s="1" t="n"/>
      <c r="N486" s="1" t="n"/>
      <c r="O486" s="1" t="n"/>
    </row>
    <row r="487" ht="15.75" customHeight="1" s="311">
      <c r="A487" s="1" t="n"/>
      <c r="B487" s="1" t="n"/>
      <c r="C487" s="1" t="n"/>
      <c r="D487" s="1" t="n"/>
      <c r="E487" s="1" t="n"/>
      <c r="F487" s="1" t="n"/>
      <c r="G487" s="1" t="n"/>
      <c r="H487" s="1" t="n"/>
      <c r="I487" s="1" t="n"/>
      <c r="J487" s="1" t="n"/>
      <c r="K487" s="1" t="n"/>
      <c r="L487" s="1" t="n"/>
      <c r="M487" s="1" t="n"/>
      <c r="N487" s="1" t="n"/>
      <c r="O487" s="1" t="n"/>
    </row>
    <row r="488" ht="15.75" customHeight="1" s="311">
      <c r="A488" s="1" t="n"/>
      <c r="B488" s="1" t="n"/>
      <c r="C488" s="1" t="n"/>
      <c r="D488" s="1" t="n"/>
      <c r="E488" s="1" t="n"/>
      <c r="F488" s="1" t="n"/>
      <c r="G488" s="1" t="n"/>
      <c r="H488" s="1" t="n"/>
      <c r="I488" s="1" t="n"/>
      <c r="J488" s="1" t="n"/>
      <c r="K488" s="1" t="n"/>
      <c r="L488" s="1" t="n"/>
      <c r="M488" s="1" t="n"/>
      <c r="N488" s="1" t="n"/>
      <c r="O488" s="1" t="n"/>
    </row>
    <row r="489" ht="15.75" customHeight="1" s="311">
      <c r="A489" s="1" t="n"/>
      <c r="B489" s="1" t="n"/>
      <c r="C489" s="1" t="n"/>
      <c r="D489" s="1" t="n"/>
      <c r="E489" s="1" t="n"/>
      <c r="F489" s="1" t="n"/>
      <c r="G489" s="1" t="n"/>
      <c r="H489" s="1" t="n"/>
      <c r="I489" s="1" t="n"/>
      <c r="J489" s="1" t="n"/>
      <c r="K489" s="1" t="n"/>
      <c r="L489" s="1" t="n"/>
      <c r="M489" s="1" t="n"/>
      <c r="N489" s="1" t="n"/>
      <c r="O489" s="1" t="n"/>
    </row>
    <row r="490" ht="15.75" customHeight="1" s="311">
      <c r="A490" s="1" t="n"/>
      <c r="B490" s="1" t="n"/>
      <c r="C490" s="1" t="n"/>
      <c r="D490" s="1" t="n"/>
      <c r="E490" s="1" t="n"/>
      <c r="F490" s="1" t="n"/>
      <c r="G490" s="1" t="n"/>
      <c r="H490" s="1" t="n"/>
      <c r="I490" s="1" t="n"/>
      <c r="J490" s="1" t="n"/>
      <c r="K490" s="1" t="n"/>
      <c r="L490" s="1" t="n"/>
      <c r="M490" s="1" t="n"/>
      <c r="N490" s="1" t="n"/>
      <c r="O490" s="1" t="n"/>
    </row>
    <row r="491" ht="15.75" customHeight="1" s="311">
      <c r="A491" s="1" t="n"/>
      <c r="B491" s="1" t="n"/>
      <c r="C491" s="1" t="n"/>
      <c r="D491" s="1" t="n"/>
      <c r="E491" s="1" t="n"/>
      <c r="F491" s="1" t="n"/>
      <c r="G491" s="1" t="n"/>
      <c r="H491" s="1" t="n"/>
      <c r="I491" s="1" t="n"/>
      <c r="J491" s="1" t="n"/>
      <c r="K491" s="1" t="n"/>
      <c r="L491" s="1" t="n"/>
      <c r="M491" s="1" t="n"/>
      <c r="N491" s="1" t="n"/>
      <c r="O491" s="1" t="n"/>
    </row>
    <row r="492" ht="15.75" customHeight="1" s="311">
      <c r="A492" s="1" t="n"/>
      <c r="B492" s="1" t="n"/>
      <c r="C492" s="1" t="n"/>
      <c r="D492" s="1" t="n"/>
      <c r="E492" s="1" t="n"/>
      <c r="F492" s="1" t="n"/>
      <c r="G492" s="1" t="n"/>
      <c r="H492" s="1" t="n"/>
      <c r="I492" s="1" t="n"/>
      <c r="J492" s="1" t="n"/>
      <c r="K492" s="1" t="n"/>
      <c r="L492" s="1" t="n"/>
      <c r="M492" s="1" t="n"/>
      <c r="N492" s="1" t="n"/>
      <c r="O492" s="1" t="n"/>
    </row>
    <row r="493" ht="15.75" customHeight="1" s="311">
      <c r="A493" s="1" t="n"/>
      <c r="B493" s="1" t="n"/>
      <c r="C493" s="1" t="n"/>
      <c r="D493" s="1" t="n"/>
      <c r="E493" s="1" t="n"/>
      <c r="F493" s="1" t="n"/>
      <c r="G493" s="1" t="n"/>
      <c r="H493" s="1" t="n"/>
      <c r="I493" s="1" t="n"/>
      <c r="J493" s="1" t="n"/>
      <c r="K493" s="1" t="n"/>
      <c r="L493" s="1" t="n"/>
      <c r="M493" s="1" t="n"/>
      <c r="N493" s="1" t="n"/>
      <c r="O493" s="1" t="n"/>
    </row>
    <row r="494" ht="15.75" customHeight="1" s="311">
      <c r="A494" s="1" t="n"/>
      <c r="B494" s="1" t="n"/>
      <c r="C494" s="1" t="n"/>
      <c r="D494" s="1" t="n"/>
      <c r="E494" s="1" t="n"/>
      <c r="F494" s="1" t="n"/>
      <c r="G494" s="1" t="n"/>
      <c r="H494" s="1" t="n"/>
      <c r="I494" s="1" t="n"/>
      <c r="J494" s="1" t="n"/>
      <c r="K494" s="1" t="n"/>
      <c r="L494" s="1" t="n"/>
      <c r="M494" s="1" t="n"/>
      <c r="N494" s="1" t="n"/>
      <c r="O494" s="1" t="n"/>
    </row>
    <row r="495" ht="15.75" customHeight="1" s="311">
      <c r="A495" s="1" t="n"/>
      <c r="B495" s="1" t="n"/>
      <c r="C495" s="1" t="n"/>
      <c r="D495" s="1" t="n"/>
      <c r="E495" s="1" t="n"/>
      <c r="F495" s="1" t="n"/>
      <c r="G495" s="1" t="n"/>
      <c r="H495" s="1" t="n"/>
      <c r="I495" s="1" t="n"/>
      <c r="J495" s="1" t="n"/>
      <c r="K495" s="1" t="n"/>
      <c r="L495" s="1" t="n"/>
      <c r="M495" s="1" t="n"/>
      <c r="N495" s="1" t="n"/>
      <c r="O495" s="1" t="n"/>
    </row>
    <row r="496" ht="15.75" customHeight="1" s="311">
      <c r="A496" s="1" t="n"/>
      <c r="B496" s="1" t="n"/>
      <c r="C496" s="1" t="n"/>
      <c r="D496" s="1" t="n"/>
      <c r="E496" s="1" t="n"/>
      <c r="F496" s="1" t="n"/>
      <c r="G496" s="1" t="n"/>
      <c r="H496" s="1" t="n"/>
      <c r="I496" s="1" t="n"/>
      <c r="J496" s="1" t="n"/>
      <c r="K496" s="1" t="n"/>
      <c r="L496" s="1" t="n"/>
      <c r="M496" s="1" t="n"/>
      <c r="N496" s="1" t="n"/>
      <c r="O496" s="1" t="n"/>
    </row>
    <row r="497" ht="15.75" customHeight="1" s="311">
      <c r="A497" s="1" t="n"/>
      <c r="B497" s="1" t="n"/>
      <c r="C497" s="1" t="n"/>
      <c r="D497" s="1" t="n"/>
      <c r="E497" s="1" t="n"/>
      <c r="F497" s="1" t="n"/>
      <c r="G497" s="1" t="n"/>
      <c r="H497" s="1" t="n"/>
      <c r="I497" s="1" t="n"/>
      <c r="J497" s="1" t="n"/>
      <c r="K497" s="1" t="n"/>
      <c r="L497" s="1" t="n"/>
      <c r="M497" s="1" t="n"/>
      <c r="N497" s="1" t="n"/>
      <c r="O497" s="1" t="n"/>
    </row>
    <row r="498" ht="15.75" customHeight="1" s="311">
      <c r="A498" s="1" t="n"/>
      <c r="B498" s="1" t="n"/>
      <c r="C498" s="1" t="n"/>
      <c r="D498" s="1" t="n"/>
      <c r="E498" s="1" t="n"/>
      <c r="F498" s="1" t="n"/>
      <c r="G498" s="1" t="n"/>
      <c r="H498" s="1" t="n"/>
      <c r="I498" s="1" t="n"/>
      <c r="J498" s="1" t="n"/>
      <c r="K498" s="1" t="n"/>
      <c r="L498" s="1" t="n"/>
      <c r="M498" s="1" t="n"/>
      <c r="N498" s="1" t="n"/>
      <c r="O498" s="1" t="n"/>
    </row>
    <row r="499" ht="15.75" customHeight="1" s="311">
      <c r="A499" s="1" t="n"/>
      <c r="B499" s="1" t="n"/>
      <c r="C499" s="1" t="n"/>
      <c r="D499" s="1" t="n"/>
      <c r="E499" s="1" t="n"/>
      <c r="F499" s="1" t="n"/>
      <c r="G499" s="1" t="n"/>
      <c r="H499" s="1" t="n"/>
      <c r="I499" s="1" t="n"/>
      <c r="J499" s="1" t="n"/>
      <c r="K499" s="1" t="n"/>
      <c r="L499" s="1" t="n"/>
      <c r="M499" s="1" t="n"/>
      <c r="N499" s="1" t="n"/>
      <c r="O499" s="1" t="n"/>
    </row>
    <row r="500" ht="15.75" customHeight="1" s="311">
      <c r="A500" s="1" t="n"/>
      <c r="B500" s="1" t="n"/>
      <c r="C500" s="1" t="n"/>
      <c r="D500" s="1" t="n"/>
      <c r="E500" s="1" t="n"/>
      <c r="F500" s="1" t="n"/>
      <c r="G500" s="1" t="n"/>
      <c r="H500" s="1" t="n"/>
      <c r="I500" s="1" t="n"/>
      <c r="J500" s="1" t="n"/>
      <c r="K500" s="1" t="n"/>
      <c r="L500" s="1" t="n"/>
      <c r="M500" s="1" t="n"/>
      <c r="N500" s="1" t="n"/>
      <c r="O500" s="1" t="n"/>
    </row>
    <row r="501" ht="15.75" customHeight="1" s="311">
      <c r="A501" s="1" t="n"/>
      <c r="B501" s="1" t="n"/>
      <c r="C501" s="1" t="n"/>
      <c r="D501" s="1" t="n"/>
      <c r="E501" s="1" t="n"/>
      <c r="F501" s="1" t="n"/>
      <c r="G501" s="1" t="n"/>
      <c r="H501" s="1" t="n"/>
      <c r="I501" s="1" t="n"/>
      <c r="J501" s="1" t="n"/>
      <c r="K501" s="1" t="n"/>
      <c r="L501" s="1" t="n"/>
      <c r="M501" s="1" t="n"/>
      <c r="N501" s="1" t="n"/>
      <c r="O501" s="1" t="n"/>
    </row>
    <row r="502" ht="15.75" customHeight="1" s="311">
      <c r="A502" s="1" t="n"/>
      <c r="B502" s="1" t="n"/>
      <c r="C502" s="1" t="n"/>
      <c r="D502" s="1" t="n"/>
      <c r="E502" s="1" t="n"/>
      <c r="F502" s="1" t="n"/>
      <c r="G502" s="1" t="n"/>
      <c r="H502" s="1" t="n"/>
      <c r="I502" s="1" t="n"/>
      <c r="J502" s="1" t="n"/>
      <c r="K502" s="1" t="n"/>
      <c r="L502" s="1" t="n"/>
      <c r="M502" s="1" t="n"/>
      <c r="N502" s="1" t="n"/>
      <c r="O502" s="1" t="n"/>
    </row>
    <row r="503" ht="15.75" customHeight="1" s="311">
      <c r="A503" s="1" t="n"/>
      <c r="B503" s="1" t="n"/>
      <c r="C503" s="1" t="n"/>
      <c r="D503" s="1" t="n"/>
      <c r="E503" s="1" t="n"/>
      <c r="F503" s="1" t="n"/>
      <c r="G503" s="1" t="n"/>
      <c r="H503" s="1" t="n"/>
      <c r="I503" s="1" t="n"/>
      <c r="J503" s="1" t="n"/>
      <c r="K503" s="1" t="n"/>
      <c r="L503" s="1" t="n"/>
      <c r="M503" s="1" t="n"/>
      <c r="N503" s="1" t="n"/>
      <c r="O503" s="1" t="n"/>
    </row>
    <row r="504" ht="15.75" customHeight="1" s="311">
      <c r="A504" s="1" t="n"/>
      <c r="B504" s="1" t="n"/>
      <c r="C504" s="1" t="n"/>
      <c r="D504" s="1" t="n"/>
      <c r="E504" s="1" t="n"/>
      <c r="F504" s="1" t="n"/>
      <c r="G504" s="1" t="n"/>
      <c r="H504" s="1" t="n"/>
      <c r="I504" s="1" t="n"/>
      <c r="J504" s="1" t="n"/>
      <c r="K504" s="1" t="n"/>
      <c r="L504" s="1" t="n"/>
      <c r="M504" s="1" t="n"/>
      <c r="N504" s="1" t="n"/>
      <c r="O504" s="1" t="n"/>
    </row>
    <row r="505" ht="15.75" customHeight="1" s="311">
      <c r="A505" s="1" t="n"/>
      <c r="B505" s="1" t="n"/>
      <c r="C505" s="1" t="n"/>
      <c r="D505" s="1" t="n"/>
      <c r="E505" s="1" t="n"/>
      <c r="F505" s="1" t="n"/>
      <c r="G505" s="1" t="n"/>
      <c r="H505" s="1" t="n"/>
      <c r="I505" s="1" t="n"/>
      <c r="J505" s="1" t="n"/>
      <c r="K505" s="1" t="n"/>
      <c r="L505" s="1" t="n"/>
      <c r="M505" s="1" t="n"/>
      <c r="N505" s="1" t="n"/>
      <c r="O505" s="1" t="n"/>
    </row>
    <row r="506" ht="15.75" customHeight="1" s="311">
      <c r="A506" s="1" t="n"/>
      <c r="B506" s="1" t="n"/>
      <c r="C506" s="1" t="n"/>
      <c r="D506" s="1" t="n"/>
      <c r="E506" s="1" t="n"/>
      <c r="F506" s="1" t="n"/>
      <c r="G506" s="1" t="n"/>
      <c r="H506" s="1" t="n"/>
      <c r="I506" s="1" t="n"/>
      <c r="J506" s="1" t="n"/>
      <c r="K506" s="1" t="n"/>
      <c r="L506" s="1" t="n"/>
      <c r="M506" s="1" t="n"/>
      <c r="N506" s="1" t="n"/>
      <c r="O506" s="1" t="n"/>
    </row>
    <row r="507" ht="15.75" customHeight="1" s="311">
      <c r="A507" s="1" t="n"/>
      <c r="B507" s="1" t="n"/>
      <c r="C507" s="1" t="n"/>
      <c r="D507" s="1" t="n"/>
      <c r="E507" s="1" t="n"/>
      <c r="F507" s="1" t="n"/>
      <c r="G507" s="1" t="n"/>
      <c r="H507" s="1" t="n"/>
      <c r="I507" s="1" t="n"/>
      <c r="J507" s="1" t="n"/>
      <c r="K507" s="1" t="n"/>
      <c r="L507" s="1" t="n"/>
      <c r="M507" s="1" t="n"/>
      <c r="N507" s="1" t="n"/>
      <c r="O507" s="1" t="n"/>
    </row>
    <row r="508" ht="15.75" customHeight="1" s="311">
      <c r="A508" s="1" t="n"/>
      <c r="B508" s="1" t="n"/>
      <c r="C508" s="1" t="n"/>
      <c r="D508" s="1" t="n"/>
      <c r="E508" s="1" t="n"/>
      <c r="F508" s="1" t="n"/>
      <c r="G508" s="1" t="n"/>
      <c r="H508" s="1" t="n"/>
      <c r="I508" s="1" t="n"/>
      <c r="J508" s="1" t="n"/>
      <c r="K508" s="1" t="n"/>
      <c r="L508" s="1" t="n"/>
      <c r="M508" s="1" t="n"/>
      <c r="N508" s="1" t="n"/>
      <c r="O508" s="1" t="n"/>
    </row>
    <row r="509" ht="15.75" customHeight="1" s="311">
      <c r="A509" s="1" t="n"/>
      <c r="B509" s="1" t="n"/>
      <c r="C509" s="1" t="n"/>
      <c r="D509" s="1" t="n"/>
      <c r="E509" s="1" t="n"/>
      <c r="F509" s="1" t="n"/>
      <c r="G509" s="1" t="n"/>
      <c r="H509" s="1" t="n"/>
      <c r="I509" s="1" t="n"/>
      <c r="J509" s="1" t="n"/>
      <c r="K509" s="1" t="n"/>
      <c r="L509" s="1" t="n"/>
      <c r="M509" s="1" t="n"/>
      <c r="N509" s="1" t="n"/>
      <c r="O509" s="1" t="n"/>
    </row>
    <row r="510" ht="15.75" customHeight="1" s="311">
      <c r="A510" s="1" t="n"/>
      <c r="B510" s="1" t="n"/>
      <c r="C510" s="1" t="n"/>
      <c r="D510" s="1" t="n"/>
      <c r="E510" s="1" t="n"/>
      <c r="F510" s="1" t="n"/>
      <c r="G510" s="1" t="n"/>
      <c r="H510" s="1" t="n"/>
      <c r="I510" s="1" t="n"/>
      <c r="J510" s="1" t="n"/>
      <c r="K510" s="1" t="n"/>
      <c r="L510" s="1" t="n"/>
      <c r="M510" s="1" t="n"/>
      <c r="N510" s="1" t="n"/>
      <c r="O510" s="1" t="n"/>
    </row>
    <row r="511" ht="15.75" customHeight="1" s="311">
      <c r="A511" s="1" t="n"/>
      <c r="B511" s="1" t="n"/>
      <c r="C511" s="1" t="n"/>
      <c r="D511" s="1" t="n"/>
      <c r="E511" s="1" t="n"/>
      <c r="F511" s="1" t="n"/>
      <c r="G511" s="1" t="n"/>
      <c r="H511" s="1" t="n"/>
      <c r="I511" s="1" t="n"/>
      <c r="J511" s="1" t="n"/>
      <c r="K511" s="1" t="n"/>
      <c r="L511" s="1" t="n"/>
      <c r="M511" s="1" t="n"/>
      <c r="N511" s="1" t="n"/>
      <c r="O511" s="1" t="n"/>
    </row>
    <row r="512" ht="15.75" customHeight="1" s="311">
      <c r="A512" s="1" t="n"/>
      <c r="B512" s="1" t="n"/>
      <c r="C512" s="1" t="n"/>
      <c r="D512" s="1" t="n"/>
      <c r="E512" s="1" t="n"/>
      <c r="F512" s="1" t="n"/>
      <c r="G512" s="1" t="n"/>
      <c r="H512" s="1" t="n"/>
      <c r="I512" s="1" t="n"/>
      <c r="J512" s="1" t="n"/>
      <c r="K512" s="1" t="n"/>
      <c r="L512" s="1" t="n"/>
      <c r="M512" s="1" t="n"/>
      <c r="N512" s="1" t="n"/>
      <c r="O512" s="1" t="n"/>
    </row>
    <row r="513" ht="15.75" customHeight="1" s="311">
      <c r="A513" s="1" t="n"/>
      <c r="B513" s="1" t="n"/>
      <c r="C513" s="1" t="n"/>
      <c r="D513" s="1" t="n"/>
      <c r="E513" s="1" t="n"/>
      <c r="F513" s="1" t="n"/>
      <c r="G513" s="1" t="n"/>
      <c r="H513" s="1" t="n"/>
      <c r="I513" s="1" t="n"/>
      <c r="J513" s="1" t="n"/>
      <c r="K513" s="1" t="n"/>
      <c r="L513" s="1" t="n"/>
      <c r="M513" s="1" t="n"/>
      <c r="N513" s="1" t="n"/>
      <c r="O513" s="1" t="n"/>
    </row>
    <row r="514" ht="15.75" customHeight="1" s="311">
      <c r="A514" s="1" t="n"/>
      <c r="B514" s="1" t="n"/>
      <c r="C514" s="1" t="n"/>
      <c r="D514" s="1" t="n"/>
      <c r="E514" s="1" t="n"/>
      <c r="F514" s="1" t="n"/>
      <c r="G514" s="1" t="n"/>
      <c r="H514" s="1" t="n"/>
      <c r="I514" s="1" t="n"/>
      <c r="J514" s="1" t="n"/>
      <c r="K514" s="1" t="n"/>
      <c r="L514" s="1" t="n"/>
      <c r="M514" s="1" t="n"/>
      <c r="N514" s="1" t="n"/>
      <c r="O514" s="1" t="n"/>
    </row>
    <row r="515" ht="15.75" customHeight="1" s="311">
      <c r="A515" s="1" t="n"/>
      <c r="B515" s="1" t="n"/>
      <c r="C515" s="1" t="n"/>
      <c r="D515" s="1" t="n"/>
      <c r="E515" s="1" t="n"/>
      <c r="F515" s="1" t="n"/>
      <c r="G515" s="1" t="n"/>
      <c r="H515" s="1" t="n"/>
      <c r="I515" s="1" t="n"/>
      <c r="J515" s="1" t="n"/>
      <c r="K515" s="1" t="n"/>
      <c r="L515" s="1" t="n"/>
      <c r="M515" s="1" t="n"/>
      <c r="N515" s="1" t="n"/>
      <c r="O515" s="1" t="n"/>
    </row>
    <row r="516" ht="15.75" customHeight="1" s="311">
      <c r="A516" s="1" t="n"/>
      <c r="B516" s="1" t="n"/>
      <c r="C516" s="1" t="n"/>
      <c r="D516" s="1" t="n"/>
      <c r="E516" s="1" t="n"/>
      <c r="F516" s="1" t="n"/>
      <c r="G516" s="1" t="n"/>
      <c r="H516" s="1" t="n"/>
      <c r="I516" s="1" t="n"/>
      <c r="J516" s="1" t="n"/>
      <c r="K516" s="1" t="n"/>
      <c r="L516" s="1" t="n"/>
      <c r="M516" s="1" t="n"/>
      <c r="N516" s="1" t="n"/>
      <c r="O516" s="1" t="n"/>
    </row>
    <row r="517" ht="15.75" customHeight="1" s="311">
      <c r="A517" s="1" t="n"/>
      <c r="B517" s="1" t="n"/>
      <c r="C517" s="1" t="n"/>
      <c r="D517" s="1" t="n"/>
      <c r="E517" s="1" t="n"/>
      <c r="F517" s="1" t="n"/>
      <c r="G517" s="1" t="n"/>
      <c r="H517" s="1" t="n"/>
      <c r="I517" s="1" t="n"/>
      <c r="J517" s="1" t="n"/>
      <c r="K517" s="1" t="n"/>
      <c r="L517" s="1" t="n"/>
      <c r="M517" s="1" t="n"/>
      <c r="N517" s="1" t="n"/>
      <c r="O517" s="1" t="n"/>
    </row>
    <row r="518" ht="15.75" customHeight="1" s="311">
      <c r="A518" s="1" t="n"/>
      <c r="B518" s="1" t="n"/>
      <c r="C518" s="1" t="n"/>
      <c r="D518" s="1" t="n"/>
      <c r="E518" s="1" t="n"/>
      <c r="F518" s="1" t="n"/>
      <c r="G518" s="1" t="n"/>
      <c r="H518" s="1" t="n"/>
      <c r="I518" s="1" t="n"/>
      <c r="J518" s="1" t="n"/>
      <c r="K518" s="1" t="n"/>
      <c r="L518" s="1" t="n"/>
      <c r="M518" s="1" t="n"/>
      <c r="N518" s="1" t="n"/>
      <c r="O518" s="1" t="n"/>
    </row>
    <row r="519" ht="15.75" customHeight="1" s="311">
      <c r="A519" s="1" t="n"/>
      <c r="B519" s="1" t="n"/>
      <c r="C519" s="1" t="n"/>
      <c r="D519" s="1" t="n"/>
      <c r="E519" s="1" t="n"/>
      <c r="F519" s="1" t="n"/>
      <c r="G519" s="1" t="n"/>
      <c r="H519" s="1" t="n"/>
      <c r="I519" s="1" t="n"/>
      <c r="J519" s="1" t="n"/>
      <c r="K519" s="1" t="n"/>
      <c r="L519" s="1" t="n"/>
      <c r="M519" s="1" t="n"/>
      <c r="N519" s="1" t="n"/>
      <c r="O519" s="1" t="n"/>
    </row>
    <row r="520" ht="15.75" customHeight="1" s="311">
      <c r="A520" s="1" t="n"/>
      <c r="B520" s="1" t="n"/>
      <c r="C520" s="1" t="n"/>
      <c r="D520" s="1" t="n"/>
      <c r="E520" s="1" t="n"/>
      <c r="F520" s="1" t="n"/>
      <c r="G520" s="1" t="n"/>
      <c r="H520" s="1" t="n"/>
      <c r="I520" s="1" t="n"/>
      <c r="J520" s="1" t="n"/>
      <c r="K520" s="1" t="n"/>
      <c r="L520" s="1" t="n"/>
      <c r="M520" s="1" t="n"/>
      <c r="N520" s="1" t="n"/>
      <c r="O520" s="1" t="n"/>
    </row>
    <row r="521" ht="15.75" customHeight="1" s="311">
      <c r="A521" s="1" t="n"/>
      <c r="B521" s="1" t="n"/>
      <c r="C521" s="1" t="n"/>
      <c r="D521" s="1" t="n"/>
      <c r="E521" s="1" t="n"/>
      <c r="F521" s="1" t="n"/>
      <c r="G521" s="1" t="n"/>
      <c r="H521" s="1" t="n"/>
      <c r="I521" s="1" t="n"/>
      <c r="J521" s="1" t="n"/>
      <c r="K521" s="1" t="n"/>
      <c r="L521" s="1" t="n"/>
      <c r="M521" s="1" t="n"/>
      <c r="N521" s="1" t="n"/>
      <c r="O521" s="1" t="n"/>
    </row>
    <row r="522" ht="15.75" customHeight="1" s="311">
      <c r="A522" s="1" t="n"/>
      <c r="B522" s="1" t="n"/>
      <c r="C522" s="1" t="n"/>
      <c r="D522" s="1" t="n"/>
      <c r="E522" s="1" t="n"/>
      <c r="F522" s="1" t="n"/>
      <c r="G522" s="1" t="n"/>
      <c r="H522" s="1" t="n"/>
      <c r="I522" s="1" t="n"/>
      <c r="J522" s="1" t="n"/>
      <c r="K522" s="1" t="n"/>
      <c r="L522" s="1" t="n"/>
      <c r="M522" s="1" t="n"/>
      <c r="N522" s="1" t="n"/>
      <c r="O522" s="1" t="n"/>
    </row>
    <row r="523" ht="15.75" customHeight="1" s="311">
      <c r="A523" s="1" t="n"/>
      <c r="B523" s="1" t="n"/>
      <c r="C523" s="1" t="n"/>
      <c r="D523" s="1" t="n"/>
      <c r="E523" s="1" t="n"/>
      <c r="F523" s="1" t="n"/>
      <c r="G523" s="1" t="n"/>
      <c r="H523" s="1" t="n"/>
      <c r="I523" s="1" t="n"/>
      <c r="J523" s="1" t="n"/>
      <c r="K523" s="1" t="n"/>
      <c r="L523" s="1" t="n"/>
      <c r="M523" s="1" t="n"/>
      <c r="N523" s="1" t="n"/>
      <c r="O523" s="1" t="n"/>
    </row>
    <row r="524" ht="15.75" customHeight="1" s="311">
      <c r="A524" s="1" t="n"/>
      <c r="B524" s="1" t="n"/>
      <c r="C524" s="1" t="n"/>
      <c r="D524" s="1" t="n"/>
      <c r="E524" s="1" t="n"/>
      <c r="F524" s="1" t="n"/>
      <c r="G524" s="1" t="n"/>
      <c r="H524" s="1" t="n"/>
      <c r="I524" s="1" t="n"/>
      <c r="J524" s="1" t="n"/>
      <c r="K524" s="1" t="n"/>
      <c r="L524" s="1" t="n"/>
      <c r="M524" s="1" t="n"/>
      <c r="N524" s="1" t="n"/>
      <c r="O524" s="1" t="n"/>
    </row>
    <row r="525" ht="15.75" customHeight="1" s="311">
      <c r="A525" s="1" t="n"/>
      <c r="B525" s="1" t="n"/>
      <c r="C525" s="1" t="n"/>
      <c r="D525" s="1" t="n"/>
      <c r="E525" s="1" t="n"/>
      <c r="F525" s="1" t="n"/>
      <c r="G525" s="1" t="n"/>
      <c r="H525" s="1" t="n"/>
      <c r="I525" s="1" t="n"/>
      <c r="J525" s="1" t="n"/>
      <c r="K525" s="1" t="n"/>
      <c r="L525" s="1" t="n"/>
      <c r="M525" s="1" t="n"/>
      <c r="N525" s="1" t="n"/>
      <c r="O525" s="1" t="n"/>
    </row>
    <row r="526" ht="15.75" customHeight="1" s="311">
      <c r="A526" s="1" t="n"/>
      <c r="B526" s="1" t="n"/>
      <c r="C526" s="1" t="n"/>
      <c r="D526" s="1" t="n"/>
      <c r="E526" s="1" t="n"/>
      <c r="F526" s="1" t="n"/>
      <c r="G526" s="1" t="n"/>
      <c r="H526" s="1" t="n"/>
      <c r="I526" s="1" t="n"/>
      <c r="J526" s="1" t="n"/>
      <c r="K526" s="1" t="n"/>
      <c r="L526" s="1" t="n"/>
      <c r="M526" s="1" t="n"/>
      <c r="N526" s="1" t="n"/>
      <c r="O526" s="1" t="n"/>
    </row>
    <row r="527" ht="15.75" customHeight="1" s="311">
      <c r="A527" s="1" t="n"/>
      <c r="B527" s="1" t="n"/>
      <c r="C527" s="1" t="n"/>
      <c r="D527" s="1" t="n"/>
      <c r="E527" s="1" t="n"/>
      <c r="F527" s="1" t="n"/>
      <c r="G527" s="1" t="n"/>
      <c r="H527" s="1" t="n"/>
      <c r="I527" s="1" t="n"/>
      <c r="J527" s="1" t="n"/>
      <c r="K527" s="1" t="n"/>
      <c r="L527" s="1" t="n"/>
      <c r="M527" s="1" t="n"/>
      <c r="N527" s="1" t="n"/>
      <c r="O527" s="1" t="n"/>
    </row>
    <row r="528" ht="15.75" customHeight="1" s="311">
      <c r="A528" s="1" t="n"/>
      <c r="B528" s="1" t="n"/>
      <c r="C528" s="1" t="n"/>
      <c r="D528" s="1" t="n"/>
      <c r="E528" s="1" t="n"/>
      <c r="F528" s="1" t="n"/>
      <c r="G528" s="1" t="n"/>
      <c r="H528" s="1" t="n"/>
      <c r="I528" s="1" t="n"/>
      <c r="J528" s="1" t="n"/>
      <c r="K528" s="1" t="n"/>
      <c r="L528" s="1" t="n"/>
      <c r="M528" s="1" t="n"/>
      <c r="N528" s="1" t="n"/>
      <c r="O528" s="1" t="n"/>
    </row>
    <row r="529" ht="15.75" customHeight="1" s="311">
      <c r="A529" s="1" t="n"/>
      <c r="B529" s="1" t="n"/>
      <c r="C529" s="1" t="n"/>
      <c r="D529" s="1" t="n"/>
      <c r="E529" s="1" t="n"/>
      <c r="F529" s="1" t="n"/>
      <c r="G529" s="1" t="n"/>
      <c r="H529" s="1" t="n"/>
      <c r="I529" s="1" t="n"/>
      <c r="J529" s="1" t="n"/>
      <c r="K529" s="1" t="n"/>
      <c r="L529" s="1" t="n"/>
      <c r="M529" s="1" t="n"/>
      <c r="N529" s="1" t="n"/>
      <c r="O529" s="1" t="n"/>
    </row>
    <row r="530" ht="15.75" customHeight="1" s="311">
      <c r="A530" s="1" t="n"/>
      <c r="B530" s="1" t="n"/>
      <c r="C530" s="1" t="n"/>
      <c r="D530" s="1" t="n"/>
      <c r="E530" s="1" t="n"/>
      <c r="F530" s="1" t="n"/>
      <c r="G530" s="1" t="n"/>
      <c r="H530" s="1" t="n"/>
      <c r="I530" s="1" t="n"/>
      <c r="J530" s="1" t="n"/>
      <c r="K530" s="1" t="n"/>
      <c r="L530" s="1" t="n"/>
      <c r="M530" s="1" t="n"/>
      <c r="N530" s="1" t="n"/>
      <c r="O530" s="1" t="n"/>
    </row>
    <row r="531" ht="15.75" customHeight="1" s="311">
      <c r="A531" s="1" t="n"/>
      <c r="B531" s="1" t="n"/>
      <c r="C531" s="1" t="n"/>
      <c r="D531" s="1" t="n"/>
      <c r="E531" s="1" t="n"/>
      <c r="F531" s="1" t="n"/>
      <c r="G531" s="1" t="n"/>
      <c r="H531" s="1" t="n"/>
      <c r="I531" s="1" t="n"/>
      <c r="J531" s="1" t="n"/>
      <c r="K531" s="1" t="n"/>
      <c r="L531" s="1" t="n"/>
      <c r="M531" s="1" t="n"/>
      <c r="N531" s="1" t="n"/>
      <c r="O531" s="1" t="n"/>
    </row>
    <row r="532" ht="15.75" customHeight="1" s="311">
      <c r="A532" s="1" t="n"/>
      <c r="B532" s="1" t="n"/>
      <c r="C532" s="1" t="n"/>
      <c r="D532" s="1" t="n"/>
      <c r="E532" s="1" t="n"/>
      <c r="F532" s="1" t="n"/>
      <c r="G532" s="1" t="n"/>
      <c r="H532" s="1" t="n"/>
      <c r="I532" s="1" t="n"/>
      <c r="J532" s="1" t="n"/>
      <c r="K532" s="1" t="n"/>
      <c r="L532" s="1" t="n"/>
      <c r="M532" s="1" t="n"/>
      <c r="N532" s="1" t="n"/>
      <c r="O532" s="1" t="n"/>
    </row>
    <row r="533" ht="15.75" customHeight="1" s="311">
      <c r="A533" s="1" t="n"/>
      <c r="B533" s="1" t="n"/>
      <c r="C533" s="1" t="n"/>
      <c r="D533" s="1" t="n"/>
      <c r="E533" s="1" t="n"/>
      <c r="F533" s="1" t="n"/>
      <c r="G533" s="1" t="n"/>
      <c r="H533" s="1" t="n"/>
      <c r="I533" s="1" t="n"/>
      <c r="J533" s="1" t="n"/>
      <c r="K533" s="1" t="n"/>
      <c r="L533" s="1" t="n"/>
      <c r="M533" s="1" t="n"/>
      <c r="N533" s="1" t="n"/>
      <c r="O533" s="1" t="n"/>
    </row>
    <row r="534" ht="15.75" customHeight="1" s="311">
      <c r="A534" s="1" t="n"/>
      <c r="B534" s="1" t="n"/>
      <c r="C534" s="1" t="n"/>
      <c r="D534" s="1" t="n"/>
      <c r="E534" s="1" t="n"/>
      <c r="F534" s="1" t="n"/>
      <c r="G534" s="1" t="n"/>
      <c r="H534" s="1" t="n"/>
      <c r="I534" s="1" t="n"/>
      <c r="J534" s="1" t="n"/>
      <c r="K534" s="1" t="n"/>
      <c r="L534" s="1" t="n"/>
      <c r="M534" s="1" t="n"/>
      <c r="N534" s="1" t="n"/>
      <c r="O534" s="1" t="n"/>
    </row>
    <row r="535" ht="15.75" customHeight="1" s="311">
      <c r="A535" s="1" t="n"/>
      <c r="B535" s="1" t="n"/>
      <c r="C535" s="1" t="n"/>
      <c r="D535" s="1" t="n"/>
      <c r="E535" s="1" t="n"/>
      <c r="F535" s="1" t="n"/>
      <c r="G535" s="1" t="n"/>
      <c r="H535" s="1" t="n"/>
      <c r="I535" s="1" t="n"/>
      <c r="J535" s="1" t="n"/>
      <c r="K535" s="1" t="n"/>
      <c r="L535" s="1" t="n"/>
      <c r="M535" s="1" t="n"/>
      <c r="N535" s="1" t="n"/>
      <c r="O535" s="1" t="n"/>
    </row>
    <row r="536" ht="15.75" customHeight="1" s="311">
      <c r="A536" s="1" t="n"/>
      <c r="B536" s="1" t="n"/>
      <c r="C536" s="1" t="n"/>
      <c r="D536" s="1" t="n"/>
      <c r="E536" s="1" t="n"/>
      <c r="F536" s="1" t="n"/>
      <c r="G536" s="1" t="n"/>
      <c r="H536" s="1" t="n"/>
      <c r="I536" s="1" t="n"/>
      <c r="J536" s="1" t="n"/>
      <c r="K536" s="1" t="n"/>
      <c r="L536" s="1" t="n"/>
      <c r="M536" s="1" t="n"/>
      <c r="N536" s="1" t="n"/>
      <c r="O536" s="1" t="n"/>
    </row>
    <row r="537" ht="15.75" customHeight="1" s="311">
      <c r="A537" s="1" t="n"/>
      <c r="B537" s="1" t="n"/>
      <c r="C537" s="1" t="n"/>
      <c r="D537" s="1" t="n"/>
      <c r="E537" s="1" t="n"/>
      <c r="F537" s="1" t="n"/>
      <c r="G537" s="1" t="n"/>
      <c r="H537" s="1" t="n"/>
      <c r="I537" s="1" t="n"/>
      <c r="J537" s="1" t="n"/>
      <c r="K537" s="1" t="n"/>
      <c r="L537" s="1" t="n"/>
      <c r="M537" s="1" t="n"/>
      <c r="N537" s="1" t="n"/>
      <c r="O537" s="1" t="n"/>
    </row>
    <row r="538" ht="15.75" customHeight="1" s="311">
      <c r="A538" s="1" t="n"/>
      <c r="B538" s="1" t="n"/>
      <c r="C538" s="1" t="n"/>
      <c r="D538" s="1" t="n"/>
      <c r="E538" s="1" t="n"/>
      <c r="F538" s="1" t="n"/>
      <c r="G538" s="1" t="n"/>
      <c r="H538" s="1" t="n"/>
      <c r="I538" s="1" t="n"/>
      <c r="J538" s="1" t="n"/>
      <c r="K538" s="1" t="n"/>
      <c r="L538" s="1" t="n"/>
      <c r="M538" s="1" t="n"/>
      <c r="N538" s="1" t="n"/>
      <c r="O538" s="1" t="n"/>
    </row>
    <row r="539" ht="15.75" customHeight="1" s="311">
      <c r="A539" s="1" t="n"/>
      <c r="B539" s="1" t="n"/>
      <c r="C539" s="1" t="n"/>
      <c r="D539" s="1" t="n"/>
      <c r="E539" s="1" t="n"/>
      <c r="F539" s="1" t="n"/>
      <c r="G539" s="1" t="n"/>
      <c r="H539" s="1" t="n"/>
      <c r="I539" s="1" t="n"/>
      <c r="J539" s="1" t="n"/>
      <c r="K539" s="1" t="n"/>
      <c r="L539" s="1" t="n"/>
      <c r="M539" s="1" t="n"/>
      <c r="N539" s="1" t="n"/>
      <c r="O539" s="1" t="n"/>
    </row>
    <row r="540" ht="15.75" customHeight="1" s="311">
      <c r="A540" s="1" t="n"/>
      <c r="B540" s="1" t="n"/>
      <c r="C540" s="1" t="n"/>
      <c r="D540" s="1" t="n"/>
      <c r="E540" s="1" t="n"/>
      <c r="F540" s="1" t="n"/>
      <c r="G540" s="1" t="n"/>
      <c r="H540" s="1" t="n"/>
      <c r="I540" s="1" t="n"/>
      <c r="J540" s="1" t="n"/>
      <c r="K540" s="1" t="n"/>
      <c r="L540" s="1" t="n"/>
      <c r="M540" s="1" t="n"/>
      <c r="N540" s="1" t="n"/>
      <c r="O540" s="1" t="n"/>
    </row>
    <row r="541" ht="15.75" customHeight="1" s="311">
      <c r="A541" s="1" t="n"/>
      <c r="B541" s="1" t="n"/>
      <c r="C541" s="1" t="n"/>
      <c r="D541" s="1" t="n"/>
      <c r="E541" s="1" t="n"/>
      <c r="F541" s="1" t="n"/>
      <c r="G541" s="1" t="n"/>
      <c r="H541" s="1" t="n"/>
      <c r="I541" s="1" t="n"/>
      <c r="J541" s="1" t="n"/>
      <c r="K541" s="1" t="n"/>
      <c r="L541" s="1" t="n"/>
      <c r="M541" s="1" t="n"/>
      <c r="N541" s="1" t="n"/>
      <c r="O541" s="1" t="n"/>
    </row>
    <row r="542" ht="15.75" customHeight="1" s="311">
      <c r="A542" s="1" t="n"/>
      <c r="B542" s="1" t="n"/>
      <c r="C542" s="1" t="n"/>
      <c r="D542" s="1" t="n"/>
      <c r="E542" s="1" t="n"/>
      <c r="F542" s="1" t="n"/>
      <c r="G542" s="1" t="n"/>
      <c r="H542" s="1" t="n"/>
      <c r="I542" s="1" t="n"/>
      <c r="J542" s="1" t="n"/>
      <c r="K542" s="1" t="n"/>
      <c r="L542" s="1" t="n"/>
      <c r="M542" s="1" t="n"/>
      <c r="N542" s="1" t="n"/>
      <c r="O542" s="1" t="n"/>
    </row>
    <row r="543" ht="15.75" customHeight="1" s="311">
      <c r="A543" s="1" t="n"/>
      <c r="B543" s="1" t="n"/>
      <c r="C543" s="1" t="n"/>
      <c r="D543" s="1" t="n"/>
      <c r="E543" s="1" t="n"/>
      <c r="F543" s="1" t="n"/>
      <c r="G543" s="1" t="n"/>
      <c r="H543" s="1" t="n"/>
      <c r="I543" s="1" t="n"/>
      <c r="J543" s="1" t="n"/>
      <c r="K543" s="1" t="n"/>
      <c r="L543" s="1" t="n"/>
      <c r="M543" s="1" t="n"/>
      <c r="N543" s="1" t="n"/>
      <c r="O543" s="1" t="n"/>
    </row>
    <row r="544" ht="15.75" customHeight="1" s="311">
      <c r="A544" s="1" t="n"/>
      <c r="B544" s="1" t="n"/>
      <c r="C544" s="1" t="n"/>
      <c r="D544" s="1" t="n"/>
      <c r="E544" s="1" t="n"/>
      <c r="F544" s="1" t="n"/>
      <c r="G544" s="1" t="n"/>
      <c r="H544" s="1" t="n"/>
      <c r="I544" s="1" t="n"/>
      <c r="J544" s="1" t="n"/>
      <c r="K544" s="1" t="n"/>
      <c r="L544" s="1" t="n"/>
      <c r="M544" s="1" t="n"/>
      <c r="N544" s="1" t="n"/>
      <c r="O544" s="1" t="n"/>
    </row>
    <row r="545" ht="15.75" customHeight="1" s="311">
      <c r="A545" s="1" t="n"/>
      <c r="B545" s="1" t="n"/>
      <c r="C545" s="1" t="n"/>
      <c r="D545" s="1" t="n"/>
      <c r="E545" s="1" t="n"/>
      <c r="F545" s="1" t="n"/>
      <c r="G545" s="1" t="n"/>
      <c r="H545" s="1" t="n"/>
      <c r="I545" s="1" t="n"/>
      <c r="J545" s="1" t="n"/>
      <c r="K545" s="1" t="n"/>
      <c r="L545" s="1" t="n"/>
      <c r="M545" s="1" t="n"/>
      <c r="N545" s="1" t="n"/>
      <c r="O545" s="1" t="n"/>
    </row>
    <row r="546" ht="15.75" customHeight="1" s="311">
      <c r="A546" s="1" t="n"/>
      <c r="B546" s="1" t="n"/>
      <c r="C546" s="1" t="n"/>
      <c r="D546" s="1" t="n"/>
      <c r="E546" s="1" t="n"/>
      <c r="F546" s="1" t="n"/>
      <c r="G546" s="1" t="n"/>
      <c r="H546" s="1" t="n"/>
      <c r="I546" s="1" t="n"/>
      <c r="J546" s="1" t="n"/>
      <c r="K546" s="1" t="n"/>
      <c r="L546" s="1" t="n"/>
      <c r="M546" s="1" t="n"/>
      <c r="N546" s="1" t="n"/>
      <c r="O546" s="1" t="n"/>
    </row>
    <row r="547" ht="15.75" customHeight="1" s="311">
      <c r="A547" s="1" t="n"/>
      <c r="B547" s="1" t="n"/>
      <c r="C547" s="1" t="n"/>
      <c r="D547" s="1" t="n"/>
      <c r="E547" s="1" t="n"/>
      <c r="F547" s="1" t="n"/>
      <c r="G547" s="1" t="n"/>
      <c r="H547" s="1" t="n"/>
      <c r="I547" s="1" t="n"/>
      <c r="J547" s="1" t="n"/>
      <c r="K547" s="1" t="n"/>
      <c r="L547" s="1" t="n"/>
      <c r="M547" s="1" t="n"/>
      <c r="N547" s="1" t="n"/>
      <c r="O547" s="1" t="n"/>
    </row>
    <row r="548" ht="15.75" customHeight="1" s="311">
      <c r="A548" s="1" t="n"/>
      <c r="B548" s="1" t="n"/>
      <c r="C548" s="1" t="n"/>
      <c r="D548" s="1" t="n"/>
      <c r="E548" s="1" t="n"/>
      <c r="F548" s="1" t="n"/>
      <c r="G548" s="1" t="n"/>
      <c r="H548" s="1" t="n"/>
      <c r="I548" s="1" t="n"/>
      <c r="J548" s="1" t="n"/>
      <c r="K548" s="1" t="n"/>
      <c r="L548" s="1" t="n"/>
      <c r="M548" s="1" t="n"/>
      <c r="N548" s="1" t="n"/>
      <c r="O548" s="1" t="n"/>
    </row>
    <row r="549" ht="15.75" customHeight="1" s="311">
      <c r="A549" s="1" t="n"/>
      <c r="B549" s="1" t="n"/>
      <c r="C549" s="1" t="n"/>
      <c r="D549" s="1" t="n"/>
      <c r="E549" s="1" t="n"/>
      <c r="F549" s="1" t="n"/>
      <c r="G549" s="1" t="n"/>
      <c r="H549" s="1" t="n"/>
      <c r="I549" s="1" t="n"/>
      <c r="J549" s="1" t="n"/>
      <c r="K549" s="1" t="n"/>
      <c r="L549" s="1" t="n"/>
      <c r="M549" s="1" t="n"/>
      <c r="N549" s="1" t="n"/>
      <c r="O549" s="1" t="n"/>
    </row>
    <row r="550" ht="15.75" customHeight="1" s="311">
      <c r="A550" s="1" t="n"/>
      <c r="B550" s="1" t="n"/>
      <c r="C550" s="1" t="n"/>
      <c r="D550" s="1" t="n"/>
      <c r="E550" s="1" t="n"/>
      <c r="F550" s="1" t="n"/>
      <c r="G550" s="1" t="n"/>
      <c r="H550" s="1" t="n"/>
      <c r="I550" s="1" t="n"/>
      <c r="J550" s="1" t="n"/>
      <c r="K550" s="1" t="n"/>
      <c r="L550" s="1" t="n"/>
      <c r="M550" s="1" t="n"/>
      <c r="N550" s="1" t="n"/>
      <c r="O550" s="1" t="n"/>
    </row>
    <row r="551" ht="15.75" customHeight="1" s="311">
      <c r="A551" s="1" t="n"/>
      <c r="B551" s="1" t="n"/>
      <c r="C551" s="1" t="n"/>
      <c r="D551" s="1" t="n"/>
      <c r="E551" s="1" t="n"/>
      <c r="F551" s="1" t="n"/>
      <c r="G551" s="1" t="n"/>
      <c r="H551" s="1" t="n"/>
      <c r="I551" s="1" t="n"/>
      <c r="J551" s="1" t="n"/>
      <c r="K551" s="1" t="n"/>
      <c r="L551" s="1" t="n"/>
      <c r="M551" s="1" t="n"/>
      <c r="N551" s="1" t="n"/>
      <c r="O551" s="1" t="n"/>
    </row>
    <row r="552" ht="15.75" customHeight="1" s="311">
      <c r="A552" s="1" t="n"/>
      <c r="B552" s="1" t="n"/>
      <c r="C552" s="1" t="n"/>
      <c r="D552" s="1" t="n"/>
      <c r="E552" s="1" t="n"/>
      <c r="F552" s="1" t="n"/>
      <c r="G552" s="1" t="n"/>
      <c r="H552" s="1" t="n"/>
      <c r="I552" s="1" t="n"/>
      <c r="J552" s="1" t="n"/>
      <c r="K552" s="1" t="n"/>
      <c r="L552" s="1" t="n"/>
      <c r="M552" s="1" t="n"/>
      <c r="N552" s="1" t="n"/>
      <c r="O552" s="1" t="n"/>
    </row>
    <row r="553" ht="15.75" customHeight="1" s="311">
      <c r="A553" s="1" t="n"/>
      <c r="B553" s="1" t="n"/>
      <c r="C553" s="1" t="n"/>
      <c r="D553" s="1" t="n"/>
      <c r="E553" s="1" t="n"/>
      <c r="F553" s="1" t="n"/>
      <c r="G553" s="1" t="n"/>
      <c r="H553" s="1" t="n"/>
      <c r="I553" s="1" t="n"/>
      <c r="J553" s="1" t="n"/>
      <c r="K553" s="1" t="n"/>
      <c r="L553" s="1" t="n"/>
      <c r="M553" s="1" t="n"/>
      <c r="N553" s="1" t="n"/>
      <c r="O553" s="1" t="n"/>
    </row>
    <row r="554" ht="15.75" customHeight="1" s="311">
      <c r="A554" s="1" t="n"/>
      <c r="B554" s="1" t="n"/>
      <c r="C554" s="1" t="n"/>
      <c r="D554" s="1" t="n"/>
      <c r="E554" s="1" t="n"/>
      <c r="F554" s="1" t="n"/>
      <c r="G554" s="1" t="n"/>
      <c r="H554" s="1" t="n"/>
      <c r="I554" s="1" t="n"/>
      <c r="J554" s="1" t="n"/>
      <c r="K554" s="1" t="n"/>
      <c r="L554" s="1" t="n"/>
      <c r="M554" s="1" t="n"/>
      <c r="N554" s="1" t="n"/>
      <c r="O554" s="1" t="n"/>
    </row>
    <row r="555" ht="15.75" customHeight="1" s="311">
      <c r="A555" s="1" t="n"/>
      <c r="B555" s="1" t="n"/>
      <c r="C555" s="1" t="n"/>
      <c r="D555" s="1" t="n"/>
      <c r="E555" s="1" t="n"/>
      <c r="F555" s="1" t="n"/>
      <c r="G555" s="1" t="n"/>
      <c r="H555" s="1" t="n"/>
      <c r="I555" s="1" t="n"/>
      <c r="J555" s="1" t="n"/>
      <c r="K555" s="1" t="n"/>
      <c r="L555" s="1" t="n"/>
      <c r="M555" s="1" t="n"/>
      <c r="N555" s="1" t="n"/>
      <c r="O555" s="1" t="n"/>
    </row>
    <row r="556" ht="15.75" customHeight="1" s="311">
      <c r="A556" s="1" t="n"/>
      <c r="B556" s="1" t="n"/>
      <c r="C556" s="1" t="n"/>
      <c r="D556" s="1" t="n"/>
      <c r="E556" s="1" t="n"/>
      <c r="F556" s="1" t="n"/>
      <c r="G556" s="1" t="n"/>
      <c r="H556" s="1" t="n"/>
      <c r="I556" s="1" t="n"/>
      <c r="J556" s="1" t="n"/>
      <c r="K556" s="1" t="n"/>
      <c r="L556" s="1" t="n"/>
      <c r="M556" s="1" t="n"/>
      <c r="N556" s="1" t="n"/>
      <c r="O556" s="1" t="n"/>
    </row>
    <row r="557" ht="15.75" customHeight="1" s="311">
      <c r="A557" s="1" t="n"/>
      <c r="B557" s="1" t="n"/>
      <c r="C557" s="1" t="n"/>
      <c r="D557" s="1" t="n"/>
      <c r="E557" s="1" t="n"/>
      <c r="F557" s="1" t="n"/>
      <c r="G557" s="1" t="n"/>
      <c r="H557" s="1" t="n"/>
      <c r="I557" s="1" t="n"/>
      <c r="J557" s="1" t="n"/>
      <c r="K557" s="1" t="n"/>
      <c r="L557" s="1" t="n"/>
      <c r="M557" s="1" t="n"/>
      <c r="N557" s="1" t="n"/>
      <c r="O557" s="1" t="n"/>
    </row>
    <row r="558" ht="15.75" customHeight="1" s="311">
      <c r="A558" s="1" t="n"/>
      <c r="B558" s="1" t="n"/>
      <c r="C558" s="1" t="n"/>
      <c r="D558" s="1" t="n"/>
      <c r="E558" s="1" t="n"/>
      <c r="F558" s="1" t="n"/>
      <c r="G558" s="1" t="n"/>
      <c r="H558" s="1" t="n"/>
      <c r="I558" s="1" t="n"/>
      <c r="J558" s="1" t="n"/>
      <c r="K558" s="1" t="n"/>
      <c r="L558" s="1" t="n"/>
      <c r="M558" s="1" t="n"/>
      <c r="N558" s="1" t="n"/>
      <c r="O558" s="1" t="n"/>
    </row>
    <row r="559" ht="15.75" customHeight="1" s="311">
      <c r="A559" s="1" t="n"/>
      <c r="B559" s="1" t="n"/>
      <c r="C559" s="1" t="n"/>
      <c r="D559" s="1" t="n"/>
      <c r="E559" s="1" t="n"/>
      <c r="F559" s="1" t="n"/>
      <c r="G559" s="1" t="n"/>
      <c r="H559" s="1" t="n"/>
      <c r="I559" s="1" t="n"/>
      <c r="J559" s="1" t="n"/>
      <c r="K559" s="1" t="n"/>
      <c r="L559" s="1" t="n"/>
      <c r="M559" s="1" t="n"/>
      <c r="N559" s="1" t="n"/>
      <c r="O559" s="1" t="n"/>
    </row>
    <row r="560" ht="15.75" customHeight="1" s="311">
      <c r="A560" s="1" t="n"/>
      <c r="B560" s="1" t="n"/>
      <c r="C560" s="1" t="n"/>
      <c r="D560" s="1" t="n"/>
      <c r="E560" s="1" t="n"/>
      <c r="F560" s="1" t="n"/>
      <c r="G560" s="1" t="n"/>
      <c r="H560" s="1" t="n"/>
      <c r="I560" s="1" t="n"/>
      <c r="J560" s="1" t="n"/>
      <c r="K560" s="1" t="n"/>
      <c r="L560" s="1" t="n"/>
      <c r="M560" s="1" t="n"/>
      <c r="N560" s="1" t="n"/>
      <c r="O560" s="1" t="n"/>
    </row>
    <row r="561" ht="15.75" customHeight="1" s="311">
      <c r="A561" s="1" t="n"/>
      <c r="B561" s="1" t="n"/>
      <c r="C561" s="1" t="n"/>
      <c r="D561" s="1" t="n"/>
      <c r="E561" s="1" t="n"/>
      <c r="F561" s="1" t="n"/>
      <c r="G561" s="1" t="n"/>
      <c r="H561" s="1" t="n"/>
      <c r="I561" s="1" t="n"/>
      <c r="J561" s="1" t="n"/>
      <c r="K561" s="1" t="n"/>
      <c r="L561" s="1" t="n"/>
      <c r="M561" s="1" t="n"/>
      <c r="N561" s="1" t="n"/>
      <c r="O561" s="1" t="n"/>
    </row>
    <row r="562" ht="15.75" customHeight="1" s="311">
      <c r="A562" s="1" t="n"/>
      <c r="B562" s="1" t="n"/>
      <c r="C562" s="1" t="n"/>
      <c r="D562" s="1" t="n"/>
      <c r="E562" s="1" t="n"/>
      <c r="F562" s="1" t="n"/>
      <c r="G562" s="1" t="n"/>
      <c r="H562" s="1" t="n"/>
      <c r="I562" s="1" t="n"/>
      <c r="J562" s="1" t="n"/>
      <c r="K562" s="1" t="n"/>
      <c r="L562" s="1" t="n"/>
      <c r="M562" s="1" t="n"/>
      <c r="N562" s="1" t="n"/>
      <c r="O562" s="1" t="n"/>
    </row>
    <row r="563" ht="15.75" customHeight="1" s="311">
      <c r="A563" s="1" t="n"/>
      <c r="B563" s="1" t="n"/>
      <c r="C563" s="1" t="n"/>
      <c r="D563" s="1" t="n"/>
      <c r="E563" s="1" t="n"/>
      <c r="F563" s="1" t="n"/>
      <c r="G563" s="1" t="n"/>
      <c r="H563" s="1" t="n"/>
      <c r="I563" s="1" t="n"/>
      <c r="J563" s="1" t="n"/>
      <c r="K563" s="1" t="n"/>
      <c r="L563" s="1" t="n"/>
      <c r="M563" s="1" t="n"/>
      <c r="N563" s="1" t="n"/>
      <c r="O563" s="1" t="n"/>
    </row>
    <row r="564" ht="15.75" customHeight="1" s="311">
      <c r="A564" s="1" t="n"/>
      <c r="B564" s="1" t="n"/>
      <c r="C564" s="1" t="n"/>
      <c r="D564" s="1" t="n"/>
      <c r="E564" s="1" t="n"/>
      <c r="F564" s="1" t="n"/>
      <c r="G564" s="1" t="n"/>
      <c r="H564" s="1" t="n"/>
      <c r="I564" s="1" t="n"/>
      <c r="J564" s="1" t="n"/>
      <c r="K564" s="1" t="n"/>
      <c r="L564" s="1" t="n"/>
      <c r="M564" s="1" t="n"/>
      <c r="N564" s="1" t="n"/>
      <c r="O564" s="1" t="n"/>
    </row>
    <row r="565" ht="15.75" customHeight="1" s="311">
      <c r="A565" s="1" t="n"/>
      <c r="B565" s="1" t="n"/>
      <c r="C565" s="1" t="n"/>
      <c r="D565" s="1" t="n"/>
      <c r="E565" s="1" t="n"/>
      <c r="F565" s="1" t="n"/>
      <c r="G565" s="1" t="n"/>
      <c r="H565" s="1" t="n"/>
      <c r="I565" s="1" t="n"/>
      <c r="J565" s="1" t="n"/>
      <c r="K565" s="1" t="n"/>
      <c r="L565" s="1" t="n"/>
      <c r="M565" s="1" t="n"/>
      <c r="N565" s="1" t="n"/>
      <c r="O565" s="1" t="n"/>
    </row>
    <row r="566" ht="15.75" customHeight="1" s="311">
      <c r="A566" s="1" t="n"/>
      <c r="B566" s="1" t="n"/>
      <c r="C566" s="1" t="n"/>
      <c r="D566" s="1" t="n"/>
      <c r="E566" s="1" t="n"/>
      <c r="F566" s="1" t="n"/>
      <c r="G566" s="1" t="n"/>
      <c r="H566" s="1" t="n"/>
      <c r="I566" s="1" t="n"/>
      <c r="J566" s="1" t="n"/>
      <c r="K566" s="1" t="n"/>
      <c r="L566" s="1" t="n"/>
      <c r="M566" s="1" t="n"/>
      <c r="N566" s="1" t="n"/>
      <c r="O566" s="1" t="n"/>
    </row>
    <row r="567" ht="15.75" customHeight="1" s="311">
      <c r="A567" s="1" t="n"/>
      <c r="B567" s="1" t="n"/>
      <c r="C567" s="1" t="n"/>
      <c r="D567" s="1" t="n"/>
      <c r="E567" s="1" t="n"/>
      <c r="F567" s="1" t="n"/>
      <c r="G567" s="1" t="n"/>
      <c r="H567" s="1" t="n"/>
      <c r="I567" s="1" t="n"/>
      <c r="J567" s="1" t="n"/>
      <c r="K567" s="1" t="n"/>
      <c r="L567" s="1" t="n"/>
      <c r="M567" s="1" t="n"/>
      <c r="N567" s="1" t="n"/>
      <c r="O567" s="1" t="n"/>
    </row>
    <row r="568" ht="15.75" customHeight="1" s="311">
      <c r="A568" s="1" t="n"/>
      <c r="B568" s="1" t="n"/>
      <c r="C568" s="1" t="n"/>
      <c r="D568" s="1" t="n"/>
      <c r="E568" s="1" t="n"/>
      <c r="F568" s="1" t="n"/>
      <c r="G568" s="1" t="n"/>
      <c r="H568" s="1" t="n"/>
      <c r="I568" s="1" t="n"/>
      <c r="J568" s="1" t="n"/>
      <c r="K568" s="1" t="n"/>
      <c r="L568" s="1" t="n"/>
      <c r="M568" s="1" t="n"/>
      <c r="N568" s="1" t="n"/>
      <c r="O568" s="1" t="n"/>
    </row>
    <row r="569" ht="15.75" customHeight="1" s="311">
      <c r="A569" s="1" t="n"/>
      <c r="B569" s="1" t="n"/>
      <c r="C569" s="1" t="n"/>
      <c r="D569" s="1" t="n"/>
      <c r="E569" s="1" t="n"/>
      <c r="F569" s="1" t="n"/>
      <c r="G569" s="1" t="n"/>
      <c r="H569" s="1" t="n"/>
      <c r="I569" s="1" t="n"/>
      <c r="J569" s="1" t="n"/>
      <c r="K569" s="1" t="n"/>
      <c r="L569" s="1" t="n"/>
      <c r="M569" s="1" t="n"/>
      <c r="N569" s="1" t="n"/>
      <c r="O569" s="1" t="n"/>
    </row>
    <row r="570" ht="15.75" customHeight="1" s="311">
      <c r="A570" s="1" t="n"/>
      <c r="B570" s="1" t="n"/>
      <c r="C570" s="1" t="n"/>
      <c r="D570" s="1" t="n"/>
      <c r="E570" s="1" t="n"/>
      <c r="F570" s="1" t="n"/>
      <c r="G570" s="1" t="n"/>
      <c r="H570" s="1" t="n"/>
      <c r="I570" s="1" t="n"/>
      <c r="J570" s="1" t="n"/>
      <c r="K570" s="1" t="n"/>
      <c r="L570" s="1" t="n"/>
      <c r="M570" s="1" t="n"/>
      <c r="N570" s="1" t="n"/>
      <c r="O570" s="1" t="n"/>
    </row>
    <row r="571" ht="15.75" customHeight="1" s="311">
      <c r="A571" s="1" t="n"/>
      <c r="B571" s="1" t="n"/>
      <c r="C571" s="1" t="n"/>
      <c r="D571" s="1" t="n"/>
      <c r="E571" s="1" t="n"/>
      <c r="F571" s="1" t="n"/>
      <c r="G571" s="1" t="n"/>
      <c r="H571" s="1" t="n"/>
      <c r="I571" s="1" t="n"/>
      <c r="J571" s="1" t="n"/>
      <c r="K571" s="1" t="n"/>
      <c r="L571" s="1" t="n"/>
      <c r="M571" s="1" t="n"/>
      <c r="N571" s="1" t="n"/>
      <c r="O571" s="1" t="n"/>
    </row>
    <row r="572" ht="15.75" customHeight="1" s="311">
      <c r="A572" s="1" t="n"/>
      <c r="B572" s="1" t="n"/>
      <c r="C572" s="1" t="n"/>
      <c r="D572" s="1" t="n"/>
      <c r="E572" s="1" t="n"/>
      <c r="F572" s="1" t="n"/>
      <c r="G572" s="1" t="n"/>
      <c r="H572" s="1" t="n"/>
      <c r="I572" s="1" t="n"/>
      <c r="J572" s="1" t="n"/>
      <c r="K572" s="1" t="n"/>
      <c r="L572" s="1" t="n"/>
      <c r="M572" s="1" t="n"/>
      <c r="N572" s="1" t="n"/>
      <c r="O572" s="1" t="n"/>
    </row>
    <row r="573" ht="15.75" customHeight="1" s="311">
      <c r="A573" s="1" t="n"/>
      <c r="B573" s="1" t="n"/>
      <c r="C573" s="1" t="n"/>
      <c r="D573" s="1" t="n"/>
      <c r="E573" s="1" t="n"/>
      <c r="F573" s="1" t="n"/>
      <c r="G573" s="1" t="n"/>
      <c r="H573" s="1" t="n"/>
      <c r="I573" s="1" t="n"/>
      <c r="J573" s="1" t="n"/>
      <c r="K573" s="1" t="n"/>
      <c r="L573" s="1" t="n"/>
      <c r="M573" s="1" t="n"/>
      <c r="N573" s="1" t="n"/>
      <c r="O573" s="1" t="n"/>
    </row>
    <row r="574" ht="15.75" customHeight="1" s="311">
      <c r="A574" s="1" t="n"/>
      <c r="B574" s="1" t="n"/>
      <c r="C574" s="1" t="n"/>
      <c r="D574" s="1" t="n"/>
      <c r="E574" s="1" t="n"/>
      <c r="F574" s="1" t="n"/>
      <c r="G574" s="1" t="n"/>
      <c r="H574" s="1" t="n"/>
      <c r="I574" s="1" t="n"/>
      <c r="J574" s="1" t="n"/>
      <c r="K574" s="1" t="n"/>
      <c r="L574" s="1" t="n"/>
      <c r="M574" s="1" t="n"/>
      <c r="N574" s="1" t="n"/>
      <c r="O574" s="1" t="n"/>
    </row>
    <row r="575" ht="15.75" customHeight="1" s="311">
      <c r="A575" s="1" t="n"/>
      <c r="B575" s="1" t="n"/>
      <c r="C575" s="1" t="n"/>
      <c r="D575" s="1" t="n"/>
      <c r="E575" s="1" t="n"/>
      <c r="F575" s="1" t="n"/>
      <c r="G575" s="1" t="n"/>
      <c r="H575" s="1" t="n"/>
      <c r="I575" s="1" t="n"/>
      <c r="J575" s="1" t="n"/>
      <c r="K575" s="1" t="n"/>
      <c r="L575" s="1" t="n"/>
      <c r="M575" s="1" t="n"/>
      <c r="N575" s="1" t="n"/>
      <c r="O575" s="1" t="n"/>
    </row>
    <row r="576" ht="15.75" customHeight="1" s="311">
      <c r="A576" s="1" t="n"/>
      <c r="B576" s="1" t="n"/>
      <c r="C576" s="1" t="n"/>
      <c r="D576" s="1" t="n"/>
      <c r="E576" s="1" t="n"/>
      <c r="F576" s="1" t="n"/>
      <c r="G576" s="1" t="n"/>
      <c r="H576" s="1" t="n"/>
      <c r="I576" s="1" t="n"/>
      <c r="J576" s="1" t="n"/>
      <c r="K576" s="1" t="n"/>
      <c r="L576" s="1" t="n"/>
      <c r="M576" s="1" t="n"/>
      <c r="N576" s="1" t="n"/>
      <c r="O576" s="1" t="n"/>
    </row>
    <row r="577" ht="15.75" customHeight="1" s="311">
      <c r="A577" s="1" t="n"/>
      <c r="B577" s="1" t="n"/>
      <c r="C577" s="1" t="n"/>
      <c r="D577" s="1" t="n"/>
      <c r="E577" s="1" t="n"/>
      <c r="F577" s="1" t="n"/>
      <c r="G577" s="1" t="n"/>
      <c r="H577" s="1" t="n"/>
      <c r="I577" s="1" t="n"/>
      <c r="J577" s="1" t="n"/>
      <c r="K577" s="1" t="n"/>
      <c r="L577" s="1" t="n"/>
      <c r="M577" s="1" t="n"/>
      <c r="N577" s="1" t="n"/>
      <c r="O577" s="1" t="n"/>
    </row>
    <row r="578" ht="15.75" customHeight="1" s="311">
      <c r="A578" s="1" t="n"/>
      <c r="B578" s="1" t="n"/>
      <c r="C578" s="1" t="n"/>
      <c r="D578" s="1" t="n"/>
      <c r="E578" s="1" t="n"/>
      <c r="F578" s="1" t="n"/>
      <c r="G578" s="1" t="n"/>
      <c r="H578" s="1" t="n"/>
      <c r="I578" s="1" t="n"/>
      <c r="J578" s="1" t="n"/>
      <c r="K578" s="1" t="n"/>
      <c r="L578" s="1" t="n"/>
      <c r="M578" s="1" t="n"/>
      <c r="N578" s="1" t="n"/>
      <c r="O578" s="1" t="n"/>
    </row>
    <row r="579" ht="15.75" customHeight="1" s="311">
      <c r="A579" s="1" t="n"/>
      <c r="B579" s="1" t="n"/>
      <c r="C579" s="1" t="n"/>
      <c r="D579" s="1" t="n"/>
      <c r="E579" s="1" t="n"/>
      <c r="F579" s="1" t="n"/>
      <c r="G579" s="1" t="n"/>
      <c r="H579" s="1" t="n"/>
      <c r="I579" s="1" t="n"/>
      <c r="J579" s="1" t="n"/>
      <c r="K579" s="1" t="n"/>
      <c r="L579" s="1" t="n"/>
      <c r="M579" s="1" t="n"/>
      <c r="N579" s="1" t="n"/>
      <c r="O579" s="1" t="n"/>
    </row>
    <row r="580" ht="15.75" customHeight="1" s="311">
      <c r="A580" s="1" t="n"/>
      <c r="B580" s="1" t="n"/>
      <c r="C580" s="1" t="n"/>
      <c r="D580" s="1" t="n"/>
      <c r="E580" s="1" t="n"/>
      <c r="F580" s="1" t="n"/>
      <c r="G580" s="1" t="n"/>
      <c r="H580" s="1" t="n"/>
      <c r="I580" s="1" t="n"/>
      <c r="J580" s="1" t="n"/>
      <c r="K580" s="1" t="n"/>
      <c r="L580" s="1" t="n"/>
      <c r="M580" s="1" t="n"/>
      <c r="N580" s="1" t="n"/>
      <c r="O580" s="1" t="n"/>
    </row>
    <row r="581" ht="15.75" customHeight="1" s="311">
      <c r="A581" s="1" t="n"/>
      <c r="B581" s="1" t="n"/>
      <c r="C581" s="1" t="n"/>
      <c r="D581" s="1" t="n"/>
      <c r="E581" s="1" t="n"/>
      <c r="F581" s="1" t="n"/>
      <c r="G581" s="1" t="n"/>
      <c r="H581" s="1" t="n"/>
      <c r="I581" s="1" t="n"/>
      <c r="J581" s="1" t="n"/>
      <c r="K581" s="1" t="n"/>
      <c r="L581" s="1" t="n"/>
      <c r="M581" s="1" t="n"/>
      <c r="N581" s="1" t="n"/>
      <c r="O581" s="1" t="n"/>
    </row>
    <row r="582" ht="15.75" customHeight="1" s="311">
      <c r="A582" s="1" t="n"/>
      <c r="B582" s="1" t="n"/>
      <c r="C582" s="1" t="n"/>
      <c r="D582" s="1" t="n"/>
      <c r="E582" s="1" t="n"/>
      <c r="F582" s="1" t="n"/>
      <c r="G582" s="1" t="n"/>
      <c r="H582" s="1" t="n"/>
      <c r="I582" s="1" t="n"/>
      <c r="J582" s="1" t="n"/>
      <c r="K582" s="1" t="n"/>
      <c r="L582" s="1" t="n"/>
      <c r="M582" s="1" t="n"/>
      <c r="N582" s="1" t="n"/>
      <c r="O582" s="1" t="n"/>
    </row>
    <row r="583" ht="15.75" customHeight="1" s="311">
      <c r="A583" s="1" t="n"/>
      <c r="B583" s="1" t="n"/>
      <c r="C583" s="1" t="n"/>
      <c r="D583" s="1" t="n"/>
      <c r="E583" s="1" t="n"/>
      <c r="F583" s="1" t="n"/>
      <c r="G583" s="1" t="n"/>
      <c r="H583" s="1" t="n"/>
      <c r="I583" s="1" t="n"/>
      <c r="J583" s="1" t="n"/>
      <c r="K583" s="1" t="n"/>
      <c r="L583" s="1" t="n"/>
      <c r="M583" s="1" t="n"/>
      <c r="N583" s="1" t="n"/>
      <c r="O583" s="1" t="n"/>
    </row>
    <row r="584" ht="15.75" customHeight="1" s="311">
      <c r="A584" s="1" t="n"/>
      <c r="B584" s="1" t="n"/>
      <c r="C584" s="1" t="n"/>
      <c r="D584" s="1" t="n"/>
      <c r="E584" s="1" t="n"/>
      <c r="F584" s="1" t="n"/>
      <c r="G584" s="1" t="n"/>
      <c r="H584" s="1" t="n"/>
      <c r="I584" s="1" t="n"/>
      <c r="J584" s="1" t="n"/>
      <c r="K584" s="1" t="n"/>
      <c r="L584" s="1" t="n"/>
      <c r="M584" s="1" t="n"/>
      <c r="N584" s="1" t="n"/>
      <c r="O584" s="1" t="n"/>
    </row>
    <row r="585" ht="15.75" customHeight="1" s="311">
      <c r="A585" s="1" t="n"/>
      <c r="B585" s="1" t="n"/>
      <c r="C585" s="1" t="n"/>
      <c r="D585" s="1" t="n"/>
      <c r="E585" s="1" t="n"/>
      <c r="F585" s="1" t="n"/>
      <c r="G585" s="1" t="n"/>
      <c r="H585" s="1" t="n"/>
      <c r="I585" s="1" t="n"/>
      <c r="J585" s="1" t="n"/>
      <c r="K585" s="1" t="n"/>
      <c r="L585" s="1" t="n"/>
      <c r="M585" s="1" t="n"/>
      <c r="N585" s="1" t="n"/>
      <c r="O585" s="1" t="n"/>
    </row>
    <row r="586" ht="15.75" customHeight="1" s="311">
      <c r="A586" s="1" t="n"/>
      <c r="B586" s="1" t="n"/>
      <c r="C586" s="1" t="n"/>
      <c r="D586" s="1" t="n"/>
      <c r="E586" s="1" t="n"/>
      <c r="F586" s="1" t="n"/>
      <c r="G586" s="1" t="n"/>
      <c r="H586" s="1" t="n"/>
      <c r="I586" s="1" t="n"/>
      <c r="J586" s="1" t="n"/>
      <c r="K586" s="1" t="n"/>
      <c r="L586" s="1" t="n"/>
      <c r="M586" s="1" t="n"/>
      <c r="N586" s="1" t="n"/>
      <c r="O586" s="1" t="n"/>
    </row>
    <row r="587" ht="15.75" customHeight="1" s="311">
      <c r="A587" s="1" t="n"/>
      <c r="B587" s="1" t="n"/>
      <c r="C587" s="1" t="n"/>
      <c r="D587" s="1" t="n"/>
      <c r="E587" s="1" t="n"/>
      <c r="F587" s="1" t="n"/>
      <c r="G587" s="1" t="n"/>
      <c r="H587" s="1" t="n"/>
      <c r="I587" s="1" t="n"/>
      <c r="J587" s="1" t="n"/>
      <c r="K587" s="1" t="n"/>
      <c r="L587" s="1" t="n"/>
      <c r="M587" s="1" t="n"/>
      <c r="N587" s="1" t="n"/>
      <c r="O587" s="1" t="n"/>
    </row>
    <row r="588" ht="15.75" customHeight="1" s="311">
      <c r="A588" s="1" t="n"/>
      <c r="B588" s="1" t="n"/>
      <c r="C588" s="1" t="n"/>
      <c r="D588" s="1" t="n"/>
      <c r="E588" s="1" t="n"/>
      <c r="F588" s="1" t="n"/>
      <c r="G588" s="1" t="n"/>
      <c r="H588" s="1" t="n"/>
      <c r="I588" s="1" t="n"/>
      <c r="J588" s="1" t="n"/>
      <c r="K588" s="1" t="n"/>
      <c r="L588" s="1" t="n"/>
      <c r="M588" s="1" t="n"/>
      <c r="N588" s="1" t="n"/>
      <c r="O588" s="1" t="n"/>
    </row>
    <row r="589" ht="15.75" customHeight="1" s="311">
      <c r="A589" s="1" t="n"/>
      <c r="B589" s="1" t="n"/>
      <c r="C589" s="1" t="n"/>
      <c r="D589" s="1" t="n"/>
      <c r="E589" s="1" t="n"/>
      <c r="F589" s="1" t="n"/>
      <c r="G589" s="1" t="n"/>
      <c r="H589" s="1" t="n"/>
      <c r="I589" s="1" t="n"/>
      <c r="J589" s="1" t="n"/>
      <c r="K589" s="1" t="n"/>
      <c r="L589" s="1" t="n"/>
      <c r="M589" s="1" t="n"/>
      <c r="N589" s="1" t="n"/>
      <c r="O589" s="1" t="n"/>
    </row>
    <row r="590" ht="15.75" customHeight="1" s="311">
      <c r="A590" s="1" t="n"/>
      <c r="B590" s="1" t="n"/>
      <c r="C590" s="1" t="n"/>
      <c r="D590" s="1" t="n"/>
      <c r="E590" s="1" t="n"/>
      <c r="F590" s="1" t="n"/>
      <c r="G590" s="1" t="n"/>
      <c r="H590" s="1" t="n"/>
      <c r="I590" s="1" t="n"/>
      <c r="J590" s="1" t="n"/>
      <c r="K590" s="1" t="n"/>
      <c r="L590" s="1" t="n"/>
      <c r="M590" s="1" t="n"/>
      <c r="N590" s="1" t="n"/>
      <c r="O590" s="1" t="n"/>
    </row>
    <row r="591" ht="15.75" customHeight="1" s="311">
      <c r="A591" s="1" t="n"/>
      <c r="B591" s="1" t="n"/>
      <c r="C591" s="1" t="n"/>
      <c r="D591" s="1" t="n"/>
      <c r="E591" s="1" t="n"/>
      <c r="F591" s="1" t="n"/>
      <c r="G591" s="1" t="n"/>
      <c r="H591" s="1" t="n"/>
      <c r="I591" s="1" t="n"/>
      <c r="J591" s="1" t="n"/>
      <c r="K591" s="1" t="n"/>
      <c r="L591" s="1" t="n"/>
      <c r="M591" s="1" t="n"/>
      <c r="N591" s="1" t="n"/>
      <c r="O591" s="1" t="n"/>
    </row>
    <row r="592" ht="15.75" customHeight="1" s="311">
      <c r="A592" s="1" t="n"/>
      <c r="B592" s="1" t="n"/>
      <c r="C592" s="1" t="n"/>
      <c r="D592" s="1" t="n"/>
      <c r="E592" s="1" t="n"/>
      <c r="F592" s="1" t="n"/>
      <c r="G592" s="1" t="n"/>
      <c r="H592" s="1" t="n"/>
      <c r="I592" s="1" t="n"/>
      <c r="J592" s="1" t="n"/>
      <c r="K592" s="1" t="n"/>
      <c r="L592" s="1" t="n"/>
      <c r="M592" s="1" t="n"/>
      <c r="N592" s="1" t="n"/>
      <c r="O592" s="1" t="n"/>
    </row>
    <row r="593" ht="15.75" customHeight="1" s="311">
      <c r="A593" s="1" t="n"/>
      <c r="B593" s="1" t="n"/>
      <c r="C593" s="1" t="n"/>
      <c r="D593" s="1" t="n"/>
      <c r="E593" s="1" t="n"/>
      <c r="F593" s="1" t="n"/>
      <c r="G593" s="1" t="n"/>
      <c r="H593" s="1" t="n"/>
      <c r="I593" s="1" t="n"/>
      <c r="J593" s="1" t="n"/>
      <c r="K593" s="1" t="n"/>
      <c r="L593" s="1" t="n"/>
      <c r="M593" s="1" t="n"/>
      <c r="N593" s="1" t="n"/>
      <c r="O593" s="1" t="n"/>
    </row>
    <row r="594" ht="15.75" customHeight="1" s="311">
      <c r="A594" s="1" t="n"/>
      <c r="B594" s="1" t="n"/>
      <c r="C594" s="1" t="n"/>
      <c r="D594" s="1" t="n"/>
      <c r="E594" s="1" t="n"/>
      <c r="F594" s="1" t="n"/>
      <c r="G594" s="1" t="n"/>
      <c r="H594" s="1" t="n"/>
      <c r="I594" s="1" t="n"/>
      <c r="J594" s="1" t="n"/>
      <c r="K594" s="1" t="n"/>
      <c r="L594" s="1" t="n"/>
      <c r="M594" s="1" t="n"/>
      <c r="N594" s="1" t="n"/>
      <c r="O594" s="1" t="n"/>
    </row>
    <row r="595" ht="15.75" customHeight="1" s="311">
      <c r="A595" s="1" t="n"/>
      <c r="B595" s="1" t="n"/>
      <c r="C595" s="1" t="n"/>
      <c r="D595" s="1" t="n"/>
      <c r="E595" s="1" t="n"/>
      <c r="F595" s="1" t="n"/>
      <c r="G595" s="1" t="n"/>
      <c r="H595" s="1" t="n"/>
      <c r="I595" s="1" t="n"/>
      <c r="J595" s="1" t="n"/>
      <c r="K595" s="1" t="n"/>
      <c r="L595" s="1" t="n"/>
      <c r="M595" s="1" t="n"/>
      <c r="N595" s="1" t="n"/>
      <c r="O595" s="1" t="n"/>
    </row>
    <row r="596" ht="15.75" customHeight="1" s="311">
      <c r="A596" s="1" t="n"/>
      <c r="B596" s="1" t="n"/>
      <c r="C596" s="1" t="n"/>
      <c r="D596" s="1" t="n"/>
      <c r="E596" s="1" t="n"/>
      <c r="F596" s="1" t="n"/>
      <c r="G596" s="1" t="n"/>
      <c r="H596" s="1" t="n"/>
      <c r="I596" s="1" t="n"/>
      <c r="J596" s="1" t="n"/>
      <c r="K596" s="1" t="n"/>
      <c r="L596" s="1" t="n"/>
      <c r="M596" s="1" t="n"/>
      <c r="N596" s="1" t="n"/>
      <c r="O596" s="1" t="n"/>
    </row>
    <row r="597" ht="15.75" customHeight="1" s="311">
      <c r="A597" s="1" t="n"/>
      <c r="B597" s="1" t="n"/>
      <c r="C597" s="1" t="n"/>
      <c r="D597" s="1" t="n"/>
      <c r="E597" s="1" t="n"/>
      <c r="F597" s="1" t="n"/>
      <c r="G597" s="1" t="n"/>
      <c r="H597" s="1" t="n"/>
      <c r="I597" s="1" t="n"/>
      <c r="J597" s="1" t="n"/>
      <c r="K597" s="1" t="n"/>
      <c r="L597" s="1" t="n"/>
      <c r="M597" s="1" t="n"/>
      <c r="N597" s="1" t="n"/>
      <c r="O597" s="1" t="n"/>
    </row>
    <row r="598" ht="15.75" customHeight="1" s="311">
      <c r="A598" s="1" t="n"/>
      <c r="B598" s="1" t="n"/>
      <c r="C598" s="1" t="n"/>
      <c r="D598" s="1" t="n"/>
      <c r="E598" s="1" t="n"/>
      <c r="F598" s="1" t="n"/>
      <c r="G598" s="1" t="n"/>
      <c r="H598" s="1" t="n"/>
      <c r="I598" s="1" t="n"/>
      <c r="J598" s="1" t="n"/>
      <c r="K598" s="1" t="n"/>
      <c r="L598" s="1" t="n"/>
      <c r="M598" s="1" t="n"/>
      <c r="N598" s="1" t="n"/>
      <c r="O598" s="1" t="n"/>
    </row>
    <row r="599" ht="15.75" customHeight="1" s="311">
      <c r="A599" s="1" t="n"/>
      <c r="B599" s="1" t="n"/>
      <c r="C599" s="1" t="n"/>
      <c r="D599" s="1" t="n"/>
      <c r="E599" s="1" t="n"/>
      <c r="F599" s="1" t="n"/>
      <c r="G599" s="1" t="n"/>
      <c r="H599" s="1" t="n"/>
      <c r="I599" s="1" t="n"/>
      <c r="J599" s="1" t="n"/>
      <c r="K599" s="1" t="n"/>
      <c r="L599" s="1" t="n"/>
      <c r="M599" s="1" t="n"/>
      <c r="N599" s="1" t="n"/>
      <c r="O599" s="1" t="n"/>
    </row>
    <row r="600" ht="15.75" customHeight="1" s="311">
      <c r="A600" s="1" t="n"/>
      <c r="B600" s="1" t="n"/>
      <c r="C600" s="1" t="n"/>
      <c r="D600" s="1" t="n"/>
      <c r="E600" s="1" t="n"/>
      <c r="F600" s="1" t="n"/>
      <c r="G600" s="1" t="n"/>
      <c r="H600" s="1" t="n"/>
      <c r="I600" s="1" t="n"/>
      <c r="J600" s="1" t="n"/>
      <c r="K600" s="1" t="n"/>
      <c r="L600" s="1" t="n"/>
      <c r="M600" s="1" t="n"/>
      <c r="N600" s="1" t="n"/>
      <c r="O600" s="1" t="n"/>
    </row>
    <row r="601" ht="15.75" customHeight="1" s="311">
      <c r="A601" s="1" t="n"/>
      <c r="B601" s="1" t="n"/>
      <c r="C601" s="1" t="n"/>
      <c r="D601" s="1" t="n"/>
      <c r="E601" s="1" t="n"/>
      <c r="F601" s="1" t="n"/>
      <c r="G601" s="1" t="n"/>
      <c r="H601" s="1" t="n"/>
      <c r="I601" s="1" t="n"/>
      <c r="J601" s="1" t="n"/>
      <c r="K601" s="1" t="n"/>
      <c r="L601" s="1" t="n"/>
      <c r="M601" s="1" t="n"/>
      <c r="N601" s="1" t="n"/>
      <c r="O601" s="1" t="n"/>
    </row>
    <row r="602" ht="15.75" customHeight="1" s="311">
      <c r="A602" s="1" t="n"/>
      <c r="B602" s="1" t="n"/>
      <c r="C602" s="1" t="n"/>
      <c r="D602" s="1" t="n"/>
      <c r="E602" s="1" t="n"/>
      <c r="F602" s="1" t="n"/>
      <c r="G602" s="1" t="n"/>
      <c r="H602" s="1" t="n"/>
      <c r="I602" s="1" t="n"/>
      <c r="J602" s="1" t="n"/>
      <c r="K602" s="1" t="n"/>
      <c r="L602" s="1" t="n"/>
      <c r="M602" s="1" t="n"/>
      <c r="N602" s="1" t="n"/>
      <c r="O602" s="1" t="n"/>
    </row>
    <row r="603" ht="15.75" customHeight="1" s="311">
      <c r="A603" s="1" t="n"/>
      <c r="B603" s="1" t="n"/>
      <c r="C603" s="1" t="n"/>
      <c r="D603" s="1" t="n"/>
      <c r="E603" s="1" t="n"/>
      <c r="F603" s="1" t="n"/>
      <c r="G603" s="1" t="n"/>
      <c r="H603" s="1" t="n"/>
      <c r="I603" s="1" t="n"/>
      <c r="J603" s="1" t="n"/>
      <c r="K603" s="1" t="n"/>
      <c r="L603" s="1" t="n"/>
      <c r="M603" s="1" t="n"/>
      <c r="N603" s="1" t="n"/>
      <c r="O603" s="1" t="n"/>
    </row>
    <row r="604" ht="15.75" customHeight="1" s="311">
      <c r="A604" s="1" t="n"/>
      <c r="B604" s="1" t="n"/>
      <c r="C604" s="1" t="n"/>
      <c r="D604" s="1" t="n"/>
      <c r="E604" s="1" t="n"/>
      <c r="F604" s="1" t="n"/>
      <c r="G604" s="1" t="n"/>
      <c r="H604" s="1" t="n"/>
      <c r="I604" s="1" t="n"/>
      <c r="J604" s="1" t="n"/>
      <c r="K604" s="1" t="n"/>
      <c r="L604" s="1" t="n"/>
      <c r="M604" s="1" t="n"/>
      <c r="N604" s="1" t="n"/>
      <c r="O604" s="1" t="n"/>
    </row>
    <row r="605" ht="15.75" customHeight="1" s="311">
      <c r="A605" s="1" t="n"/>
      <c r="B605" s="1" t="n"/>
      <c r="C605" s="1" t="n"/>
      <c r="D605" s="1" t="n"/>
      <c r="E605" s="1" t="n"/>
      <c r="F605" s="1" t="n"/>
      <c r="G605" s="1" t="n"/>
      <c r="H605" s="1" t="n"/>
      <c r="I605" s="1" t="n"/>
      <c r="J605" s="1" t="n"/>
      <c r="K605" s="1" t="n"/>
      <c r="L605" s="1" t="n"/>
      <c r="M605" s="1" t="n"/>
      <c r="N605" s="1" t="n"/>
      <c r="O605" s="1" t="n"/>
    </row>
    <row r="606" ht="15.75" customHeight="1" s="311">
      <c r="A606" s="1" t="n"/>
      <c r="B606" s="1" t="n"/>
      <c r="C606" s="1" t="n"/>
      <c r="D606" s="1" t="n"/>
      <c r="E606" s="1" t="n"/>
      <c r="F606" s="1" t="n"/>
      <c r="G606" s="1" t="n"/>
      <c r="H606" s="1" t="n"/>
      <c r="I606" s="1" t="n"/>
      <c r="J606" s="1" t="n"/>
      <c r="K606" s="1" t="n"/>
      <c r="L606" s="1" t="n"/>
      <c r="M606" s="1" t="n"/>
      <c r="N606" s="1" t="n"/>
      <c r="O606" s="1" t="n"/>
    </row>
    <row r="607" ht="15.75" customHeight="1" s="311">
      <c r="A607" s="1" t="n"/>
      <c r="B607" s="1" t="n"/>
      <c r="C607" s="1" t="n"/>
      <c r="D607" s="1" t="n"/>
      <c r="E607" s="1" t="n"/>
      <c r="F607" s="1" t="n"/>
      <c r="G607" s="1" t="n"/>
      <c r="H607" s="1" t="n"/>
      <c r="I607" s="1" t="n"/>
      <c r="J607" s="1" t="n"/>
      <c r="K607" s="1" t="n"/>
      <c r="L607" s="1" t="n"/>
      <c r="M607" s="1" t="n"/>
      <c r="N607" s="1" t="n"/>
      <c r="O607" s="1" t="n"/>
    </row>
    <row r="608" ht="15.75" customHeight="1" s="311">
      <c r="A608" s="1" t="n"/>
      <c r="B608" s="1" t="n"/>
      <c r="C608" s="1" t="n"/>
      <c r="D608" s="1" t="n"/>
      <c r="E608" s="1" t="n"/>
      <c r="F608" s="1" t="n"/>
      <c r="G608" s="1" t="n"/>
      <c r="H608" s="1" t="n"/>
      <c r="I608" s="1" t="n"/>
      <c r="J608" s="1" t="n"/>
      <c r="K608" s="1" t="n"/>
      <c r="L608" s="1" t="n"/>
      <c r="M608" s="1" t="n"/>
      <c r="N608" s="1" t="n"/>
      <c r="O608" s="1" t="n"/>
    </row>
    <row r="609" ht="15.75" customHeight="1" s="311">
      <c r="A609" s="1" t="n"/>
      <c r="B609" s="1" t="n"/>
      <c r="C609" s="1" t="n"/>
      <c r="D609" s="1" t="n"/>
      <c r="E609" s="1" t="n"/>
      <c r="F609" s="1" t="n"/>
      <c r="G609" s="1" t="n"/>
      <c r="H609" s="1" t="n"/>
      <c r="I609" s="1" t="n"/>
      <c r="J609" s="1" t="n"/>
      <c r="K609" s="1" t="n"/>
      <c r="L609" s="1" t="n"/>
      <c r="M609" s="1" t="n"/>
      <c r="N609" s="1" t="n"/>
      <c r="O609" s="1" t="n"/>
    </row>
    <row r="610" ht="15.75" customHeight="1" s="311">
      <c r="A610" s="1" t="n"/>
      <c r="B610" s="1" t="n"/>
      <c r="C610" s="1" t="n"/>
      <c r="D610" s="1" t="n"/>
      <c r="E610" s="1" t="n"/>
      <c r="F610" s="1" t="n"/>
      <c r="G610" s="1" t="n"/>
      <c r="H610" s="1" t="n"/>
      <c r="I610" s="1" t="n"/>
      <c r="J610" s="1" t="n"/>
      <c r="K610" s="1" t="n"/>
      <c r="L610" s="1" t="n"/>
      <c r="M610" s="1" t="n"/>
      <c r="N610" s="1" t="n"/>
      <c r="O610" s="1" t="n"/>
    </row>
    <row r="611" ht="15.75" customHeight="1" s="311">
      <c r="A611" s="1" t="n"/>
      <c r="B611" s="1" t="n"/>
      <c r="C611" s="1" t="n"/>
      <c r="D611" s="1" t="n"/>
      <c r="E611" s="1" t="n"/>
      <c r="F611" s="1" t="n"/>
      <c r="G611" s="1" t="n"/>
      <c r="H611" s="1" t="n"/>
      <c r="I611" s="1" t="n"/>
      <c r="J611" s="1" t="n"/>
      <c r="K611" s="1" t="n"/>
      <c r="L611" s="1" t="n"/>
      <c r="M611" s="1" t="n"/>
      <c r="N611" s="1" t="n"/>
      <c r="O611" s="1" t="n"/>
    </row>
    <row r="612" ht="15.75" customHeight="1" s="311">
      <c r="A612" s="1" t="n"/>
      <c r="B612" s="1" t="n"/>
      <c r="C612" s="1" t="n"/>
      <c r="D612" s="1" t="n"/>
      <c r="E612" s="1" t="n"/>
      <c r="F612" s="1" t="n"/>
      <c r="G612" s="1" t="n"/>
      <c r="H612" s="1" t="n"/>
      <c r="I612" s="1" t="n"/>
      <c r="J612" s="1" t="n"/>
      <c r="K612" s="1" t="n"/>
      <c r="L612" s="1" t="n"/>
      <c r="M612" s="1" t="n"/>
      <c r="N612" s="1" t="n"/>
      <c r="O612" s="1" t="n"/>
    </row>
    <row r="613" ht="15.75" customHeight="1" s="311">
      <c r="A613" s="1" t="n"/>
      <c r="B613" s="1" t="n"/>
      <c r="C613" s="1" t="n"/>
      <c r="D613" s="1" t="n"/>
      <c r="E613" s="1" t="n"/>
      <c r="F613" s="1" t="n"/>
      <c r="G613" s="1" t="n"/>
      <c r="H613" s="1" t="n"/>
      <c r="I613" s="1" t="n"/>
      <c r="J613" s="1" t="n"/>
      <c r="K613" s="1" t="n"/>
      <c r="L613" s="1" t="n"/>
      <c r="M613" s="1" t="n"/>
      <c r="N613" s="1" t="n"/>
      <c r="O613" s="1" t="n"/>
    </row>
    <row r="614" ht="15.75" customHeight="1" s="311">
      <c r="A614" s="1" t="n"/>
      <c r="B614" s="1" t="n"/>
      <c r="C614" s="1" t="n"/>
      <c r="D614" s="1" t="n"/>
      <c r="E614" s="1" t="n"/>
      <c r="F614" s="1" t="n"/>
      <c r="G614" s="1" t="n"/>
      <c r="H614" s="1" t="n"/>
      <c r="I614" s="1" t="n"/>
      <c r="J614" s="1" t="n"/>
      <c r="K614" s="1" t="n"/>
      <c r="L614" s="1" t="n"/>
      <c r="M614" s="1" t="n"/>
      <c r="N614" s="1" t="n"/>
      <c r="O614" s="1" t="n"/>
    </row>
    <row r="615" ht="15.75" customHeight="1" s="311">
      <c r="A615" s="1" t="n"/>
      <c r="B615" s="1" t="n"/>
      <c r="C615" s="1" t="n"/>
      <c r="D615" s="1" t="n"/>
      <c r="E615" s="1" t="n"/>
      <c r="F615" s="1" t="n"/>
      <c r="G615" s="1" t="n"/>
      <c r="H615" s="1" t="n"/>
      <c r="I615" s="1" t="n"/>
      <c r="J615" s="1" t="n"/>
      <c r="K615" s="1" t="n"/>
      <c r="L615" s="1" t="n"/>
      <c r="M615" s="1" t="n"/>
      <c r="N615" s="1" t="n"/>
      <c r="O615" s="1" t="n"/>
    </row>
    <row r="616" ht="15.75" customHeight="1" s="311">
      <c r="A616" s="1" t="n"/>
      <c r="B616" s="1" t="n"/>
      <c r="C616" s="1" t="n"/>
      <c r="D616" s="1" t="n"/>
      <c r="E616" s="1" t="n"/>
      <c r="F616" s="1" t="n"/>
      <c r="G616" s="1" t="n"/>
      <c r="H616" s="1" t="n"/>
      <c r="I616" s="1" t="n"/>
      <c r="J616" s="1" t="n"/>
      <c r="K616" s="1" t="n"/>
      <c r="L616" s="1" t="n"/>
      <c r="M616" s="1" t="n"/>
      <c r="N616" s="1" t="n"/>
      <c r="O616" s="1" t="n"/>
    </row>
    <row r="617" ht="15.75" customHeight="1" s="311">
      <c r="A617" s="1" t="n"/>
      <c r="B617" s="1" t="n"/>
      <c r="C617" s="1" t="n"/>
      <c r="D617" s="1" t="n"/>
      <c r="E617" s="1" t="n"/>
      <c r="F617" s="1" t="n"/>
      <c r="G617" s="1" t="n"/>
      <c r="H617" s="1" t="n"/>
      <c r="I617" s="1" t="n"/>
      <c r="J617" s="1" t="n"/>
      <c r="K617" s="1" t="n"/>
      <c r="L617" s="1" t="n"/>
      <c r="M617" s="1" t="n"/>
      <c r="N617" s="1" t="n"/>
      <c r="O617" s="1" t="n"/>
    </row>
    <row r="618" ht="15.75" customHeight="1" s="311">
      <c r="A618" s="1" t="n"/>
      <c r="B618" s="1" t="n"/>
      <c r="C618" s="1" t="n"/>
      <c r="D618" s="1" t="n"/>
      <c r="E618" s="1" t="n"/>
      <c r="F618" s="1" t="n"/>
      <c r="G618" s="1" t="n"/>
      <c r="H618" s="1" t="n"/>
      <c r="I618" s="1" t="n"/>
      <c r="J618" s="1" t="n"/>
      <c r="K618" s="1" t="n"/>
      <c r="L618" s="1" t="n"/>
      <c r="M618" s="1" t="n"/>
      <c r="N618" s="1" t="n"/>
      <c r="O618" s="1" t="n"/>
    </row>
    <row r="619" ht="15.75" customHeight="1" s="311">
      <c r="A619" s="1" t="n"/>
      <c r="B619" s="1" t="n"/>
      <c r="C619" s="1" t="n"/>
      <c r="D619" s="1" t="n"/>
      <c r="E619" s="1" t="n"/>
      <c r="F619" s="1" t="n"/>
      <c r="G619" s="1" t="n"/>
      <c r="H619" s="1" t="n"/>
      <c r="I619" s="1" t="n"/>
      <c r="J619" s="1" t="n"/>
      <c r="K619" s="1" t="n"/>
      <c r="L619" s="1" t="n"/>
      <c r="M619" s="1" t="n"/>
      <c r="N619" s="1" t="n"/>
      <c r="O619" s="1" t="n"/>
    </row>
    <row r="620" ht="15.75" customHeight="1" s="311">
      <c r="A620" s="1" t="n"/>
      <c r="B620" s="1" t="n"/>
      <c r="C620" s="1" t="n"/>
      <c r="D620" s="1" t="n"/>
      <c r="E620" s="1" t="n"/>
      <c r="F620" s="1" t="n"/>
      <c r="G620" s="1" t="n"/>
      <c r="H620" s="1" t="n"/>
      <c r="I620" s="1" t="n"/>
      <c r="J620" s="1" t="n"/>
      <c r="K620" s="1" t="n"/>
      <c r="L620" s="1" t="n"/>
      <c r="M620" s="1" t="n"/>
      <c r="N620" s="1" t="n"/>
      <c r="O620" s="1" t="n"/>
    </row>
    <row r="621" ht="15.75" customHeight="1" s="311">
      <c r="A621" s="1" t="n"/>
      <c r="B621" s="1" t="n"/>
      <c r="C621" s="1" t="n"/>
      <c r="D621" s="1" t="n"/>
      <c r="E621" s="1" t="n"/>
      <c r="F621" s="1" t="n"/>
      <c r="G621" s="1" t="n"/>
      <c r="H621" s="1" t="n"/>
      <c r="I621" s="1" t="n"/>
      <c r="J621" s="1" t="n"/>
      <c r="K621" s="1" t="n"/>
      <c r="L621" s="1" t="n"/>
      <c r="M621" s="1" t="n"/>
      <c r="N621" s="1" t="n"/>
      <c r="O621" s="1" t="n"/>
    </row>
    <row r="622" ht="15.75" customHeight="1" s="311">
      <c r="A622" s="1" t="n"/>
      <c r="B622" s="1" t="n"/>
      <c r="C622" s="1" t="n"/>
      <c r="D622" s="1" t="n"/>
      <c r="E622" s="1" t="n"/>
      <c r="F622" s="1" t="n"/>
      <c r="G622" s="1" t="n"/>
      <c r="H622" s="1" t="n"/>
      <c r="I622" s="1" t="n"/>
      <c r="J622" s="1" t="n"/>
      <c r="K622" s="1" t="n"/>
      <c r="L622" s="1" t="n"/>
      <c r="M622" s="1" t="n"/>
      <c r="N622" s="1" t="n"/>
      <c r="O622" s="1" t="n"/>
    </row>
    <row r="623" ht="15.75" customHeight="1" s="311">
      <c r="A623" s="1" t="n"/>
      <c r="B623" s="1" t="n"/>
      <c r="C623" s="1" t="n"/>
      <c r="D623" s="1" t="n"/>
      <c r="E623" s="1" t="n"/>
      <c r="F623" s="1" t="n"/>
      <c r="G623" s="1" t="n"/>
      <c r="H623" s="1" t="n"/>
      <c r="I623" s="1" t="n"/>
      <c r="J623" s="1" t="n"/>
      <c r="K623" s="1" t="n"/>
      <c r="L623" s="1" t="n"/>
      <c r="M623" s="1" t="n"/>
      <c r="N623" s="1" t="n"/>
      <c r="O623" s="1" t="n"/>
    </row>
    <row r="624" ht="15.75" customHeight="1" s="311">
      <c r="A624" s="1" t="n"/>
      <c r="B624" s="1" t="n"/>
      <c r="C624" s="1" t="n"/>
      <c r="D624" s="1" t="n"/>
      <c r="E624" s="1" t="n"/>
      <c r="F624" s="1" t="n"/>
      <c r="G624" s="1" t="n"/>
      <c r="H624" s="1" t="n"/>
      <c r="I624" s="1" t="n"/>
      <c r="J624" s="1" t="n"/>
      <c r="K624" s="1" t="n"/>
      <c r="L624" s="1" t="n"/>
      <c r="M624" s="1" t="n"/>
      <c r="N624" s="1" t="n"/>
      <c r="O624" s="1" t="n"/>
    </row>
    <row r="625" ht="15.75" customHeight="1" s="311">
      <c r="A625" s="1" t="n"/>
      <c r="B625" s="1" t="n"/>
      <c r="C625" s="1" t="n"/>
      <c r="D625" s="1" t="n"/>
      <c r="E625" s="1" t="n"/>
      <c r="F625" s="1" t="n"/>
      <c r="G625" s="1" t="n"/>
      <c r="H625" s="1" t="n"/>
      <c r="I625" s="1" t="n"/>
      <c r="J625" s="1" t="n"/>
      <c r="K625" s="1" t="n"/>
      <c r="L625" s="1" t="n"/>
      <c r="M625" s="1" t="n"/>
      <c r="N625" s="1" t="n"/>
      <c r="O625" s="1" t="n"/>
    </row>
    <row r="626" ht="15.75" customHeight="1" s="311">
      <c r="A626" s="1" t="n"/>
      <c r="B626" s="1" t="n"/>
      <c r="C626" s="1" t="n"/>
      <c r="D626" s="1" t="n"/>
      <c r="E626" s="1" t="n"/>
      <c r="F626" s="1" t="n"/>
      <c r="G626" s="1" t="n"/>
      <c r="H626" s="1" t="n"/>
      <c r="I626" s="1" t="n"/>
      <c r="J626" s="1" t="n"/>
      <c r="K626" s="1" t="n"/>
      <c r="L626" s="1" t="n"/>
      <c r="M626" s="1" t="n"/>
      <c r="N626" s="1" t="n"/>
      <c r="O626" s="1" t="n"/>
    </row>
    <row r="627" ht="15.75" customHeight="1" s="311">
      <c r="A627" s="1" t="n"/>
      <c r="B627" s="1" t="n"/>
      <c r="C627" s="1" t="n"/>
      <c r="D627" s="1" t="n"/>
      <c r="E627" s="1" t="n"/>
      <c r="F627" s="1" t="n"/>
      <c r="G627" s="1" t="n"/>
      <c r="H627" s="1" t="n"/>
      <c r="I627" s="1" t="n"/>
      <c r="J627" s="1" t="n"/>
      <c r="K627" s="1" t="n"/>
      <c r="L627" s="1" t="n"/>
      <c r="M627" s="1" t="n"/>
      <c r="N627" s="1" t="n"/>
      <c r="O627" s="1" t="n"/>
    </row>
    <row r="628" ht="15.75" customHeight="1" s="311">
      <c r="A628" s="1" t="n"/>
      <c r="B628" s="1" t="n"/>
      <c r="C628" s="1" t="n"/>
      <c r="D628" s="1" t="n"/>
      <c r="E628" s="1" t="n"/>
      <c r="F628" s="1" t="n"/>
      <c r="G628" s="1" t="n"/>
      <c r="H628" s="1" t="n"/>
      <c r="I628" s="1" t="n"/>
      <c r="J628" s="1" t="n"/>
      <c r="K628" s="1" t="n"/>
      <c r="L628" s="1" t="n"/>
      <c r="M628" s="1" t="n"/>
      <c r="N628" s="1" t="n"/>
      <c r="O628" s="1" t="n"/>
    </row>
    <row r="629" ht="15.75" customHeight="1" s="311">
      <c r="A629" s="1" t="n"/>
      <c r="B629" s="1" t="n"/>
      <c r="C629" s="1" t="n"/>
      <c r="D629" s="1" t="n"/>
      <c r="E629" s="1" t="n"/>
      <c r="F629" s="1" t="n"/>
      <c r="G629" s="1" t="n"/>
      <c r="H629" s="1" t="n"/>
      <c r="I629" s="1" t="n"/>
      <c r="J629" s="1" t="n"/>
      <c r="K629" s="1" t="n"/>
      <c r="L629" s="1" t="n"/>
      <c r="M629" s="1" t="n"/>
      <c r="N629" s="1" t="n"/>
      <c r="O629" s="1" t="n"/>
    </row>
    <row r="630" ht="15.75" customHeight="1" s="311">
      <c r="A630" s="1" t="n"/>
      <c r="B630" s="1" t="n"/>
      <c r="C630" s="1" t="n"/>
      <c r="D630" s="1" t="n"/>
      <c r="E630" s="1" t="n"/>
      <c r="F630" s="1" t="n"/>
      <c r="G630" s="1" t="n"/>
      <c r="H630" s="1" t="n"/>
      <c r="I630" s="1" t="n"/>
      <c r="J630" s="1" t="n"/>
      <c r="K630" s="1" t="n"/>
      <c r="L630" s="1" t="n"/>
      <c r="M630" s="1" t="n"/>
      <c r="N630" s="1" t="n"/>
      <c r="O630" s="1" t="n"/>
    </row>
    <row r="631" ht="15.75" customHeight="1" s="311">
      <c r="A631" s="1" t="n"/>
      <c r="B631" s="1" t="n"/>
      <c r="C631" s="1" t="n"/>
      <c r="D631" s="1" t="n"/>
      <c r="E631" s="1" t="n"/>
      <c r="F631" s="1" t="n"/>
      <c r="G631" s="1" t="n"/>
      <c r="H631" s="1" t="n"/>
      <c r="I631" s="1" t="n"/>
      <c r="J631" s="1" t="n"/>
      <c r="K631" s="1" t="n"/>
      <c r="L631" s="1" t="n"/>
      <c r="M631" s="1" t="n"/>
      <c r="N631" s="1" t="n"/>
      <c r="O631" s="1" t="n"/>
    </row>
    <row r="632" ht="15.75" customHeight="1" s="311">
      <c r="A632" s="1" t="n"/>
      <c r="B632" s="1" t="n"/>
      <c r="C632" s="1" t="n"/>
      <c r="D632" s="1" t="n"/>
      <c r="E632" s="1" t="n"/>
      <c r="F632" s="1" t="n"/>
      <c r="G632" s="1" t="n"/>
      <c r="H632" s="1" t="n"/>
      <c r="I632" s="1" t="n"/>
      <c r="J632" s="1" t="n"/>
      <c r="K632" s="1" t="n"/>
      <c r="L632" s="1" t="n"/>
      <c r="M632" s="1" t="n"/>
      <c r="N632" s="1" t="n"/>
      <c r="O632" s="1" t="n"/>
    </row>
    <row r="633" ht="15.75" customHeight="1" s="311">
      <c r="A633" s="1" t="n"/>
      <c r="B633" s="1" t="n"/>
      <c r="C633" s="1" t="n"/>
      <c r="D633" s="1" t="n"/>
      <c r="E633" s="1" t="n"/>
      <c r="F633" s="1" t="n"/>
      <c r="G633" s="1" t="n"/>
      <c r="H633" s="1" t="n"/>
      <c r="I633" s="1" t="n"/>
      <c r="J633" s="1" t="n"/>
      <c r="K633" s="1" t="n"/>
      <c r="L633" s="1" t="n"/>
      <c r="M633" s="1" t="n"/>
      <c r="N633" s="1" t="n"/>
      <c r="O633" s="1" t="n"/>
    </row>
    <row r="634" ht="15.75" customHeight="1" s="311">
      <c r="A634" s="1" t="n"/>
      <c r="B634" s="1" t="n"/>
      <c r="C634" s="1" t="n"/>
      <c r="D634" s="1" t="n"/>
      <c r="E634" s="1" t="n"/>
      <c r="F634" s="1" t="n"/>
      <c r="G634" s="1" t="n"/>
      <c r="H634" s="1" t="n"/>
      <c r="I634" s="1" t="n"/>
      <c r="J634" s="1" t="n"/>
      <c r="K634" s="1" t="n"/>
      <c r="L634" s="1" t="n"/>
      <c r="M634" s="1" t="n"/>
      <c r="N634" s="1" t="n"/>
      <c r="O634" s="1" t="n"/>
    </row>
    <row r="635" ht="15.75" customHeight="1" s="311">
      <c r="A635" s="1" t="n"/>
      <c r="B635" s="1" t="n"/>
      <c r="C635" s="1" t="n"/>
      <c r="D635" s="1" t="n"/>
      <c r="E635" s="1" t="n"/>
      <c r="F635" s="1" t="n"/>
      <c r="G635" s="1" t="n"/>
      <c r="H635" s="1" t="n"/>
      <c r="I635" s="1" t="n"/>
      <c r="J635" s="1" t="n"/>
      <c r="K635" s="1" t="n"/>
      <c r="L635" s="1" t="n"/>
      <c r="M635" s="1" t="n"/>
      <c r="N635" s="1" t="n"/>
      <c r="O635" s="1" t="n"/>
    </row>
    <row r="636" ht="15.75" customHeight="1" s="311">
      <c r="A636" s="1" t="n"/>
      <c r="B636" s="1" t="n"/>
      <c r="C636" s="1" t="n"/>
      <c r="D636" s="1" t="n"/>
      <c r="E636" s="1" t="n"/>
      <c r="F636" s="1" t="n"/>
      <c r="G636" s="1" t="n"/>
      <c r="H636" s="1" t="n"/>
      <c r="I636" s="1" t="n"/>
      <c r="J636" s="1" t="n"/>
      <c r="K636" s="1" t="n"/>
      <c r="L636" s="1" t="n"/>
      <c r="M636" s="1" t="n"/>
      <c r="N636" s="1" t="n"/>
      <c r="O636" s="1" t="n"/>
    </row>
    <row r="637" ht="15.75" customHeight="1" s="311">
      <c r="A637" s="1" t="n"/>
      <c r="B637" s="1" t="n"/>
      <c r="C637" s="1" t="n"/>
      <c r="D637" s="1" t="n"/>
      <c r="E637" s="1" t="n"/>
      <c r="F637" s="1" t="n"/>
      <c r="G637" s="1" t="n"/>
      <c r="H637" s="1" t="n"/>
      <c r="I637" s="1" t="n"/>
      <c r="J637" s="1" t="n"/>
      <c r="K637" s="1" t="n"/>
      <c r="L637" s="1" t="n"/>
      <c r="M637" s="1" t="n"/>
      <c r="N637" s="1" t="n"/>
      <c r="O637" s="1" t="n"/>
    </row>
    <row r="638" ht="15.75" customHeight="1" s="311">
      <c r="A638" s="1" t="n"/>
      <c r="B638" s="1" t="n"/>
      <c r="C638" s="1" t="n"/>
      <c r="D638" s="1" t="n"/>
      <c r="E638" s="1" t="n"/>
      <c r="F638" s="1" t="n"/>
      <c r="G638" s="1" t="n"/>
      <c r="H638" s="1" t="n"/>
      <c r="I638" s="1" t="n"/>
      <c r="J638" s="1" t="n"/>
      <c r="K638" s="1" t="n"/>
      <c r="L638" s="1" t="n"/>
      <c r="M638" s="1" t="n"/>
      <c r="N638" s="1" t="n"/>
      <c r="O638" s="1" t="n"/>
    </row>
    <row r="639" ht="15.75" customHeight="1" s="311">
      <c r="A639" s="1" t="n"/>
      <c r="B639" s="1" t="n"/>
      <c r="C639" s="1" t="n"/>
      <c r="D639" s="1" t="n"/>
      <c r="E639" s="1" t="n"/>
      <c r="F639" s="1" t="n"/>
      <c r="G639" s="1" t="n"/>
      <c r="H639" s="1" t="n"/>
      <c r="I639" s="1" t="n"/>
      <c r="J639" s="1" t="n"/>
      <c r="K639" s="1" t="n"/>
      <c r="L639" s="1" t="n"/>
      <c r="M639" s="1" t="n"/>
      <c r="N639" s="1" t="n"/>
      <c r="O639" s="1" t="n"/>
    </row>
    <row r="640" ht="15.75" customHeight="1" s="311">
      <c r="A640" s="1" t="n"/>
      <c r="B640" s="1" t="n"/>
      <c r="C640" s="1" t="n"/>
      <c r="D640" s="1" t="n"/>
      <c r="E640" s="1" t="n"/>
      <c r="F640" s="1" t="n"/>
      <c r="G640" s="1" t="n"/>
      <c r="H640" s="1" t="n"/>
      <c r="I640" s="1" t="n"/>
      <c r="J640" s="1" t="n"/>
      <c r="K640" s="1" t="n"/>
      <c r="L640" s="1" t="n"/>
      <c r="M640" s="1" t="n"/>
      <c r="N640" s="1" t="n"/>
      <c r="O640" s="1" t="n"/>
    </row>
    <row r="641" ht="15.75" customHeight="1" s="311">
      <c r="A641" s="1" t="n"/>
      <c r="B641" s="1" t="n"/>
      <c r="C641" s="1" t="n"/>
      <c r="D641" s="1" t="n"/>
      <c r="E641" s="1" t="n"/>
      <c r="F641" s="1" t="n"/>
      <c r="G641" s="1" t="n"/>
      <c r="H641" s="1" t="n"/>
      <c r="I641" s="1" t="n"/>
      <c r="J641" s="1" t="n"/>
      <c r="K641" s="1" t="n"/>
      <c r="L641" s="1" t="n"/>
      <c r="M641" s="1" t="n"/>
      <c r="N641" s="1" t="n"/>
      <c r="O641" s="1" t="n"/>
    </row>
    <row r="642" ht="15.75" customHeight="1" s="311">
      <c r="A642" s="1" t="n"/>
      <c r="B642" s="1" t="n"/>
      <c r="C642" s="1" t="n"/>
      <c r="D642" s="1" t="n"/>
      <c r="E642" s="1" t="n"/>
      <c r="F642" s="1" t="n"/>
      <c r="G642" s="1" t="n"/>
      <c r="H642" s="1" t="n"/>
      <c r="I642" s="1" t="n"/>
      <c r="J642" s="1" t="n"/>
      <c r="K642" s="1" t="n"/>
      <c r="L642" s="1" t="n"/>
      <c r="M642" s="1" t="n"/>
      <c r="N642" s="1" t="n"/>
      <c r="O642" s="1" t="n"/>
    </row>
    <row r="643" ht="15.75" customHeight="1" s="311">
      <c r="A643" s="1" t="n"/>
      <c r="B643" s="1" t="n"/>
      <c r="C643" s="1" t="n"/>
      <c r="D643" s="1" t="n"/>
      <c r="E643" s="1" t="n"/>
      <c r="F643" s="1" t="n"/>
      <c r="G643" s="1" t="n"/>
      <c r="H643" s="1" t="n"/>
      <c r="I643" s="1" t="n"/>
      <c r="J643" s="1" t="n"/>
      <c r="K643" s="1" t="n"/>
      <c r="L643" s="1" t="n"/>
      <c r="M643" s="1" t="n"/>
      <c r="N643" s="1" t="n"/>
      <c r="O643" s="1" t="n"/>
    </row>
    <row r="644" ht="15.75" customHeight="1" s="311">
      <c r="A644" s="1" t="n"/>
      <c r="B644" s="1" t="n"/>
      <c r="C644" s="1" t="n"/>
      <c r="D644" s="1" t="n"/>
      <c r="E644" s="1" t="n"/>
      <c r="F644" s="1" t="n"/>
      <c r="G644" s="1" t="n"/>
      <c r="H644" s="1" t="n"/>
      <c r="I644" s="1" t="n"/>
      <c r="J644" s="1" t="n"/>
      <c r="K644" s="1" t="n"/>
      <c r="L644" s="1" t="n"/>
      <c r="M644" s="1" t="n"/>
      <c r="N644" s="1" t="n"/>
      <c r="O644" s="1" t="n"/>
    </row>
    <row r="645" ht="15.75" customHeight="1" s="311">
      <c r="A645" s="1" t="n"/>
      <c r="B645" s="1" t="n"/>
      <c r="C645" s="1" t="n"/>
      <c r="D645" s="1" t="n"/>
      <c r="E645" s="1" t="n"/>
      <c r="F645" s="1" t="n"/>
      <c r="G645" s="1" t="n"/>
      <c r="H645" s="1" t="n"/>
      <c r="I645" s="1" t="n"/>
      <c r="J645" s="1" t="n"/>
      <c r="K645" s="1" t="n"/>
      <c r="L645" s="1" t="n"/>
      <c r="M645" s="1" t="n"/>
      <c r="N645" s="1" t="n"/>
      <c r="O645" s="1" t="n"/>
    </row>
    <row r="646" ht="15.75" customHeight="1" s="311">
      <c r="A646" s="1" t="n"/>
      <c r="B646" s="1" t="n"/>
      <c r="C646" s="1" t="n"/>
      <c r="D646" s="1" t="n"/>
      <c r="E646" s="1" t="n"/>
      <c r="F646" s="1" t="n"/>
      <c r="G646" s="1" t="n"/>
      <c r="H646" s="1" t="n"/>
      <c r="I646" s="1" t="n"/>
      <c r="J646" s="1" t="n"/>
      <c r="K646" s="1" t="n"/>
      <c r="L646" s="1" t="n"/>
      <c r="M646" s="1" t="n"/>
      <c r="N646" s="1" t="n"/>
      <c r="O646" s="1" t="n"/>
    </row>
    <row r="647" ht="15.75" customHeight="1" s="311">
      <c r="A647" s="1" t="n"/>
      <c r="B647" s="1" t="n"/>
      <c r="C647" s="1" t="n"/>
      <c r="D647" s="1" t="n"/>
      <c r="E647" s="1" t="n"/>
      <c r="F647" s="1" t="n"/>
      <c r="G647" s="1" t="n"/>
      <c r="H647" s="1" t="n"/>
      <c r="I647" s="1" t="n"/>
      <c r="J647" s="1" t="n"/>
      <c r="K647" s="1" t="n"/>
      <c r="L647" s="1" t="n"/>
      <c r="M647" s="1" t="n"/>
      <c r="N647" s="1" t="n"/>
      <c r="O647" s="1" t="n"/>
    </row>
    <row r="648" ht="15.75" customHeight="1" s="311">
      <c r="A648" s="1" t="n"/>
      <c r="B648" s="1" t="n"/>
      <c r="C648" s="1" t="n"/>
      <c r="D648" s="1" t="n"/>
      <c r="E648" s="1" t="n"/>
      <c r="F648" s="1" t="n"/>
      <c r="G648" s="1" t="n"/>
      <c r="H648" s="1" t="n"/>
      <c r="I648" s="1" t="n"/>
      <c r="J648" s="1" t="n"/>
      <c r="K648" s="1" t="n"/>
      <c r="L648" s="1" t="n"/>
      <c r="M648" s="1" t="n"/>
      <c r="N648" s="1" t="n"/>
      <c r="O648" s="1" t="n"/>
    </row>
    <row r="649" ht="15.75" customHeight="1" s="311">
      <c r="A649" s="1" t="n"/>
      <c r="B649" s="1" t="n"/>
      <c r="C649" s="1" t="n"/>
      <c r="D649" s="1" t="n"/>
      <c r="E649" s="1" t="n"/>
      <c r="F649" s="1" t="n"/>
      <c r="G649" s="1" t="n"/>
      <c r="H649" s="1" t="n"/>
      <c r="I649" s="1" t="n"/>
      <c r="J649" s="1" t="n"/>
      <c r="K649" s="1" t="n"/>
      <c r="L649" s="1" t="n"/>
      <c r="M649" s="1" t="n"/>
      <c r="N649" s="1" t="n"/>
      <c r="O649" s="1" t="n"/>
    </row>
    <row r="650" ht="15.75" customHeight="1" s="311">
      <c r="A650" s="1" t="n"/>
      <c r="B650" s="1" t="n"/>
      <c r="C650" s="1" t="n"/>
      <c r="D650" s="1" t="n"/>
      <c r="E650" s="1" t="n"/>
      <c r="F650" s="1" t="n"/>
      <c r="G650" s="1" t="n"/>
      <c r="H650" s="1" t="n"/>
      <c r="I650" s="1" t="n"/>
      <c r="J650" s="1" t="n"/>
      <c r="K650" s="1" t="n"/>
      <c r="L650" s="1" t="n"/>
      <c r="M650" s="1" t="n"/>
      <c r="N650" s="1" t="n"/>
      <c r="O650" s="1" t="n"/>
    </row>
    <row r="651" ht="15.75" customHeight="1" s="311">
      <c r="A651" s="1" t="n"/>
      <c r="B651" s="1" t="n"/>
      <c r="C651" s="1" t="n"/>
      <c r="D651" s="1" t="n"/>
      <c r="E651" s="1" t="n"/>
      <c r="F651" s="1" t="n"/>
      <c r="G651" s="1" t="n"/>
      <c r="H651" s="1" t="n"/>
      <c r="I651" s="1" t="n"/>
      <c r="J651" s="1" t="n"/>
      <c r="K651" s="1" t="n"/>
      <c r="L651" s="1" t="n"/>
      <c r="M651" s="1" t="n"/>
      <c r="N651" s="1" t="n"/>
      <c r="O651" s="1" t="n"/>
    </row>
    <row r="652" ht="15.75" customHeight="1" s="311">
      <c r="A652" s="1" t="n"/>
      <c r="B652" s="1" t="n"/>
      <c r="C652" s="1" t="n"/>
      <c r="D652" s="1" t="n"/>
      <c r="E652" s="1" t="n"/>
      <c r="F652" s="1" t="n"/>
      <c r="G652" s="1" t="n"/>
      <c r="H652" s="1" t="n"/>
      <c r="I652" s="1" t="n"/>
      <c r="J652" s="1" t="n"/>
      <c r="K652" s="1" t="n"/>
      <c r="L652" s="1" t="n"/>
      <c r="M652" s="1" t="n"/>
      <c r="N652" s="1" t="n"/>
      <c r="O652" s="1" t="n"/>
    </row>
    <row r="653" ht="15.75" customHeight="1" s="311">
      <c r="A653" s="1" t="n"/>
      <c r="B653" s="1" t="n"/>
      <c r="C653" s="1" t="n"/>
      <c r="D653" s="1" t="n"/>
      <c r="E653" s="1" t="n"/>
      <c r="F653" s="1" t="n"/>
      <c r="G653" s="1" t="n"/>
      <c r="H653" s="1" t="n"/>
      <c r="I653" s="1" t="n"/>
      <c r="J653" s="1" t="n"/>
      <c r="K653" s="1" t="n"/>
      <c r="L653" s="1" t="n"/>
      <c r="M653" s="1" t="n"/>
      <c r="N653" s="1" t="n"/>
      <c r="O653" s="1" t="n"/>
    </row>
    <row r="654" ht="15.75" customHeight="1" s="311">
      <c r="A654" s="1" t="n"/>
      <c r="B654" s="1" t="n"/>
      <c r="C654" s="1" t="n"/>
      <c r="D654" s="1" t="n"/>
      <c r="E654" s="1" t="n"/>
      <c r="F654" s="1" t="n"/>
      <c r="G654" s="1" t="n"/>
      <c r="H654" s="1" t="n"/>
      <c r="I654" s="1" t="n"/>
      <c r="J654" s="1" t="n"/>
      <c r="K654" s="1" t="n"/>
      <c r="L654" s="1" t="n"/>
      <c r="M654" s="1" t="n"/>
      <c r="N654" s="1" t="n"/>
      <c r="O654" s="1" t="n"/>
    </row>
    <row r="655" ht="15.75" customHeight="1" s="311">
      <c r="A655" s="1" t="n"/>
      <c r="B655" s="1" t="n"/>
      <c r="C655" s="1" t="n"/>
      <c r="D655" s="1" t="n"/>
      <c r="E655" s="1" t="n"/>
      <c r="F655" s="1" t="n"/>
      <c r="G655" s="1" t="n"/>
      <c r="H655" s="1" t="n"/>
      <c r="I655" s="1" t="n"/>
      <c r="J655" s="1" t="n"/>
      <c r="K655" s="1" t="n"/>
      <c r="L655" s="1" t="n"/>
      <c r="M655" s="1" t="n"/>
      <c r="N655" s="1" t="n"/>
      <c r="O655" s="1" t="n"/>
    </row>
    <row r="656" ht="15.75" customHeight="1" s="311">
      <c r="A656" s="1" t="n"/>
      <c r="B656" s="1" t="n"/>
      <c r="C656" s="1" t="n"/>
      <c r="D656" s="1" t="n"/>
      <c r="E656" s="1" t="n"/>
      <c r="F656" s="1" t="n"/>
      <c r="G656" s="1" t="n"/>
      <c r="H656" s="1" t="n"/>
      <c r="I656" s="1" t="n"/>
      <c r="J656" s="1" t="n"/>
      <c r="K656" s="1" t="n"/>
      <c r="L656" s="1" t="n"/>
      <c r="M656" s="1" t="n"/>
      <c r="N656" s="1" t="n"/>
      <c r="O656" s="1" t="n"/>
    </row>
    <row r="657" ht="15.75" customHeight="1" s="311">
      <c r="A657" s="1" t="n"/>
      <c r="B657" s="1" t="n"/>
      <c r="C657" s="1" t="n"/>
      <c r="D657" s="1" t="n"/>
      <c r="E657" s="1" t="n"/>
      <c r="F657" s="1" t="n"/>
      <c r="G657" s="1" t="n"/>
      <c r="H657" s="1" t="n"/>
      <c r="I657" s="1" t="n"/>
      <c r="J657" s="1" t="n"/>
      <c r="K657" s="1" t="n"/>
      <c r="L657" s="1" t="n"/>
      <c r="M657" s="1" t="n"/>
      <c r="N657" s="1" t="n"/>
      <c r="O657" s="1" t="n"/>
    </row>
    <row r="658" ht="15.75" customHeight="1" s="311">
      <c r="A658" s="1" t="n"/>
      <c r="B658" s="1" t="n"/>
      <c r="C658" s="1" t="n"/>
      <c r="D658" s="1" t="n"/>
      <c r="E658" s="1" t="n"/>
      <c r="F658" s="1" t="n"/>
      <c r="G658" s="1" t="n"/>
      <c r="H658" s="1" t="n"/>
      <c r="I658" s="1" t="n"/>
      <c r="J658" s="1" t="n"/>
      <c r="K658" s="1" t="n"/>
      <c r="L658" s="1" t="n"/>
      <c r="M658" s="1" t="n"/>
      <c r="N658" s="1" t="n"/>
      <c r="O658" s="1" t="n"/>
    </row>
    <row r="659" ht="15.75" customHeight="1" s="311">
      <c r="A659" s="1" t="n"/>
      <c r="B659" s="1" t="n"/>
      <c r="C659" s="1" t="n"/>
      <c r="D659" s="1" t="n"/>
      <c r="E659" s="1" t="n"/>
      <c r="F659" s="1" t="n"/>
      <c r="G659" s="1" t="n"/>
      <c r="H659" s="1" t="n"/>
      <c r="I659" s="1" t="n"/>
      <c r="J659" s="1" t="n"/>
      <c r="K659" s="1" t="n"/>
      <c r="L659" s="1" t="n"/>
      <c r="M659" s="1" t="n"/>
      <c r="N659" s="1" t="n"/>
      <c r="O659" s="1" t="n"/>
    </row>
    <row r="660" ht="15.75" customHeight="1" s="311">
      <c r="A660" s="1" t="n"/>
      <c r="B660" s="1" t="n"/>
      <c r="C660" s="1" t="n"/>
      <c r="D660" s="1" t="n"/>
      <c r="E660" s="1" t="n"/>
      <c r="F660" s="1" t="n"/>
      <c r="G660" s="1" t="n"/>
      <c r="H660" s="1" t="n"/>
      <c r="I660" s="1" t="n"/>
      <c r="J660" s="1" t="n"/>
      <c r="K660" s="1" t="n"/>
      <c r="L660" s="1" t="n"/>
      <c r="M660" s="1" t="n"/>
      <c r="N660" s="1" t="n"/>
      <c r="O660" s="1" t="n"/>
    </row>
    <row r="661" ht="15.75" customHeight="1" s="311">
      <c r="A661" s="1" t="n"/>
      <c r="B661" s="1" t="n"/>
      <c r="C661" s="1" t="n"/>
      <c r="D661" s="1" t="n"/>
      <c r="E661" s="1" t="n"/>
      <c r="F661" s="1" t="n"/>
      <c r="G661" s="1" t="n"/>
      <c r="H661" s="1" t="n"/>
      <c r="I661" s="1" t="n"/>
      <c r="J661" s="1" t="n"/>
      <c r="K661" s="1" t="n"/>
      <c r="L661" s="1" t="n"/>
      <c r="M661" s="1" t="n"/>
      <c r="N661" s="1" t="n"/>
      <c r="O661" s="1" t="n"/>
    </row>
    <row r="662" ht="15.75" customHeight="1" s="311">
      <c r="A662" s="1" t="n"/>
      <c r="B662" s="1" t="n"/>
      <c r="C662" s="1" t="n"/>
      <c r="D662" s="1" t="n"/>
      <c r="E662" s="1" t="n"/>
      <c r="F662" s="1" t="n"/>
      <c r="G662" s="1" t="n"/>
      <c r="H662" s="1" t="n"/>
      <c r="I662" s="1" t="n"/>
      <c r="J662" s="1" t="n"/>
      <c r="K662" s="1" t="n"/>
      <c r="L662" s="1" t="n"/>
      <c r="M662" s="1" t="n"/>
      <c r="N662" s="1" t="n"/>
      <c r="O662" s="1" t="n"/>
    </row>
    <row r="663" ht="15.75" customHeight="1" s="311">
      <c r="A663" s="1" t="n"/>
      <c r="B663" s="1" t="n"/>
      <c r="C663" s="1" t="n"/>
      <c r="D663" s="1" t="n"/>
      <c r="E663" s="1" t="n"/>
      <c r="F663" s="1" t="n"/>
      <c r="G663" s="1" t="n"/>
      <c r="H663" s="1" t="n"/>
      <c r="I663" s="1" t="n"/>
      <c r="J663" s="1" t="n"/>
      <c r="K663" s="1" t="n"/>
      <c r="L663" s="1" t="n"/>
      <c r="M663" s="1" t="n"/>
      <c r="N663" s="1" t="n"/>
      <c r="O663" s="1" t="n"/>
    </row>
    <row r="664" ht="15.75" customHeight="1" s="311">
      <c r="A664" s="1" t="n"/>
      <c r="B664" s="1" t="n"/>
      <c r="C664" s="1" t="n"/>
      <c r="D664" s="1" t="n"/>
      <c r="E664" s="1" t="n"/>
      <c r="F664" s="1" t="n"/>
      <c r="G664" s="1" t="n"/>
      <c r="H664" s="1" t="n"/>
      <c r="I664" s="1" t="n"/>
      <c r="J664" s="1" t="n"/>
      <c r="K664" s="1" t="n"/>
      <c r="L664" s="1" t="n"/>
      <c r="M664" s="1" t="n"/>
      <c r="N664" s="1" t="n"/>
      <c r="O664" s="1" t="n"/>
    </row>
    <row r="665" ht="15.75" customHeight="1" s="311">
      <c r="A665" s="1" t="n"/>
      <c r="B665" s="1" t="n"/>
      <c r="C665" s="1" t="n"/>
      <c r="D665" s="1" t="n"/>
      <c r="E665" s="1" t="n"/>
      <c r="F665" s="1" t="n"/>
      <c r="G665" s="1" t="n"/>
      <c r="H665" s="1" t="n"/>
      <c r="I665" s="1" t="n"/>
      <c r="J665" s="1" t="n"/>
      <c r="K665" s="1" t="n"/>
      <c r="L665" s="1" t="n"/>
      <c r="M665" s="1" t="n"/>
      <c r="N665" s="1" t="n"/>
      <c r="O665" s="1" t="n"/>
    </row>
    <row r="666" ht="15.75" customHeight="1" s="311">
      <c r="A666" s="1" t="n"/>
      <c r="B666" s="1" t="n"/>
      <c r="C666" s="1" t="n"/>
      <c r="D666" s="1" t="n"/>
      <c r="E666" s="1" t="n"/>
      <c r="F666" s="1" t="n"/>
      <c r="G666" s="1" t="n"/>
      <c r="H666" s="1" t="n"/>
      <c r="I666" s="1" t="n"/>
      <c r="J666" s="1" t="n"/>
      <c r="K666" s="1" t="n"/>
      <c r="L666" s="1" t="n"/>
      <c r="M666" s="1" t="n"/>
      <c r="N666" s="1" t="n"/>
      <c r="O666" s="1" t="n"/>
    </row>
    <row r="667" ht="15.75" customHeight="1" s="311">
      <c r="A667" s="1" t="n"/>
      <c r="B667" s="1" t="n"/>
      <c r="C667" s="1" t="n"/>
      <c r="D667" s="1" t="n"/>
      <c r="E667" s="1" t="n"/>
      <c r="F667" s="1" t="n"/>
      <c r="G667" s="1" t="n"/>
      <c r="H667" s="1" t="n"/>
      <c r="I667" s="1" t="n"/>
      <c r="J667" s="1" t="n"/>
      <c r="K667" s="1" t="n"/>
      <c r="L667" s="1" t="n"/>
      <c r="M667" s="1" t="n"/>
      <c r="N667" s="1" t="n"/>
      <c r="O667" s="1" t="n"/>
    </row>
    <row r="668" ht="15.75" customHeight="1" s="311">
      <c r="A668" s="1" t="n"/>
      <c r="B668" s="1" t="n"/>
      <c r="C668" s="1" t="n"/>
      <c r="D668" s="1" t="n"/>
      <c r="E668" s="1" t="n"/>
      <c r="F668" s="1" t="n"/>
      <c r="G668" s="1" t="n"/>
      <c r="H668" s="1" t="n"/>
      <c r="I668" s="1" t="n"/>
      <c r="J668" s="1" t="n"/>
      <c r="K668" s="1" t="n"/>
      <c r="L668" s="1" t="n"/>
      <c r="M668" s="1" t="n"/>
      <c r="N668" s="1" t="n"/>
      <c r="O668" s="1" t="n"/>
    </row>
    <row r="669" ht="15.75" customHeight="1" s="311">
      <c r="A669" s="1" t="n"/>
      <c r="B669" s="1" t="n"/>
      <c r="C669" s="1" t="n"/>
      <c r="D669" s="1" t="n"/>
      <c r="E669" s="1" t="n"/>
      <c r="F669" s="1" t="n"/>
      <c r="G669" s="1" t="n"/>
      <c r="H669" s="1" t="n"/>
      <c r="I669" s="1" t="n"/>
      <c r="J669" s="1" t="n"/>
      <c r="K669" s="1" t="n"/>
      <c r="L669" s="1" t="n"/>
      <c r="M669" s="1" t="n"/>
      <c r="N669" s="1" t="n"/>
      <c r="O669" s="1" t="n"/>
    </row>
    <row r="670" ht="15.75" customHeight="1" s="311">
      <c r="A670" s="1" t="n"/>
      <c r="B670" s="1" t="n"/>
      <c r="C670" s="1" t="n"/>
      <c r="D670" s="1" t="n"/>
      <c r="E670" s="1" t="n"/>
      <c r="F670" s="1" t="n"/>
      <c r="G670" s="1" t="n"/>
      <c r="H670" s="1" t="n"/>
      <c r="I670" s="1" t="n"/>
      <c r="J670" s="1" t="n"/>
      <c r="K670" s="1" t="n"/>
      <c r="L670" s="1" t="n"/>
      <c r="M670" s="1" t="n"/>
      <c r="N670" s="1" t="n"/>
      <c r="O670" s="1" t="n"/>
    </row>
    <row r="671" ht="15.75" customHeight="1" s="311">
      <c r="A671" s="1" t="n"/>
      <c r="B671" s="1" t="n"/>
      <c r="C671" s="1" t="n"/>
      <c r="D671" s="1" t="n"/>
      <c r="E671" s="1" t="n"/>
      <c r="F671" s="1" t="n"/>
      <c r="G671" s="1" t="n"/>
      <c r="H671" s="1" t="n"/>
      <c r="I671" s="1" t="n"/>
      <c r="J671" s="1" t="n"/>
      <c r="K671" s="1" t="n"/>
      <c r="L671" s="1" t="n"/>
      <c r="M671" s="1" t="n"/>
      <c r="N671" s="1" t="n"/>
      <c r="O671" s="1" t="n"/>
    </row>
    <row r="672" ht="15.75" customHeight="1" s="311">
      <c r="A672" s="1" t="n"/>
      <c r="B672" s="1" t="n"/>
      <c r="C672" s="1" t="n"/>
      <c r="D672" s="1" t="n"/>
      <c r="E672" s="1" t="n"/>
      <c r="F672" s="1" t="n"/>
      <c r="G672" s="1" t="n"/>
      <c r="H672" s="1" t="n"/>
      <c r="I672" s="1" t="n"/>
      <c r="J672" s="1" t="n"/>
      <c r="K672" s="1" t="n"/>
      <c r="L672" s="1" t="n"/>
      <c r="M672" s="1" t="n"/>
      <c r="N672" s="1" t="n"/>
      <c r="O672" s="1" t="n"/>
    </row>
    <row r="673" ht="15.75" customHeight="1" s="311">
      <c r="A673" s="1" t="n"/>
      <c r="B673" s="1" t="n"/>
      <c r="C673" s="1" t="n"/>
      <c r="D673" s="1" t="n"/>
      <c r="E673" s="1" t="n"/>
      <c r="F673" s="1" t="n"/>
      <c r="G673" s="1" t="n"/>
      <c r="H673" s="1" t="n"/>
      <c r="I673" s="1" t="n"/>
      <c r="J673" s="1" t="n"/>
      <c r="K673" s="1" t="n"/>
      <c r="L673" s="1" t="n"/>
      <c r="M673" s="1" t="n"/>
      <c r="N673" s="1" t="n"/>
      <c r="O673" s="1" t="n"/>
    </row>
    <row r="674" ht="15.75" customHeight="1" s="311">
      <c r="A674" s="1" t="n"/>
      <c r="B674" s="1" t="n"/>
      <c r="C674" s="1" t="n"/>
      <c r="D674" s="1" t="n"/>
      <c r="E674" s="1" t="n"/>
      <c r="F674" s="1" t="n"/>
      <c r="G674" s="1" t="n"/>
      <c r="H674" s="1" t="n"/>
      <c r="I674" s="1" t="n"/>
      <c r="J674" s="1" t="n"/>
      <c r="K674" s="1" t="n"/>
      <c r="L674" s="1" t="n"/>
      <c r="M674" s="1" t="n"/>
      <c r="N674" s="1" t="n"/>
      <c r="O674" s="1" t="n"/>
    </row>
    <row r="675" ht="15.75" customHeight="1" s="311">
      <c r="A675" s="1" t="n"/>
      <c r="B675" s="1" t="n"/>
      <c r="C675" s="1" t="n"/>
      <c r="D675" s="1" t="n"/>
      <c r="E675" s="1" t="n"/>
      <c r="F675" s="1" t="n"/>
      <c r="G675" s="1" t="n"/>
      <c r="H675" s="1" t="n"/>
      <c r="I675" s="1" t="n"/>
      <c r="J675" s="1" t="n"/>
      <c r="K675" s="1" t="n"/>
      <c r="L675" s="1" t="n"/>
      <c r="M675" s="1" t="n"/>
      <c r="N675" s="1" t="n"/>
      <c r="O675" s="1" t="n"/>
    </row>
    <row r="676" ht="15.75" customHeight="1" s="311">
      <c r="A676" s="1" t="n"/>
      <c r="B676" s="1" t="n"/>
      <c r="C676" s="1" t="n"/>
      <c r="D676" s="1" t="n"/>
      <c r="E676" s="1" t="n"/>
      <c r="F676" s="1" t="n"/>
      <c r="G676" s="1" t="n"/>
      <c r="H676" s="1" t="n"/>
      <c r="I676" s="1" t="n"/>
      <c r="J676" s="1" t="n"/>
      <c r="K676" s="1" t="n"/>
      <c r="L676" s="1" t="n"/>
      <c r="M676" s="1" t="n"/>
      <c r="N676" s="1" t="n"/>
      <c r="O676" s="1" t="n"/>
    </row>
    <row r="677" ht="15.75" customHeight="1" s="311">
      <c r="A677" s="1" t="n"/>
      <c r="B677" s="1" t="n"/>
      <c r="C677" s="1" t="n"/>
      <c r="D677" s="1" t="n"/>
      <c r="E677" s="1" t="n"/>
      <c r="F677" s="1" t="n"/>
      <c r="G677" s="1" t="n"/>
      <c r="H677" s="1" t="n"/>
      <c r="I677" s="1" t="n"/>
      <c r="J677" s="1" t="n"/>
      <c r="K677" s="1" t="n"/>
      <c r="L677" s="1" t="n"/>
      <c r="M677" s="1" t="n"/>
      <c r="N677" s="1" t="n"/>
      <c r="O677" s="1" t="n"/>
    </row>
    <row r="678" ht="15.75" customHeight="1" s="311">
      <c r="A678" s="1" t="n"/>
      <c r="B678" s="1" t="n"/>
      <c r="C678" s="1" t="n"/>
      <c r="D678" s="1" t="n"/>
      <c r="E678" s="1" t="n"/>
      <c r="F678" s="1" t="n"/>
      <c r="G678" s="1" t="n"/>
      <c r="H678" s="1" t="n"/>
      <c r="I678" s="1" t="n"/>
      <c r="J678" s="1" t="n"/>
      <c r="K678" s="1" t="n"/>
      <c r="L678" s="1" t="n"/>
      <c r="M678" s="1" t="n"/>
      <c r="N678" s="1" t="n"/>
      <c r="O678" s="1" t="n"/>
    </row>
    <row r="679" ht="15.75" customHeight="1" s="311">
      <c r="A679" s="1" t="n"/>
      <c r="B679" s="1" t="n"/>
      <c r="C679" s="1" t="n"/>
      <c r="D679" s="1" t="n"/>
      <c r="E679" s="1" t="n"/>
      <c r="F679" s="1" t="n"/>
      <c r="G679" s="1" t="n"/>
      <c r="H679" s="1" t="n"/>
      <c r="I679" s="1" t="n"/>
      <c r="J679" s="1" t="n"/>
      <c r="K679" s="1" t="n"/>
      <c r="L679" s="1" t="n"/>
      <c r="M679" s="1" t="n"/>
      <c r="N679" s="1" t="n"/>
      <c r="O679" s="1" t="n"/>
    </row>
    <row r="680" ht="15.75" customHeight="1" s="311">
      <c r="A680" s="1" t="n"/>
      <c r="B680" s="1" t="n"/>
      <c r="C680" s="1" t="n"/>
      <c r="D680" s="1" t="n"/>
      <c r="E680" s="1" t="n"/>
      <c r="F680" s="1" t="n"/>
      <c r="G680" s="1" t="n"/>
      <c r="H680" s="1" t="n"/>
      <c r="I680" s="1" t="n"/>
      <c r="J680" s="1" t="n"/>
      <c r="K680" s="1" t="n"/>
      <c r="L680" s="1" t="n"/>
      <c r="M680" s="1" t="n"/>
      <c r="N680" s="1" t="n"/>
      <c r="O680" s="1" t="n"/>
    </row>
    <row r="681" ht="15.75" customHeight="1" s="311">
      <c r="A681" s="1" t="n"/>
      <c r="B681" s="1" t="n"/>
      <c r="C681" s="1" t="n"/>
      <c r="D681" s="1" t="n"/>
      <c r="E681" s="1" t="n"/>
      <c r="F681" s="1" t="n"/>
      <c r="G681" s="1" t="n"/>
      <c r="H681" s="1" t="n"/>
      <c r="I681" s="1" t="n"/>
      <c r="J681" s="1" t="n"/>
      <c r="K681" s="1" t="n"/>
      <c r="L681" s="1" t="n"/>
      <c r="M681" s="1" t="n"/>
      <c r="N681" s="1" t="n"/>
      <c r="O681" s="1" t="n"/>
    </row>
    <row r="682" ht="15.75" customHeight="1" s="311">
      <c r="A682" s="1" t="n"/>
      <c r="B682" s="1" t="n"/>
      <c r="C682" s="1" t="n"/>
      <c r="D682" s="1" t="n"/>
      <c r="E682" s="1" t="n"/>
      <c r="F682" s="1" t="n"/>
      <c r="G682" s="1" t="n"/>
      <c r="H682" s="1" t="n"/>
      <c r="I682" s="1" t="n"/>
      <c r="J682" s="1" t="n"/>
      <c r="K682" s="1" t="n"/>
      <c r="L682" s="1" t="n"/>
      <c r="M682" s="1" t="n"/>
      <c r="N682" s="1" t="n"/>
      <c r="O682" s="1" t="n"/>
    </row>
    <row r="683" ht="15.75" customHeight="1" s="311">
      <c r="A683" s="1" t="n"/>
      <c r="B683" s="1" t="n"/>
      <c r="C683" s="1" t="n"/>
      <c r="D683" s="1" t="n"/>
      <c r="E683" s="1" t="n"/>
      <c r="F683" s="1" t="n"/>
      <c r="G683" s="1" t="n"/>
      <c r="H683" s="1" t="n"/>
      <c r="I683" s="1" t="n"/>
      <c r="J683" s="1" t="n"/>
      <c r="K683" s="1" t="n"/>
      <c r="L683" s="1" t="n"/>
      <c r="M683" s="1" t="n"/>
      <c r="N683" s="1" t="n"/>
      <c r="O683" s="1" t="n"/>
    </row>
    <row r="684" ht="15.75" customHeight="1" s="311">
      <c r="A684" s="1" t="n"/>
      <c r="B684" s="1" t="n"/>
      <c r="C684" s="1" t="n"/>
      <c r="D684" s="1" t="n"/>
      <c r="E684" s="1" t="n"/>
      <c r="F684" s="1" t="n"/>
      <c r="G684" s="1" t="n"/>
      <c r="H684" s="1" t="n"/>
      <c r="I684" s="1" t="n"/>
      <c r="J684" s="1" t="n"/>
      <c r="K684" s="1" t="n"/>
      <c r="L684" s="1" t="n"/>
      <c r="M684" s="1" t="n"/>
      <c r="N684" s="1" t="n"/>
      <c r="O684" s="1" t="n"/>
    </row>
    <row r="685" ht="15.75" customHeight="1" s="311">
      <c r="A685" s="1" t="n"/>
      <c r="B685" s="1" t="n"/>
      <c r="C685" s="1" t="n"/>
      <c r="D685" s="1" t="n"/>
      <c r="E685" s="1" t="n"/>
      <c r="F685" s="1" t="n"/>
      <c r="G685" s="1" t="n"/>
      <c r="H685" s="1" t="n"/>
      <c r="I685" s="1" t="n"/>
      <c r="J685" s="1" t="n"/>
      <c r="K685" s="1" t="n"/>
      <c r="L685" s="1" t="n"/>
      <c r="M685" s="1" t="n"/>
      <c r="N685" s="1" t="n"/>
      <c r="O685" s="1" t="n"/>
    </row>
    <row r="686" ht="15.75" customHeight="1" s="311">
      <c r="A686" s="1" t="n"/>
      <c r="B686" s="1" t="n"/>
      <c r="C686" s="1" t="n"/>
      <c r="D686" s="1" t="n"/>
      <c r="E686" s="1" t="n"/>
      <c r="F686" s="1" t="n"/>
      <c r="G686" s="1" t="n"/>
      <c r="H686" s="1" t="n"/>
      <c r="I686" s="1" t="n"/>
      <c r="J686" s="1" t="n"/>
      <c r="K686" s="1" t="n"/>
      <c r="L686" s="1" t="n"/>
      <c r="M686" s="1" t="n"/>
      <c r="N686" s="1" t="n"/>
      <c r="O686" s="1" t="n"/>
    </row>
    <row r="687" ht="15.75" customHeight="1" s="311">
      <c r="A687" s="1" t="n"/>
      <c r="B687" s="1" t="n"/>
      <c r="C687" s="1" t="n"/>
      <c r="D687" s="1" t="n"/>
      <c r="E687" s="1" t="n"/>
      <c r="F687" s="1" t="n"/>
      <c r="G687" s="1" t="n"/>
      <c r="H687" s="1" t="n"/>
      <c r="I687" s="1" t="n"/>
      <c r="J687" s="1" t="n"/>
      <c r="K687" s="1" t="n"/>
      <c r="L687" s="1" t="n"/>
      <c r="M687" s="1" t="n"/>
      <c r="N687" s="1" t="n"/>
      <c r="O687" s="1" t="n"/>
    </row>
    <row r="688" ht="15.75" customHeight="1" s="311">
      <c r="A688" s="1" t="n"/>
      <c r="B688" s="1" t="n"/>
      <c r="C688" s="1" t="n"/>
      <c r="D688" s="1" t="n"/>
      <c r="E688" s="1" t="n"/>
      <c r="F688" s="1" t="n"/>
      <c r="G688" s="1" t="n"/>
      <c r="H688" s="1" t="n"/>
      <c r="I688" s="1" t="n"/>
      <c r="J688" s="1" t="n"/>
      <c r="K688" s="1" t="n"/>
      <c r="L688" s="1" t="n"/>
      <c r="M688" s="1" t="n"/>
      <c r="N688" s="1" t="n"/>
      <c r="O688" s="1" t="n"/>
    </row>
    <row r="689" ht="15.75" customHeight="1" s="311">
      <c r="A689" s="1" t="n"/>
      <c r="B689" s="1" t="n"/>
      <c r="C689" s="1" t="n"/>
      <c r="D689" s="1" t="n"/>
      <c r="E689" s="1" t="n"/>
      <c r="F689" s="1" t="n"/>
      <c r="G689" s="1" t="n"/>
      <c r="H689" s="1" t="n"/>
      <c r="I689" s="1" t="n"/>
      <c r="J689" s="1" t="n"/>
      <c r="K689" s="1" t="n"/>
      <c r="L689" s="1" t="n"/>
      <c r="M689" s="1" t="n"/>
      <c r="N689" s="1" t="n"/>
      <c r="O689" s="1" t="n"/>
    </row>
    <row r="690" ht="15.75" customHeight="1" s="311">
      <c r="A690" s="1" t="n"/>
      <c r="B690" s="1" t="n"/>
      <c r="C690" s="1" t="n"/>
      <c r="D690" s="1" t="n"/>
      <c r="E690" s="1" t="n"/>
      <c r="F690" s="1" t="n"/>
      <c r="G690" s="1" t="n"/>
      <c r="H690" s="1" t="n"/>
      <c r="I690" s="1" t="n"/>
      <c r="J690" s="1" t="n"/>
      <c r="K690" s="1" t="n"/>
      <c r="L690" s="1" t="n"/>
      <c r="M690" s="1" t="n"/>
      <c r="N690" s="1" t="n"/>
      <c r="O690" s="1" t="n"/>
    </row>
    <row r="691" ht="15.75" customHeight="1" s="311">
      <c r="A691" s="1" t="n"/>
      <c r="B691" s="1" t="n"/>
      <c r="C691" s="1" t="n"/>
      <c r="D691" s="1" t="n"/>
      <c r="E691" s="1" t="n"/>
      <c r="F691" s="1" t="n"/>
      <c r="G691" s="1" t="n"/>
      <c r="H691" s="1" t="n"/>
      <c r="I691" s="1" t="n"/>
      <c r="J691" s="1" t="n"/>
      <c r="K691" s="1" t="n"/>
      <c r="L691" s="1" t="n"/>
      <c r="M691" s="1" t="n"/>
      <c r="N691" s="1" t="n"/>
      <c r="O691" s="1" t="n"/>
    </row>
    <row r="692" ht="15.75" customHeight="1" s="311">
      <c r="A692" s="1" t="n"/>
      <c r="B692" s="1" t="n"/>
      <c r="C692" s="1" t="n"/>
      <c r="D692" s="1" t="n"/>
      <c r="E692" s="1" t="n"/>
      <c r="F692" s="1" t="n"/>
      <c r="G692" s="1" t="n"/>
      <c r="H692" s="1" t="n"/>
      <c r="I692" s="1" t="n"/>
      <c r="J692" s="1" t="n"/>
      <c r="K692" s="1" t="n"/>
      <c r="L692" s="1" t="n"/>
      <c r="M692" s="1" t="n"/>
      <c r="N692" s="1" t="n"/>
      <c r="O692" s="1" t="n"/>
    </row>
    <row r="693" ht="15.75" customHeight="1" s="311">
      <c r="A693" s="1" t="n"/>
      <c r="B693" s="1" t="n"/>
      <c r="C693" s="1" t="n"/>
      <c r="D693" s="1" t="n"/>
      <c r="E693" s="1" t="n"/>
      <c r="F693" s="1" t="n"/>
      <c r="G693" s="1" t="n"/>
      <c r="H693" s="1" t="n"/>
      <c r="I693" s="1" t="n"/>
      <c r="J693" s="1" t="n"/>
      <c r="K693" s="1" t="n"/>
      <c r="L693" s="1" t="n"/>
      <c r="M693" s="1" t="n"/>
      <c r="N693" s="1" t="n"/>
      <c r="O693" s="1" t="n"/>
    </row>
    <row r="694" ht="15.75" customHeight="1" s="311">
      <c r="A694" s="1" t="n"/>
      <c r="B694" s="1" t="n"/>
      <c r="C694" s="1" t="n"/>
      <c r="D694" s="1" t="n"/>
      <c r="E694" s="1" t="n"/>
      <c r="F694" s="1" t="n"/>
      <c r="G694" s="1" t="n"/>
      <c r="H694" s="1" t="n"/>
      <c r="I694" s="1" t="n"/>
      <c r="J694" s="1" t="n"/>
      <c r="K694" s="1" t="n"/>
      <c r="L694" s="1" t="n"/>
      <c r="M694" s="1" t="n"/>
      <c r="N694" s="1" t="n"/>
      <c r="O694" s="1" t="n"/>
    </row>
    <row r="695" ht="15.75" customHeight="1" s="311">
      <c r="A695" s="1" t="n"/>
      <c r="B695" s="1" t="n"/>
      <c r="C695" s="1" t="n"/>
      <c r="D695" s="1" t="n"/>
      <c r="E695" s="1" t="n"/>
      <c r="F695" s="1" t="n"/>
      <c r="G695" s="1" t="n"/>
      <c r="H695" s="1" t="n"/>
      <c r="I695" s="1" t="n"/>
      <c r="J695" s="1" t="n"/>
      <c r="K695" s="1" t="n"/>
      <c r="L695" s="1" t="n"/>
      <c r="M695" s="1" t="n"/>
      <c r="N695" s="1" t="n"/>
      <c r="O695" s="1" t="n"/>
    </row>
    <row r="696" ht="15.75" customHeight="1" s="311">
      <c r="A696" s="1" t="n"/>
      <c r="B696" s="1" t="n"/>
      <c r="C696" s="1" t="n"/>
      <c r="D696" s="1" t="n"/>
      <c r="E696" s="1" t="n"/>
      <c r="F696" s="1" t="n"/>
      <c r="G696" s="1" t="n"/>
      <c r="H696" s="1" t="n"/>
      <c r="I696" s="1" t="n"/>
      <c r="J696" s="1" t="n"/>
      <c r="K696" s="1" t="n"/>
      <c r="L696" s="1" t="n"/>
      <c r="M696" s="1" t="n"/>
      <c r="N696" s="1" t="n"/>
      <c r="O696" s="1" t="n"/>
    </row>
    <row r="697" ht="15.75" customHeight="1" s="311">
      <c r="A697" s="1" t="n"/>
      <c r="B697" s="1" t="n"/>
      <c r="C697" s="1" t="n"/>
      <c r="D697" s="1" t="n"/>
      <c r="E697" s="1" t="n"/>
      <c r="F697" s="1" t="n"/>
      <c r="G697" s="1" t="n"/>
      <c r="H697" s="1" t="n"/>
      <c r="I697" s="1" t="n"/>
      <c r="J697" s="1" t="n"/>
      <c r="K697" s="1" t="n"/>
      <c r="L697" s="1" t="n"/>
      <c r="M697" s="1" t="n"/>
      <c r="N697" s="1" t="n"/>
      <c r="O697" s="1" t="n"/>
    </row>
    <row r="698" ht="15.75" customHeight="1" s="311">
      <c r="A698" s="1" t="n"/>
      <c r="B698" s="1" t="n"/>
      <c r="C698" s="1" t="n"/>
      <c r="D698" s="1" t="n"/>
      <c r="E698" s="1" t="n"/>
      <c r="F698" s="1" t="n"/>
      <c r="G698" s="1" t="n"/>
      <c r="H698" s="1" t="n"/>
      <c r="I698" s="1" t="n"/>
      <c r="J698" s="1" t="n"/>
      <c r="K698" s="1" t="n"/>
      <c r="L698" s="1" t="n"/>
      <c r="M698" s="1" t="n"/>
      <c r="N698" s="1" t="n"/>
      <c r="O698" s="1" t="n"/>
    </row>
    <row r="699" ht="15.75" customHeight="1" s="311">
      <c r="A699" s="1" t="n"/>
      <c r="B699" s="1" t="n"/>
      <c r="C699" s="1" t="n"/>
      <c r="D699" s="1" t="n"/>
      <c r="E699" s="1" t="n"/>
      <c r="F699" s="1" t="n"/>
      <c r="G699" s="1" t="n"/>
      <c r="H699" s="1" t="n"/>
      <c r="I699" s="1" t="n"/>
      <c r="J699" s="1" t="n"/>
      <c r="K699" s="1" t="n"/>
      <c r="L699" s="1" t="n"/>
      <c r="M699" s="1" t="n"/>
      <c r="N699" s="1" t="n"/>
      <c r="O699" s="1" t="n"/>
    </row>
    <row r="700" ht="15.75" customHeight="1" s="311">
      <c r="A700" s="1" t="n"/>
      <c r="B700" s="1" t="n"/>
      <c r="C700" s="1" t="n"/>
      <c r="D700" s="1" t="n"/>
      <c r="E700" s="1" t="n"/>
      <c r="F700" s="1" t="n"/>
      <c r="G700" s="1" t="n"/>
      <c r="H700" s="1" t="n"/>
      <c r="I700" s="1" t="n"/>
      <c r="J700" s="1" t="n"/>
      <c r="K700" s="1" t="n"/>
      <c r="L700" s="1" t="n"/>
      <c r="M700" s="1" t="n"/>
      <c r="N700" s="1" t="n"/>
      <c r="O700" s="1" t="n"/>
    </row>
    <row r="701" ht="15.75" customHeight="1" s="311">
      <c r="A701" s="1" t="n"/>
      <c r="B701" s="1" t="n"/>
      <c r="C701" s="1" t="n"/>
      <c r="D701" s="1" t="n"/>
      <c r="E701" s="1" t="n"/>
      <c r="F701" s="1" t="n"/>
      <c r="G701" s="1" t="n"/>
      <c r="H701" s="1" t="n"/>
      <c r="I701" s="1" t="n"/>
      <c r="J701" s="1" t="n"/>
      <c r="K701" s="1" t="n"/>
      <c r="L701" s="1" t="n"/>
      <c r="M701" s="1" t="n"/>
      <c r="N701" s="1" t="n"/>
      <c r="O701" s="1" t="n"/>
    </row>
    <row r="702" ht="15.75" customHeight="1" s="311">
      <c r="A702" s="1" t="n"/>
      <c r="B702" s="1" t="n"/>
      <c r="C702" s="1" t="n"/>
      <c r="D702" s="1" t="n"/>
      <c r="E702" s="1" t="n"/>
      <c r="F702" s="1" t="n"/>
      <c r="G702" s="1" t="n"/>
      <c r="H702" s="1" t="n"/>
      <c r="I702" s="1" t="n"/>
      <c r="J702" s="1" t="n"/>
      <c r="K702" s="1" t="n"/>
      <c r="L702" s="1" t="n"/>
      <c r="M702" s="1" t="n"/>
      <c r="N702" s="1" t="n"/>
      <c r="O702" s="1" t="n"/>
    </row>
    <row r="703" ht="15.75" customHeight="1" s="311">
      <c r="A703" s="1" t="n"/>
      <c r="B703" s="1" t="n"/>
      <c r="C703" s="1" t="n"/>
      <c r="D703" s="1" t="n"/>
      <c r="E703" s="1" t="n"/>
      <c r="F703" s="1" t="n"/>
      <c r="G703" s="1" t="n"/>
      <c r="H703" s="1" t="n"/>
      <c r="I703" s="1" t="n"/>
      <c r="J703" s="1" t="n"/>
      <c r="K703" s="1" t="n"/>
      <c r="L703" s="1" t="n"/>
      <c r="M703" s="1" t="n"/>
      <c r="N703" s="1" t="n"/>
      <c r="O703" s="1" t="n"/>
    </row>
    <row r="704" ht="15.75" customHeight="1" s="311">
      <c r="A704" s="1" t="n"/>
      <c r="B704" s="1" t="n"/>
      <c r="C704" s="1" t="n"/>
      <c r="D704" s="1" t="n"/>
      <c r="E704" s="1" t="n"/>
      <c r="F704" s="1" t="n"/>
      <c r="G704" s="1" t="n"/>
      <c r="H704" s="1" t="n"/>
      <c r="I704" s="1" t="n"/>
      <c r="J704" s="1" t="n"/>
      <c r="K704" s="1" t="n"/>
      <c r="L704" s="1" t="n"/>
      <c r="M704" s="1" t="n"/>
      <c r="N704" s="1" t="n"/>
      <c r="O704" s="1" t="n"/>
    </row>
    <row r="705" ht="15.75" customHeight="1" s="311">
      <c r="A705" s="1" t="n"/>
      <c r="B705" s="1" t="n"/>
      <c r="C705" s="1" t="n"/>
      <c r="D705" s="1" t="n"/>
      <c r="E705" s="1" t="n"/>
      <c r="F705" s="1" t="n"/>
      <c r="G705" s="1" t="n"/>
      <c r="H705" s="1" t="n"/>
      <c r="I705" s="1" t="n"/>
      <c r="J705" s="1" t="n"/>
      <c r="K705" s="1" t="n"/>
      <c r="L705" s="1" t="n"/>
      <c r="M705" s="1" t="n"/>
      <c r="N705" s="1" t="n"/>
      <c r="O705" s="1" t="n"/>
    </row>
    <row r="706" ht="15.75" customHeight="1" s="311">
      <c r="A706" s="1" t="n"/>
      <c r="B706" s="1" t="n"/>
      <c r="C706" s="1" t="n"/>
      <c r="D706" s="1" t="n"/>
      <c r="E706" s="1" t="n"/>
      <c r="F706" s="1" t="n"/>
      <c r="G706" s="1" t="n"/>
      <c r="H706" s="1" t="n"/>
      <c r="I706" s="1" t="n"/>
      <c r="J706" s="1" t="n"/>
      <c r="K706" s="1" t="n"/>
      <c r="L706" s="1" t="n"/>
      <c r="M706" s="1" t="n"/>
      <c r="N706" s="1" t="n"/>
      <c r="O706" s="1" t="n"/>
    </row>
    <row r="707" ht="15.75" customHeight="1" s="311">
      <c r="A707" s="1" t="n"/>
      <c r="B707" s="1" t="n"/>
      <c r="C707" s="1" t="n"/>
      <c r="D707" s="1" t="n"/>
      <c r="E707" s="1" t="n"/>
      <c r="F707" s="1" t="n"/>
      <c r="G707" s="1" t="n"/>
      <c r="H707" s="1" t="n"/>
      <c r="I707" s="1" t="n"/>
      <c r="J707" s="1" t="n"/>
      <c r="K707" s="1" t="n"/>
      <c r="L707" s="1" t="n"/>
      <c r="M707" s="1" t="n"/>
      <c r="N707" s="1" t="n"/>
      <c r="O707" s="1" t="n"/>
    </row>
    <row r="708" ht="15.75" customHeight="1" s="311">
      <c r="A708" s="1" t="n"/>
      <c r="B708" s="1" t="n"/>
      <c r="C708" s="1" t="n"/>
      <c r="D708" s="1" t="n"/>
      <c r="E708" s="1" t="n"/>
      <c r="F708" s="1" t="n"/>
      <c r="G708" s="1" t="n"/>
      <c r="H708" s="1" t="n"/>
      <c r="I708" s="1" t="n"/>
      <c r="J708" s="1" t="n"/>
      <c r="K708" s="1" t="n"/>
      <c r="L708" s="1" t="n"/>
      <c r="M708" s="1" t="n"/>
      <c r="N708" s="1" t="n"/>
      <c r="O708" s="1" t="n"/>
    </row>
    <row r="709" ht="15.75" customHeight="1" s="311">
      <c r="A709" s="1" t="n"/>
      <c r="B709" s="1" t="n"/>
      <c r="C709" s="1" t="n"/>
      <c r="D709" s="1" t="n"/>
      <c r="E709" s="1" t="n"/>
      <c r="F709" s="1" t="n"/>
      <c r="G709" s="1" t="n"/>
      <c r="H709" s="1" t="n"/>
      <c r="I709" s="1" t="n"/>
      <c r="J709" s="1" t="n"/>
      <c r="K709" s="1" t="n"/>
      <c r="L709" s="1" t="n"/>
      <c r="M709" s="1" t="n"/>
      <c r="N709" s="1" t="n"/>
      <c r="O709" s="1" t="n"/>
    </row>
    <row r="710" ht="15.75" customHeight="1" s="311">
      <c r="A710" s="1" t="n"/>
      <c r="B710" s="1" t="n"/>
      <c r="C710" s="1" t="n"/>
      <c r="D710" s="1" t="n"/>
      <c r="E710" s="1" t="n"/>
      <c r="F710" s="1" t="n"/>
      <c r="G710" s="1" t="n"/>
      <c r="H710" s="1" t="n"/>
      <c r="I710" s="1" t="n"/>
      <c r="J710" s="1" t="n"/>
      <c r="K710" s="1" t="n"/>
      <c r="L710" s="1" t="n"/>
      <c r="M710" s="1" t="n"/>
      <c r="N710" s="1" t="n"/>
      <c r="O710" s="1" t="n"/>
    </row>
    <row r="711" ht="15.75" customHeight="1" s="311">
      <c r="A711" s="1" t="n"/>
      <c r="B711" s="1" t="n"/>
      <c r="C711" s="1" t="n"/>
      <c r="D711" s="1" t="n"/>
      <c r="E711" s="1" t="n"/>
      <c r="F711" s="1" t="n"/>
      <c r="G711" s="1" t="n"/>
      <c r="H711" s="1" t="n"/>
      <c r="I711" s="1" t="n"/>
      <c r="J711" s="1" t="n"/>
      <c r="K711" s="1" t="n"/>
      <c r="L711" s="1" t="n"/>
      <c r="M711" s="1" t="n"/>
      <c r="N711" s="1" t="n"/>
      <c r="O711" s="1" t="n"/>
    </row>
    <row r="712" ht="15.75" customHeight="1" s="311">
      <c r="A712" s="1" t="n"/>
      <c r="B712" s="1" t="n"/>
      <c r="C712" s="1" t="n"/>
      <c r="D712" s="1" t="n"/>
      <c r="E712" s="1" t="n"/>
      <c r="F712" s="1" t="n"/>
      <c r="G712" s="1" t="n"/>
      <c r="H712" s="1" t="n"/>
      <c r="I712" s="1" t="n"/>
      <c r="J712" s="1" t="n"/>
      <c r="K712" s="1" t="n"/>
      <c r="L712" s="1" t="n"/>
      <c r="M712" s="1" t="n"/>
      <c r="N712" s="1" t="n"/>
      <c r="O712" s="1" t="n"/>
    </row>
    <row r="713" ht="15.75" customHeight="1" s="311">
      <c r="A713" s="1" t="n"/>
      <c r="B713" s="1" t="n"/>
      <c r="C713" s="1" t="n"/>
      <c r="D713" s="1" t="n"/>
      <c r="E713" s="1" t="n"/>
      <c r="F713" s="1" t="n"/>
      <c r="G713" s="1" t="n"/>
      <c r="H713" s="1" t="n"/>
      <c r="I713" s="1" t="n"/>
      <c r="J713" s="1" t="n"/>
      <c r="K713" s="1" t="n"/>
      <c r="L713" s="1" t="n"/>
      <c r="M713" s="1" t="n"/>
      <c r="N713" s="1" t="n"/>
      <c r="O713" s="1" t="n"/>
    </row>
    <row r="714" ht="15.75" customHeight="1" s="311">
      <c r="A714" s="1" t="n"/>
      <c r="B714" s="1" t="n"/>
      <c r="C714" s="1" t="n"/>
      <c r="D714" s="1" t="n"/>
      <c r="E714" s="1" t="n"/>
      <c r="F714" s="1" t="n"/>
      <c r="G714" s="1" t="n"/>
      <c r="H714" s="1" t="n"/>
      <c r="I714" s="1" t="n"/>
      <c r="J714" s="1" t="n"/>
      <c r="K714" s="1" t="n"/>
      <c r="L714" s="1" t="n"/>
      <c r="M714" s="1" t="n"/>
      <c r="N714" s="1" t="n"/>
      <c r="O714" s="1" t="n"/>
    </row>
    <row r="715" ht="15.75" customHeight="1" s="311">
      <c r="A715" s="1" t="n"/>
      <c r="B715" s="1" t="n"/>
      <c r="C715" s="1" t="n"/>
      <c r="D715" s="1" t="n"/>
      <c r="E715" s="1" t="n"/>
      <c r="F715" s="1" t="n"/>
      <c r="G715" s="1" t="n"/>
      <c r="H715" s="1" t="n"/>
      <c r="I715" s="1" t="n"/>
      <c r="J715" s="1" t="n"/>
      <c r="K715" s="1" t="n"/>
      <c r="L715" s="1" t="n"/>
      <c r="M715" s="1" t="n"/>
      <c r="N715" s="1" t="n"/>
      <c r="O715" s="1" t="n"/>
    </row>
    <row r="716" ht="15.75" customHeight="1" s="311">
      <c r="A716" s="1" t="n"/>
      <c r="B716" s="1" t="n"/>
      <c r="C716" s="1" t="n"/>
      <c r="D716" s="1" t="n"/>
      <c r="E716" s="1" t="n"/>
      <c r="F716" s="1" t="n"/>
      <c r="G716" s="1" t="n"/>
      <c r="H716" s="1" t="n"/>
      <c r="I716" s="1" t="n"/>
      <c r="J716" s="1" t="n"/>
      <c r="K716" s="1" t="n"/>
      <c r="L716" s="1" t="n"/>
      <c r="M716" s="1" t="n"/>
      <c r="N716" s="1" t="n"/>
      <c r="O716" s="1" t="n"/>
    </row>
    <row r="717" ht="15.75" customHeight="1" s="311">
      <c r="A717" s="1" t="n"/>
      <c r="B717" s="1" t="n"/>
      <c r="C717" s="1" t="n"/>
      <c r="D717" s="1" t="n"/>
      <c r="E717" s="1" t="n"/>
      <c r="F717" s="1" t="n"/>
      <c r="G717" s="1" t="n"/>
      <c r="H717" s="1" t="n"/>
      <c r="I717" s="1" t="n"/>
      <c r="J717" s="1" t="n"/>
      <c r="K717" s="1" t="n"/>
      <c r="L717" s="1" t="n"/>
      <c r="M717" s="1" t="n"/>
      <c r="N717" s="1" t="n"/>
      <c r="O717" s="1" t="n"/>
    </row>
    <row r="718" ht="15.75" customHeight="1" s="311">
      <c r="A718" s="1" t="n"/>
      <c r="B718" s="1" t="n"/>
      <c r="C718" s="1" t="n"/>
      <c r="D718" s="1" t="n"/>
      <c r="E718" s="1" t="n"/>
      <c r="F718" s="1" t="n"/>
      <c r="G718" s="1" t="n"/>
      <c r="H718" s="1" t="n"/>
      <c r="I718" s="1" t="n"/>
      <c r="J718" s="1" t="n"/>
      <c r="K718" s="1" t="n"/>
      <c r="L718" s="1" t="n"/>
      <c r="M718" s="1" t="n"/>
      <c r="N718" s="1" t="n"/>
      <c r="O718" s="1" t="n"/>
    </row>
    <row r="719" ht="15.75" customHeight="1" s="311">
      <c r="A719" s="1" t="n"/>
      <c r="B719" s="1" t="n"/>
      <c r="C719" s="1" t="n"/>
      <c r="D719" s="1" t="n"/>
      <c r="E719" s="1" t="n"/>
      <c r="F719" s="1" t="n"/>
      <c r="G719" s="1" t="n"/>
      <c r="H719" s="1" t="n"/>
      <c r="I719" s="1" t="n"/>
      <c r="J719" s="1" t="n"/>
      <c r="K719" s="1" t="n"/>
      <c r="L719" s="1" t="n"/>
      <c r="M719" s="1" t="n"/>
      <c r="N719" s="1" t="n"/>
      <c r="O719" s="1" t="n"/>
    </row>
    <row r="720" ht="15.75" customHeight="1" s="311">
      <c r="A720" s="1" t="n"/>
      <c r="B720" s="1" t="n"/>
      <c r="C720" s="1" t="n"/>
      <c r="D720" s="1" t="n"/>
      <c r="E720" s="1" t="n"/>
      <c r="F720" s="1" t="n"/>
      <c r="G720" s="1" t="n"/>
      <c r="H720" s="1" t="n"/>
      <c r="I720" s="1" t="n"/>
      <c r="J720" s="1" t="n"/>
      <c r="K720" s="1" t="n"/>
      <c r="L720" s="1" t="n"/>
      <c r="M720" s="1" t="n"/>
      <c r="N720" s="1" t="n"/>
      <c r="O720" s="1" t="n"/>
    </row>
    <row r="721" ht="15.75" customHeight="1" s="311">
      <c r="A721" s="1" t="n"/>
      <c r="B721" s="1" t="n"/>
      <c r="C721" s="1" t="n"/>
      <c r="D721" s="1" t="n"/>
      <c r="E721" s="1" t="n"/>
      <c r="F721" s="1" t="n"/>
      <c r="G721" s="1" t="n"/>
      <c r="H721" s="1" t="n"/>
      <c r="I721" s="1" t="n"/>
      <c r="J721" s="1" t="n"/>
      <c r="K721" s="1" t="n"/>
      <c r="L721" s="1" t="n"/>
      <c r="M721" s="1" t="n"/>
      <c r="N721" s="1" t="n"/>
      <c r="O721" s="1" t="n"/>
    </row>
    <row r="722" ht="15.75" customHeight="1" s="311">
      <c r="A722" s="1" t="n"/>
      <c r="B722" s="1" t="n"/>
      <c r="C722" s="1" t="n"/>
      <c r="D722" s="1" t="n"/>
      <c r="E722" s="1" t="n"/>
      <c r="F722" s="1" t="n"/>
      <c r="G722" s="1" t="n"/>
      <c r="H722" s="1" t="n"/>
      <c r="I722" s="1" t="n"/>
      <c r="J722" s="1" t="n"/>
      <c r="K722" s="1" t="n"/>
      <c r="L722" s="1" t="n"/>
      <c r="M722" s="1" t="n"/>
      <c r="N722" s="1" t="n"/>
      <c r="O722" s="1" t="n"/>
    </row>
    <row r="723" ht="15.75" customHeight="1" s="311">
      <c r="A723" s="1" t="n"/>
      <c r="B723" s="1" t="n"/>
      <c r="C723" s="1" t="n"/>
      <c r="D723" s="1" t="n"/>
      <c r="E723" s="1" t="n"/>
      <c r="F723" s="1" t="n"/>
      <c r="G723" s="1" t="n"/>
      <c r="H723" s="1" t="n"/>
      <c r="I723" s="1" t="n"/>
      <c r="J723" s="1" t="n"/>
      <c r="K723" s="1" t="n"/>
      <c r="L723" s="1" t="n"/>
      <c r="M723" s="1" t="n"/>
      <c r="N723" s="1" t="n"/>
      <c r="O723" s="1" t="n"/>
    </row>
    <row r="724" ht="15.75" customHeight="1" s="311">
      <c r="A724" s="1" t="n"/>
      <c r="B724" s="1" t="n"/>
      <c r="C724" s="1" t="n"/>
      <c r="D724" s="1" t="n"/>
      <c r="E724" s="1" t="n"/>
      <c r="F724" s="1" t="n"/>
      <c r="G724" s="1" t="n"/>
      <c r="H724" s="1" t="n"/>
      <c r="I724" s="1" t="n"/>
      <c r="J724" s="1" t="n"/>
      <c r="K724" s="1" t="n"/>
      <c r="L724" s="1" t="n"/>
      <c r="M724" s="1" t="n"/>
      <c r="N724" s="1" t="n"/>
      <c r="O724" s="1" t="n"/>
    </row>
    <row r="725" ht="15.75" customHeight="1" s="311">
      <c r="A725" s="1" t="n"/>
      <c r="B725" s="1" t="n"/>
      <c r="C725" s="1" t="n"/>
      <c r="D725" s="1" t="n"/>
      <c r="E725" s="1" t="n"/>
      <c r="F725" s="1" t="n"/>
      <c r="G725" s="1" t="n"/>
      <c r="H725" s="1" t="n"/>
      <c r="I725" s="1" t="n"/>
      <c r="J725" s="1" t="n"/>
      <c r="K725" s="1" t="n"/>
      <c r="L725" s="1" t="n"/>
      <c r="M725" s="1" t="n"/>
      <c r="N725" s="1" t="n"/>
      <c r="O725" s="1" t="n"/>
    </row>
    <row r="726" ht="15.75" customHeight="1" s="311">
      <c r="A726" s="1" t="n"/>
      <c r="B726" s="1" t="n"/>
      <c r="C726" s="1" t="n"/>
      <c r="D726" s="1" t="n"/>
      <c r="E726" s="1" t="n"/>
      <c r="F726" s="1" t="n"/>
      <c r="G726" s="1" t="n"/>
      <c r="H726" s="1" t="n"/>
      <c r="I726" s="1" t="n"/>
      <c r="J726" s="1" t="n"/>
      <c r="K726" s="1" t="n"/>
      <c r="L726" s="1" t="n"/>
      <c r="M726" s="1" t="n"/>
      <c r="N726" s="1" t="n"/>
      <c r="O726" s="1" t="n"/>
    </row>
    <row r="727" ht="15.75" customHeight="1" s="311">
      <c r="A727" s="1" t="n"/>
      <c r="B727" s="1" t="n"/>
      <c r="C727" s="1" t="n"/>
      <c r="D727" s="1" t="n"/>
      <c r="E727" s="1" t="n"/>
      <c r="F727" s="1" t="n"/>
      <c r="G727" s="1" t="n"/>
      <c r="H727" s="1" t="n"/>
      <c r="I727" s="1" t="n"/>
      <c r="J727" s="1" t="n"/>
      <c r="K727" s="1" t="n"/>
      <c r="L727" s="1" t="n"/>
      <c r="M727" s="1" t="n"/>
      <c r="N727" s="1" t="n"/>
      <c r="O727" s="1" t="n"/>
    </row>
    <row r="728" ht="15.75" customHeight="1" s="311">
      <c r="A728" s="1" t="n"/>
      <c r="B728" s="1" t="n"/>
      <c r="C728" s="1" t="n"/>
      <c r="D728" s="1" t="n"/>
      <c r="E728" s="1" t="n"/>
      <c r="F728" s="1" t="n"/>
      <c r="G728" s="1" t="n"/>
      <c r="H728" s="1" t="n"/>
      <c r="I728" s="1" t="n"/>
      <c r="J728" s="1" t="n"/>
      <c r="K728" s="1" t="n"/>
      <c r="L728" s="1" t="n"/>
      <c r="M728" s="1" t="n"/>
      <c r="N728" s="1" t="n"/>
      <c r="O728" s="1" t="n"/>
    </row>
    <row r="729" ht="15.75" customHeight="1" s="311">
      <c r="A729" s="1" t="n"/>
      <c r="B729" s="1" t="n"/>
      <c r="C729" s="1" t="n"/>
      <c r="D729" s="1" t="n"/>
      <c r="E729" s="1" t="n"/>
      <c r="F729" s="1" t="n"/>
      <c r="G729" s="1" t="n"/>
      <c r="H729" s="1" t="n"/>
      <c r="I729" s="1" t="n"/>
      <c r="J729" s="1" t="n"/>
      <c r="K729" s="1" t="n"/>
      <c r="L729" s="1" t="n"/>
      <c r="M729" s="1" t="n"/>
      <c r="N729" s="1" t="n"/>
      <c r="O729" s="1" t="n"/>
    </row>
    <row r="730" ht="15.75" customHeight="1" s="311">
      <c r="A730" s="1" t="n"/>
      <c r="B730" s="1" t="n"/>
      <c r="C730" s="1" t="n"/>
      <c r="D730" s="1" t="n"/>
      <c r="E730" s="1" t="n"/>
      <c r="F730" s="1" t="n"/>
      <c r="G730" s="1" t="n"/>
      <c r="H730" s="1" t="n"/>
      <c r="I730" s="1" t="n"/>
      <c r="J730" s="1" t="n"/>
      <c r="K730" s="1" t="n"/>
      <c r="L730" s="1" t="n"/>
      <c r="M730" s="1" t="n"/>
      <c r="N730" s="1" t="n"/>
      <c r="O730" s="1" t="n"/>
    </row>
    <row r="731" ht="15.75" customHeight="1" s="311">
      <c r="A731" s="1" t="n"/>
      <c r="B731" s="1" t="n"/>
      <c r="C731" s="1" t="n"/>
      <c r="D731" s="1" t="n"/>
      <c r="E731" s="1" t="n"/>
      <c r="F731" s="1" t="n"/>
      <c r="G731" s="1" t="n"/>
      <c r="H731" s="1" t="n"/>
      <c r="I731" s="1" t="n"/>
      <c r="J731" s="1" t="n"/>
      <c r="K731" s="1" t="n"/>
      <c r="L731" s="1" t="n"/>
      <c r="M731" s="1" t="n"/>
      <c r="N731" s="1" t="n"/>
      <c r="O731" s="1" t="n"/>
    </row>
    <row r="732" ht="15.75" customHeight="1" s="311">
      <c r="A732" s="1" t="n"/>
      <c r="B732" s="1" t="n"/>
      <c r="C732" s="1" t="n"/>
      <c r="D732" s="1" t="n"/>
      <c r="E732" s="1" t="n"/>
      <c r="F732" s="1" t="n"/>
      <c r="G732" s="1" t="n"/>
      <c r="H732" s="1" t="n"/>
      <c r="I732" s="1" t="n"/>
      <c r="J732" s="1" t="n"/>
      <c r="K732" s="1" t="n"/>
      <c r="L732" s="1" t="n"/>
      <c r="M732" s="1" t="n"/>
      <c r="N732" s="1" t="n"/>
      <c r="O732" s="1" t="n"/>
    </row>
    <row r="733" ht="15.75" customHeight="1" s="311">
      <c r="A733" s="1" t="n"/>
      <c r="B733" s="1" t="n"/>
      <c r="C733" s="1" t="n"/>
      <c r="D733" s="1" t="n"/>
      <c r="E733" s="1" t="n"/>
      <c r="F733" s="1" t="n"/>
      <c r="G733" s="1" t="n"/>
      <c r="H733" s="1" t="n"/>
      <c r="I733" s="1" t="n"/>
      <c r="J733" s="1" t="n"/>
      <c r="K733" s="1" t="n"/>
      <c r="L733" s="1" t="n"/>
      <c r="M733" s="1" t="n"/>
      <c r="N733" s="1" t="n"/>
      <c r="O733" s="1" t="n"/>
    </row>
    <row r="734" ht="15.75" customHeight="1" s="311">
      <c r="A734" s="1" t="n"/>
      <c r="B734" s="1" t="n"/>
      <c r="C734" s="1" t="n"/>
      <c r="D734" s="1" t="n"/>
      <c r="E734" s="1" t="n"/>
      <c r="F734" s="1" t="n"/>
      <c r="G734" s="1" t="n"/>
      <c r="H734" s="1" t="n"/>
      <c r="I734" s="1" t="n"/>
      <c r="J734" s="1" t="n"/>
      <c r="K734" s="1" t="n"/>
      <c r="L734" s="1" t="n"/>
      <c r="M734" s="1" t="n"/>
      <c r="N734" s="1" t="n"/>
      <c r="O734" s="1" t="n"/>
    </row>
    <row r="735" ht="15.75" customHeight="1" s="311">
      <c r="A735" s="1" t="n"/>
      <c r="B735" s="1" t="n"/>
      <c r="C735" s="1" t="n"/>
      <c r="D735" s="1" t="n"/>
      <c r="E735" s="1" t="n"/>
      <c r="F735" s="1" t="n"/>
      <c r="G735" s="1" t="n"/>
      <c r="H735" s="1" t="n"/>
      <c r="I735" s="1" t="n"/>
      <c r="J735" s="1" t="n"/>
      <c r="K735" s="1" t="n"/>
      <c r="L735" s="1" t="n"/>
      <c r="M735" s="1" t="n"/>
      <c r="N735" s="1" t="n"/>
      <c r="O735" s="1" t="n"/>
    </row>
    <row r="736" ht="15.75" customHeight="1" s="311">
      <c r="A736" s="1" t="n"/>
      <c r="B736" s="1" t="n"/>
      <c r="C736" s="1" t="n"/>
      <c r="D736" s="1" t="n"/>
      <c r="E736" s="1" t="n"/>
      <c r="F736" s="1" t="n"/>
      <c r="G736" s="1" t="n"/>
      <c r="H736" s="1" t="n"/>
      <c r="I736" s="1" t="n"/>
      <c r="J736" s="1" t="n"/>
      <c r="K736" s="1" t="n"/>
      <c r="L736" s="1" t="n"/>
      <c r="M736" s="1" t="n"/>
      <c r="N736" s="1" t="n"/>
      <c r="O736" s="1" t="n"/>
    </row>
    <row r="737" ht="15.75" customHeight="1" s="311">
      <c r="A737" s="1" t="n"/>
      <c r="B737" s="1" t="n"/>
      <c r="C737" s="1" t="n"/>
      <c r="D737" s="1" t="n"/>
      <c r="E737" s="1" t="n"/>
      <c r="F737" s="1" t="n"/>
      <c r="G737" s="1" t="n"/>
      <c r="H737" s="1" t="n"/>
      <c r="I737" s="1" t="n"/>
      <c r="J737" s="1" t="n"/>
      <c r="K737" s="1" t="n"/>
      <c r="L737" s="1" t="n"/>
      <c r="M737" s="1" t="n"/>
      <c r="N737" s="1" t="n"/>
      <c r="O737" s="1" t="n"/>
    </row>
    <row r="738" ht="15.75" customHeight="1" s="311">
      <c r="A738" s="1" t="n"/>
      <c r="B738" s="1" t="n"/>
      <c r="C738" s="1" t="n"/>
      <c r="D738" s="1" t="n"/>
      <c r="E738" s="1" t="n"/>
      <c r="F738" s="1" t="n"/>
      <c r="G738" s="1" t="n"/>
      <c r="H738" s="1" t="n"/>
      <c r="I738" s="1" t="n"/>
      <c r="J738" s="1" t="n"/>
      <c r="K738" s="1" t="n"/>
      <c r="L738" s="1" t="n"/>
      <c r="M738" s="1" t="n"/>
      <c r="N738" s="1" t="n"/>
      <c r="O738" s="1" t="n"/>
    </row>
    <row r="739" ht="15.75" customHeight="1" s="311">
      <c r="A739" s="1" t="n"/>
      <c r="B739" s="1" t="n"/>
      <c r="C739" s="1" t="n"/>
      <c r="D739" s="1" t="n"/>
      <c r="E739" s="1" t="n"/>
      <c r="F739" s="1" t="n"/>
      <c r="G739" s="1" t="n"/>
      <c r="H739" s="1" t="n"/>
      <c r="I739" s="1" t="n"/>
      <c r="J739" s="1" t="n"/>
      <c r="K739" s="1" t="n"/>
      <c r="L739" s="1" t="n"/>
      <c r="M739" s="1" t="n"/>
      <c r="N739" s="1" t="n"/>
      <c r="O739" s="1" t="n"/>
    </row>
    <row r="740" ht="15.75" customHeight="1" s="311">
      <c r="A740" s="1" t="n"/>
      <c r="B740" s="1" t="n"/>
      <c r="C740" s="1" t="n"/>
      <c r="D740" s="1" t="n"/>
      <c r="E740" s="1" t="n"/>
      <c r="F740" s="1" t="n"/>
      <c r="G740" s="1" t="n"/>
      <c r="H740" s="1" t="n"/>
      <c r="I740" s="1" t="n"/>
      <c r="J740" s="1" t="n"/>
      <c r="K740" s="1" t="n"/>
      <c r="L740" s="1" t="n"/>
      <c r="M740" s="1" t="n"/>
      <c r="N740" s="1" t="n"/>
      <c r="O740" s="1" t="n"/>
    </row>
    <row r="741" ht="15.75" customHeight="1" s="311">
      <c r="A741" s="1" t="n"/>
      <c r="B741" s="1" t="n"/>
      <c r="C741" s="1" t="n"/>
      <c r="D741" s="1" t="n"/>
      <c r="E741" s="1" t="n"/>
      <c r="F741" s="1" t="n"/>
      <c r="G741" s="1" t="n"/>
      <c r="H741" s="1" t="n"/>
      <c r="I741" s="1" t="n"/>
      <c r="J741" s="1" t="n"/>
      <c r="K741" s="1" t="n"/>
      <c r="L741" s="1" t="n"/>
      <c r="M741" s="1" t="n"/>
      <c r="N741" s="1" t="n"/>
      <c r="O741" s="1" t="n"/>
    </row>
    <row r="742" ht="15.75" customHeight="1" s="311">
      <c r="A742" s="1" t="n"/>
      <c r="B742" s="1" t="n"/>
      <c r="C742" s="1" t="n"/>
      <c r="D742" s="1" t="n"/>
      <c r="E742" s="1" t="n"/>
      <c r="F742" s="1" t="n"/>
      <c r="G742" s="1" t="n"/>
      <c r="H742" s="1" t="n"/>
      <c r="I742" s="1" t="n"/>
      <c r="J742" s="1" t="n"/>
      <c r="K742" s="1" t="n"/>
      <c r="L742" s="1" t="n"/>
      <c r="M742" s="1" t="n"/>
      <c r="N742" s="1" t="n"/>
      <c r="O742" s="1" t="n"/>
    </row>
    <row r="743" ht="15.75" customHeight="1" s="311">
      <c r="A743" s="1" t="n"/>
      <c r="B743" s="1" t="n"/>
      <c r="C743" s="1" t="n"/>
      <c r="D743" s="1" t="n"/>
      <c r="E743" s="1" t="n"/>
      <c r="F743" s="1" t="n"/>
      <c r="G743" s="1" t="n"/>
      <c r="H743" s="1" t="n"/>
      <c r="I743" s="1" t="n"/>
      <c r="J743" s="1" t="n"/>
      <c r="K743" s="1" t="n"/>
      <c r="L743" s="1" t="n"/>
      <c r="M743" s="1" t="n"/>
      <c r="N743" s="1" t="n"/>
      <c r="O743" s="1" t="n"/>
    </row>
    <row r="744" ht="15.75" customHeight="1" s="311">
      <c r="A744" s="1" t="n"/>
      <c r="B744" s="1" t="n"/>
      <c r="C744" s="1" t="n"/>
      <c r="D744" s="1" t="n"/>
      <c r="E744" s="1" t="n"/>
      <c r="F744" s="1" t="n"/>
      <c r="G744" s="1" t="n"/>
      <c r="H744" s="1" t="n"/>
      <c r="I744" s="1" t="n"/>
      <c r="J744" s="1" t="n"/>
      <c r="K744" s="1" t="n"/>
      <c r="L744" s="1" t="n"/>
      <c r="M744" s="1" t="n"/>
      <c r="N744" s="1" t="n"/>
      <c r="O744" s="1" t="n"/>
    </row>
    <row r="745" ht="15.75" customHeight="1" s="311">
      <c r="A745" s="1" t="n"/>
      <c r="B745" s="1" t="n"/>
      <c r="C745" s="1" t="n"/>
      <c r="D745" s="1" t="n"/>
      <c r="E745" s="1" t="n"/>
      <c r="F745" s="1" t="n"/>
      <c r="G745" s="1" t="n"/>
      <c r="H745" s="1" t="n"/>
      <c r="I745" s="1" t="n"/>
      <c r="J745" s="1" t="n"/>
      <c r="K745" s="1" t="n"/>
      <c r="L745" s="1" t="n"/>
      <c r="M745" s="1" t="n"/>
      <c r="N745" s="1" t="n"/>
      <c r="O745" s="1" t="n"/>
    </row>
    <row r="746" ht="15.75" customHeight="1" s="311">
      <c r="A746" s="1" t="n"/>
      <c r="B746" s="1" t="n"/>
      <c r="C746" s="1" t="n"/>
      <c r="D746" s="1" t="n"/>
      <c r="E746" s="1" t="n"/>
      <c r="F746" s="1" t="n"/>
      <c r="G746" s="1" t="n"/>
      <c r="H746" s="1" t="n"/>
      <c r="I746" s="1" t="n"/>
      <c r="J746" s="1" t="n"/>
      <c r="K746" s="1" t="n"/>
      <c r="L746" s="1" t="n"/>
      <c r="M746" s="1" t="n"/>
      <c r="N746" s="1" t="n"/>
      <c r="O746" s="1" t="n"/>
    </row>
    <row r="747" ht="15.75" customHeight="1" s="311">
      <c r="A747" s="1" t="n"/>
      <c r="B747" s="1" t="n"/>
      <c r="C747" s="1" t="n"/>
      <c r="D747" s="1" t="n"/>
      <c r="E747" s="1" t="n"/>
      <c r="F747" s="1" t="n"/>
      <c r="G747" s="1" t="n"/>
      <c r="H747" s="1" t="n"/>
      <c r="I747" s="1" t="n"/>
      <c r="J747" s="1" t="n"/>
      <c r="K747" s="1" t="n"/>
      <c r="L747" s="1" t="n"/>
      <c r="M747" s="1" t="n"/>
      <c r="N747" s="1" t="n"/>
      <c r="O747" s="1" t="n"/>
    </row>
    <row r="748" ht="15.75" customHeight="1" s="311">
      <c r="A748" s="1" t="n"/>
      <c r="B748" s="1" t="n"/>
      <c r="C748" s="1" t="n"/>
      <c r="D748" s="1" t="n"/>
      <c r="E748" s="1" t="n"/>
      <c r="F748" s="1" t="n"/>
      <c r="G748" s="1" t="n"/>
      <c r="H748" s="1" t="n"/>
      <c r="I748" s="1" t="n"/>
      <c r="J748" s="1" t="n"/>
      <c r="K748" s="1" t="n"/>
      <c r="L748" s="1" t="n"/>
      <c r="M748" s="1" t="n"/>
      <c r="N748" s="1" t="n"/>
      <c r="O748" s="1" t="n"/>
    </row>
    <row r="749" ht="15.75" customHeight="1" s="311">
      <c r="A749" s="1" t="n"/>
      <c r="B749" s="1" t="n"/>
      <c r="C749" s="1" t="n"/>
      <c r="D749" s="1" t="n"/>
      <c r="E749" s="1" t="n"/>
      <c r="F749" s="1" t="n"/>
      <c r="G749" s="1" t="n"/>
      <c r="H749" s="1" t="n"/>
      <c r="I749" s="1" t="n"/>
      <c r="J749" s="1" t="n"/>
      <c r="K749" s="1" t="n"/>
      <c r="L749" s="1" t="n"/>
      <c r="M749" s="1" t="n"/>
      <c r="N749" s="1" t="n"/>
      <c r="O749" s="1" t="n"/>
    </row>
    <row r="750" ht="15.75" customHeight="1" s="311">
      <c r="A750" s="1" t="n"/>
      <c r="B750" s="1" t="n"/>
      <c r="C750" s="1" t="n"/>
      <c r="D750" s="1" t="n"/>
      <c r="E750" s="1" t="n"/>
      <c r="F750" s="1" t="n"/>
      <c r="G750" s="1" t="n"/>
      <c r="H750" s="1" t="n"/>
      <c r="I750" s="1" t="n"/>
      <c r="J750" s="1" t="n"/>
      <c r="K750" s="1" t="n"/>
      <c r="L750" s="1" t="n"/>
      <c r="M750" s="1" t="n"/>
      <c r="N750" s="1" t="n"/>
      <c r="O750" s="1" t="n"/>
    </row>
    <row r="751" ht="15.75" customHeight="1" s="311">
      <c r="A751" s="1" t="n"/>
      <c r="B751" s="1" t="n"/>
      <c r="C751" s="1" t="n"/>
      <c r="D751" s="1" t="n"/>
      <c r="E751" s="1" t="n"/>
      <c r="F751" s="1" t="n"/>
      <c r="G751" s="1" t="n"/>
      <c r="H751" s="1" t="n"/>
      <c r="I751" s="1" t="n"/>
      <c r="J751" s="1" t="n"/>
      <c r="K751" s="1" t="n"/>
      <c r="L751" s="1" t="n"/>
      <c r="M751" s="1" t="n"/>
      <c r="N751" s="1" t="n"/>
      <c r="O751" s="1" t="n"/>
    </row>
    <row r="752" ht="15.75" customHeight="1" s="311">
      <c r="A752" s="1" t="n"/>
      <c r="B752" s="1" t="n"/>
      <c r="C752" s="1" t="n"/>
      <c r="D752" s="1" t="n"/>
      <c r="E752" s="1" t="n"/>
      <c r="F752" s="1" t="n"/>
      <c r="G752" s="1" t="n"/>
      <c r="H752" s="1" t="n"/>
      <c r="I752" s="1" t="n"/>
      <c r="J752" s="1" t="n"/>
      <c r="K752" s="1" t="n"/>
      <c r="L752" s="1" t="n"/>
      <c r="M752" s="1" t="n"/>
      <c r="N752" s="1" t="n"/>
      <c r="O752" s="1" t="n"/>
    </row>
    <row r="753" ht="15.75" customHeight="1" s="311">
      <c r="A753" s="1" t="n"/>
      <c r="B753" s="1" t="n"/>
      <c r="C753" s="1" t="n"/>
      <c r="D753" s="1" t="n"/>
      <c r="E753" s="1" t="n"/>
      <c r="F753" s="1" t="n"/>
      <c r="G753" s="1" t="n"/>
      <c r="H753" s="1" t="n"/>
      <c r="I753" s="1" t="n"/>
      <c r="J753" s="1" t="n"/>
      <c r="K753" s="1" t="n"/>
      <c r="L753" s="1" t="n"/>
      <c r="M753" s="1" t="n"/>
      <c r="N753" s="1" t="n"/>
      <c r="O753" s="1" t="n"/>
    </row>
    <row r="754" ht="15.75" customHeight="1" s="311">
      <c r="A754" s="1" t="n"/>
      <c r="B754" s="1" t="n"/>
      <c r="C754" s="1" t="n"/>
      <c r="D754" s="1" t="n"/>
      <c r="E754" s="1" t="n"/>
      <c r="F754" s="1" t="n"/>
      <c r="G754" s="1" t="n"/>
      <c r="H754" s="1" t="n"/>
      <c r="I754" s="1" t="n"/>
      <c r="J754" s="1" t="n"/>
      <c r="K754" s="1" t="n"/>
      <c r="L754" s="1" t="n"/>
      <c r="M754" s="1" t="n"/>
      <c r="N754" s="1" t="n"/>
      <c r="O754" s="1" t="n"/>
    </row>
    <row r="755" ht="15.75" customHeight="1" s="311">
      <c r="A755" s="1" t="n"/>
      <c r="B755" s="1" t="n"/>
      <c r="C755" s="1" t="n"/>
      <c r="D755" s="1" t="n"/>
      <c r="E755" s="1" t="n"/>
      <c r="F755" s="1" t="n"/>
      <c r="G755" s="1" t="n"/>
      <c r="H755" s="1" t="n"/>
      <c r="I755" s="1" t="n"/>
      <c r="J755" s="1" t="n"/>
      <c r="K755" s="1" t="n"/>
      <c r="L755" s="1" t="n"/>
      <c r="M755" s="1" t="n"/>
      <c r="N755" s="1" t="n"/>
      <c r="O755" s="1" t="n"/>
    </row>
    <row r="756" ht="15.75" customHeight="1" s="311">
      <c r="A756" s="1" t="n"/>
      <c r="B756" s="1" t="n"/>
      <c r="C756" s="1" t="n"/>
      <c r="D756" s="1" t="n"/>
      <c r="E756" s="1" t="n"/>
      <c r="F756" s="1" t="n"/>
      <c r="G756" s="1" t="n"/>
      <c r="H756" s="1" t="n"/>
      <c r="I756" s="1" t="n"/>
      <c r="J756" s="1" t="n"/>
      <c r="K756" s="1" t="n"/>
      <c r="L756" s="1" t="n"/>
      <c r="M756" s="1" t="n"/>
      <c r="N756" s="1" t="n"/>
      <c r="O756" s="1" t="n"/>
    </row>
    <row r="757" ht="15.75" customHeight="1" s="311">
      <c r="A757" s="1" t="n"/>
      <c r="B757" s="1" t="n"/>
      <c r="C757" s="1" t="n"/>
      <c r="D757" s="1" t="n"/>
      <c r="E757" s="1" t="n"/>
      <c r="F757" s="1" t="n"/>
      <c r="G757" s="1" t="n"/>
      <c r="H757" s="1" t="n"/>
      <c r="I757" s="1" t="n"/>
      <c r="J757" s="1" t="n"/>
      <c r="K757" s="1" t="n"/>
      <c r="L757" s="1" t="n"/>
      <c r="M757" s="1" t="n"/>
      <c r="N757" s="1" t="n"/>
      <c r="O757" s="1" t="n"/>
    </row>
    <row r="758" ht="15.75" customHeight="1" s="311">
      <c r="A758" s="1" t="n"/>
      <c r="B758" s="1" t="n"/>
      <c r="C758" s="1" t="n"/>
      <c r="D758" s="1" t="n"/>
      <c r="E758" s="1" t="n"/>
      <c r="F758" s="1" t="n"/>
      <c r="G758" s="1" t="n"/>
      <c r="H758" s="1" t="n"/>
      <c r="I758" s="1" t="n"/>
      <c r="J758" s="1" t="n"/>
      <c r="K758" s="1" t="n"/>
      <c r="L758" s="1" t="n"/>
      <c r="M758" s="1" t="n"/>
      <c r="N758" s="1" t="n"/>
      <c r="O758" s="1" t="n"/>
    </row>
    <row r="759" ht="15.75" customHeight="1" s="311">
      <c r="A759" s="1" t="n"/>
      <c r="B759" s="1" t="n"/>
      <c r="C759" s="1" t="n"/>
      <c r="D759" s="1" t="n"/>
      <c r="E759" s="1" t="n"/>
      <c r="F759" s="1" t="n"/>
      <c r="G759" s="1" t="n"/>
      <c r="H759" s="1" t="n"/>
      <c r="I759" s="1" t="n"/>
      <c r="J759" s="1" t="n"/>
      <c r="K759" s="1" t="n"/>
      <c r="L759" s="1" t="n"/>
      <c r="M759" s="1" t="n"/>
      <c r="N759" s="1" t="n"/>
      <c r="O759" s="1" t="n"/>
    </row>
    <row r="760" ht="15.75" customHeight="1" s="311">
      <c r="A760" s="1" t="n"/>
      <c r="B760" s="1" t="n"/>
      <c r="C760" s="1" t="n"/>
      <c r="D760" s="1" t="n"/>
      <c r="E760" s="1" t="n"/>
      <c r="F760" s="1" t="n"/>
      <c r="G760" s="1" t="n"/>
      <c r="H760" s="1" t="n"/>
      <c r="I760" s="1" t="n"/>
      <c r="J760" s="1" t="n"/>
      <c r="K760" s="1" t="n"/>
      <c r="L760" s="1" t="n"/>
      <c r="M760" s="1" t="n"/>
      <c r="N760" s="1" t="n"/>
      <c r="O760" s="1" t="n"/>
    </row>
    <row r="761" ht="15.75" customHeight="1" s="311">
      <c r="A761" s="1" t="n"/>
      <c r="B761" s="1" t="n"/>
      <c r="C761" s="1" t="n"/>
      <c r="D761" s="1" t="n"/>
      <c r="E761" s="1" t="n"/>
      <c r="F761" s="1" t="n"/>
      <c r="G761" s="1" t="n"/>
      <c r="H761" s="1" t="n"/>
      <c r="I761" s="1" t="n"/>
      <c r="J761" s="1" t="n"/>
      <c r="K761" s="1" t="n"/>
      <c r="L761" s="1" t="n"/>
      <c r="M761" s="1" t="n"/>
      <c r="N761" s="1" t="n"/>
      <c r="O761" s="1" t="n"/>
    </row>
    <row r="762" ht="15.75" customHeight="1" s="311">
      <c r="A762" s="1" t="n"/>
      <c r="B762" s="1" t="n"/>
      <c r="C762" s="1" t="n"/>
      <c r="D762" s="1" t="n"/>
      <c r="E762" s="1" t="n"/>
      <c r="F762" s="1" t="n"/>
      <c r="G762" s="1" t="n"/>
      <c r="H762" s="1" t="n"/>
      <c r="I762" s="1" t="n"/>
      <c r="J762" s="1" t="n"/>
      <c r="K762" s="1" t="n"/>
      <c r="L762" s="1" t="n"/>
      <c r="M762" s="1" t="n"/>
      <c r="N762" s="1" t="n"/>
      <c r="O762" s="1" t="n"/>
    </row>
    <row r="763" ht="15.75" customHeight="1" s="311">
      <c r="A763" s="1" t="n"/>
      <c r="B763" s="1" t="n"/>
      <c r="C763" s="1" t="n"/>
      <c r="D763" s="1" t="n"/>
      <c r="E763" s="1" t="n"/>
      <c r="F763" s="1" t="n"/>
      <c r="G763" s="1" t="n"/>
      <c r="H763" s="1" t="n"/>
      <c r="I763" s="1" t="n"/>
      <c r="J763" s="1" t="n"/>
      <c r="K763" s="1" t="n"/>
      <c r="L763" s="1" t="n"/>
      <c r="M763" s="1" t="n"/>
      <c r="N763" s="1" t="n"/>
      <c r="O763" s="1" t="n"/>
    </row>
    <row r="764" ht="15.75" customHeight="1" s="311">
      <c r="A764" s="1" t="n"/>
      <c r="B764" s="1" t="n"/>
      <c r="C764" s="1" t="n"/>
      <c r="D764" s="1" t="n"/>
      <c r="E764" s="1" t="n"/>
      <c r="F764" s="1" t="n"/>
      <c r="G764" s="1" t="n"/>
      <c r="H764" s="1" t="n"/>
      <c r="I764" s="1" t="n"/>
      <c r="J764" s="1" t="n"/>
      <c r="K764" s="1" t="n"/>
      <c r="L764" s="1" t="n"/>
      <c r="M764" s="1" t="n"/>
      <c r="N764" s="1" t="n"/>
      <c r="O764" s="1" t="n"/>
    </row>
    <row r="765" ht="15.75" customHeight="1" s="311">
      <c r="A765" s="1" t="n"/>
      <c r="B765" s="1" t="n"/>
      <c r="C765" s="1" t="n"/>
      <c r="D765" s="1" t="n"/>
      <c r="E765" s="1" t="n"/>
      <c r="F765" s="1" t="n"/>
      <c r="G765" s="1" t="n"/>
      <c r="H765" s="1" t="n"/>
      <c r="I765" s="1" t="n"/>
      <c r="J765" s="1" t="n"/>
      <c r="K765" s="1" t="n"/>
      <c r="L765" s="1" t="n"/>
      <c r="M765" s="1" t="n"/>
      <c r="N765" s="1" t="n"/>
      <c r="O765" s="1" t="n"/>
    </row>
    <row r="766" ht="15.75" customHeight="1" s="311">
      <c r="A766" s="1" t="n"/>
      <c r="B766" s="1" t="n"/>
      <c r="C766" s="1" t="n"/>
      <c r="D766" s="1" t="n"/>
      <c r="E766" s="1" t="n"/>
      <c r="F766" s="1" t="n"/>
      <c r="G766" s="1" t="n"/>
      <c r="H766" s="1" t="n"/>
      <c r="I766" s="1" t="n"/>
      <c r="J766" s="1" t="n"/>
      <c r="K766" s="1" t="n"/>
      <c r="L766" s="1" t="n"/>
      <c r="M766" s="1" t="n"/>
      <c r="N766" s="1" t="n"/>
      <c r="O766" s="1" t="n"/>
    </row>
    <row r="767" ht="15.75" customHeight="1" s="311">
      <c r="A767" s="1" t="n"/>
      <c r="B767" s="1" t="n"/>
      <c r="C767" s="1" t="n"/>
      <c r="D767" s="1" t="n"/>
      <c r="E767" s="1" t="n"/>
      <c r="F767" s="1" t="n"/>
      <c r="G767" s="1" t="n"/>
      <c r="H767" s="1" t="n"/>
      <c r="I767" s="1" t="n"/>
      <c r="J767" s="1" t="n"/>
      <c r="K767" s="1" t="n"/>
      <c r="L767" s="1" t="n"/>
      <c r="M767" s="1" t="n"/>
      <c r="N767" s="1" t="n"/>
      <c r="O767" s="1" t="n"/>
    </row>
    <row r="768" ht="15.75" customHeight="1" s="311">
      <c r="A768" s="1" t="n"/>
      <c r="B768" s="1" t="n"/>
      <c r="C768" s="1" t="n"/>
      <c r="D768" s="1" t="n"/>
      <c r="E768" s="1" t="n"/>
      <c r="F768" s="1" t="n"/>
      <c r="G768" s="1" t="n"/>
      <c r="H768" s="1" t="n"/>
      <c r="I768" s="1" t="n"/>
      <c r="J768" s="1" t="n"/>
      <c r="K768" s="1" t="n"/>
      <c r="L768" s="1" t="n"/>
      <c r="M768" s="1" t="n"/>
      <c r="N768" s="1" t="n"/>
      <c r="O768" s="1" t="n"/>
    </row>
    <row r="769" ht="15.75" customHeight="1" s="311">
      <c r="A769" s="1" t="n"/>
      <c r="B769" s="1" t="n"/>
      <c r="C769" s="1" t="n"/>
      <c r="D769" s="1" t="n"/>
      <c r="E769" s="1" t="n"/>
      <c r="F769" s="1" t="n"/>
      <c r="G769" s="1" t="n"/>
      <c r="H769" s="1" t="n"/>
      <c r="I769" s="1" t="n"/>
      <c r="J769" s="1" t="n"/>
      <c r="K769" s="1" t="n"/>
      <c r="L769" s="1" t="n"/>
      <c r="M769" s="1" t="n"/>
      <c r="N769" s="1" t="n"/>
      <c r="O769" s="1" t="n"/>
    </row>
    <row r="770" ht="15.75" customHeight="1" s="311">
      <c r="A770" s="1" t="n"/>
      <c r="B770" s="1" t="n"/>
      <c r="C770" s="1" t="n"/>
      <c r="D770" s="1" t="n"/>
      <c r="E770" s="1" t="n"/>
      <c r="F770" s="1" t="n"/>
      <c r="G770" s="1" t="n"/>
      <c r="H770" s="1" t="n"/>
      <c r="I770" s="1" t="n"/>
      <c r="J770" s="1" t="n"/>
      <c r="K770" s="1" t="n"/>
      <c r="L770" s="1" t="n"/>
      <c r="M770" s="1" t="n"/>
      <c r="N770" s="1" t="n"/>
      <c r="O770" s="1" t="n"/>
    </row>
    <row r="771" ht="15.75" customHeight="1" s="311">
      <c r="A771" s="1" t="n"/>
      <c r="B771" s="1" t="n"/>
      <c r="C771" s="1" t="n"/>
      <c r="D771" s="1" t="n"/>
      <c r="E771" s="1" t="n"/>
      <c r="F771" s="1" t="n"/>
      <c r="G771" s="1" t="n"/>
      <c r="H771" s="1" t="n"/>
      <c r="I771" s="1" t="n"/>
      <c r="J771" s="1" t="n"/>
      <c r="K771" s="1" t="n"/>
      <c r="L771" s="1" t="n"/>
      <c r="M771" s="1" t="n"/>
      <c r="N771" s="1" t="n"/>
      <c r="O771" s="1" t="n"/>
    </row>
    <row r="772" ht="15.75" customHeight="1" s="311">
      <c r="A772" s="1" t="n"/>
      <c r="B772" s="1" t="n"/>
      <c r="C772" s="1" t="n"/>
      <c r="D772" s="1" t="n"/>
      <c r="E772" s="1" t="n"/>
      <c r="F772" s="1" t="n"/>
      <c r="G772" s="1" t="n"/>
      <c r="H772" s="1" t="n"/>
      <c r="I772" s="1" t="n"/>
      <c r="J772" s="1" t="n"/>
      <c r="K772" s="1" t="n"/>
      <c r="L772" s="1" t="n"/>
      <c r="M772" s="1" t="n"/>
      <c r="N772" s="1" t="n"/>
      <c r="O772" s="1" t="n"/>
    </row>
    <row r="773" ht="15.75" customHeight="1" s="311">
      <c r="A773" s="1" t="n"/>
      <c r="B773" s="1" t="n"/>
      <c r="C773" s="1" t="n"/>
      <c r="D773" s="1" t="n"/>
      <c r="E773" s="1" t="n"/>
      <c r="F773" s="1" t="n"/>
      <c r="G773" s="1" t="n"/>
      <c r="H773" s="1" t="n"/>
      <c r="I773" s="1" t="n"/>
      <c r="J773" s="1" t="n"/>
      <c r="K773" s="1" t="n"/>
      <c r="L773" s="1" t="n"/>
      <c r="M773" s="1" t="n"/>
      <c r="N773" s="1" t="n"/>
      <c r="O773" s="1" t="n"/>
    </row>
    <row r="774" ht="15.75" customHeight="1" s="311">
      <c r="A774" s="1" t="n"/>
      <c r="B774" s="1" t="n"/>
      <c r="C774" s="1" t="n"/>
      <c r="D774" s="1" t="n"/>
      <c r="E774" s="1" t="n"/>
      <c r="F774" s="1" t="n"/>
      <c r="G774" s="1" t="n"/>
      <c r="H774" s="1" t="n"/>
      <c r="I774" s="1" t="n"/>
      <c r="J774" s="1" t="n"/>
      <c r="K774" s="1" t="n"/>
      <c r="L774" s="1" t="n"/>
      <c r="M774" s="1" t="n"/>
      <c r="N774" s="1" t="n"/>
      <c r="O774" s="1" t="n"/>
    </row>
    <row r="775" ht="15.75" customHeight="1" s="311">
      <c r="A775" s="1" t="n"/>
      <c r="B775" s="1" t="n"/>
      <c r="C775" s="1" t="n"/>
      <c r="D775" s="1" t="n"/>
      <c r="E775" s="1" t="n"/>
      <c r="F775" s="1" t="n"/>
      <c r="G775" s="1" t="n"/>
      <c r="H775" s="1" t="n"/>
      <c r="I775" s="1" t="n"/>
      <c r="J775" s="1" t="n"/>
      <c r="K775" s="1" t="n"/>
      <c r="L775" s="1" t="n"/>
      <c r="M775" s="1" t="n"/>
      <c r="N775" s="1" t="n"/>
      <c r="O775" s="1" t="n"/>
    </row>
    <row r="776" ht="15.75" customHeight="1" s="311">
      <c r="A776" s="1" t="n"/>
      <c r="B776" s="1" t="n"/>
      <c r="C776" s="1" t="n"/>
      <c r="D776" s="1" t="n"/>
      <c r="E776" s="1" t="n"/>
      <c r="F776" s="1" t="n"/>
      <c r="G776" s="1" t="n"/>
      <c r="H776" s="1" t="n"/>
      <c r="I776" s="1" t="n"/>
      <c r="J776" s="1" t="n"/>
      <c r="K776" s="1" t="n"/>
      <c r="L776" s="1" t="n"/>
      <c r="M776" s="1" t="n"/>
      <c r="N776" s="1" t="n"/>
      <c r="O776" s="1" t="n"/>
    </row>
    <row r="777" ht="15.75" customHeight="1" s="311">
      <c r="A777" s="1" t="n"/>
      <c r="B777" s="1" t="n"/>
      <c r="C777" s="1" t="n"/>
      <c r="D777" s="1" t="n"/>
      <c r="E777" s="1" t="n"/>
      <c r="F777" s="1" t="n"/>
      <c r="G777" s="1" t="n"/>
      <c r="H777" s="1" t="n"/>
      <c r="I777" s="1" t="n"/>
      <c r="J777" s="1" t="n"/>
      <c r="K777" s="1" t="n"/>
      <c r="L777" s="1" t="n"/>
      <c r="M777" s="1" t="n"/>
      <c r="N777" s="1" t="n"/>
      <c r="O777" s="1" t="n"/>
    </row>
    <row r="778" ht="15.75" customHeight="1" s="311">
      <c r="A778" s="1" t="n"/>
      <c r="B778" s="1" t="n"/>
      <c r="C778" s="1" t="n"/>
      <c r="D778" s="1" t="n"/>
      <c r="E778" s="1" t="n"/>
      <c r="F778" s="1" t="n"/>
      <c r="G778" s="1" t="n"/>
      <c r="H778" s="1" t="n"/>
      <c r="I778" s="1" t="n"/>
      <c r="J778" s="1" t="n"/>
      <c r="K778" s="1" t="n"/>
      <c r="L778" s="1" t="n"/>
      <c r="M778" s="1" t="n"/>
      <c r="N778" s="1" t="n"/>
      <c r="O778" s="1" t="n"/>
    </row>
    <row r="779" ht="15.75" customHeight="1" s="311">
      <c r="A779" s="1" t="n"/>
      <c r="B779" s="1" t="n"/>
      <c r="C779" s="1" t="n"/>
      <c r="D779" s="1" t="n"/>
      <c r="E779" s="1" t="n"/>
      <c r="F779" s="1" t="n"/>
      <c r="G779" s="1" t="n"/>
      <c r="H779" s="1" t="n"/>
      <c r="I779" s="1" t="n"/>
      <c r="J779" s="1" t="n"/>
      <c r="K779" s="1" t="n"/>
      <c r="L779" s="1" t="n"/>
      <c r="M779" s="1" t="n"/>
      <c r="N779" s="1" t="n"/>
      <c r="O779" s="1" t="n"/>
    </row>
    <row r="780" ht="15.75" customHeight="1" s="311">
      <c r="A780" s="1" t="n"/>
      <c r="B780" s="1" t="n"/>
      <c r="C780" s="1" t="n"/>
      <c r="D780" s="1" t="n"/>
      <c r="E780" s="1" t="n"/>
      <c r="F780" s="1" t="n"/>
      <c r="G780" s="1" t="n"/>
      <c r="H780" s="1" t="n"/>
      <c r="I780" s="1" t="n"/>
      <c r="J780" s="1" t="n"/>
      <c r="K780" s="1" t="n"/>
      <c r="L780" s="1" t="n"/>
      <c r="M780" s="1" t="n"/>
      <c r="N780" s="1" t="n"/>
      <c r="O780" s="1" t="n"/>
    </row>
    <row r="781" ht="15.75" customHeight="1" s="311">
      <c r="A781" s="1" t="n"/>
      <c r="B781" s="1" t="n"/>
      <c r="C781" s="1" t="n"/>
      <c r="D781" s="1" t="n"/>
      <c r="E781" s="1" t="n"/>
      <c r="F781" s="1" t="n"/>
      <c r="G781" s="1" t="n"/>
      <c r="H781" s="1" t="n"/>
      <c r="I781" s="1" t="n"/>
      <c r="J781" s="1" t="n"/>
      <c r="K781" s="1" t="n"/>
      <c r="L781" s="1" t="n"/>
      <c r="M781" s="1" t="n"/>
      <c r="N781" s="1" t="n"/>
      <c r="O781" s="1" t="n"/>
    </row>
    <row r="782" ht="15.75" customHeight="1" s="311">
      <c r="A782" s="1" t="n"/>
      <c r="B782" s="1" t="n"/>
      <c r="C782" s="1" t="n"/>
      <c r="D782" s="1" t="n"/>
      <c r="E782" s="1" t="n"/>
      <c r="F782" s="1" t="n"/>
      <c r="G782" s="1" t="n"/>
      <c r="H782" s="1" t="n"/>
      <c r="I782" s="1" t="n"/>
      <c r="J782" s="1" t="n"/>
      <c r="K782" s="1" t="n"/>
      <c r="L782" s="1" t="n"/>
      <c r="M782" s="1" t="n"/>
      <c r="N782" s="1" t="n"/>
      <c r="O782" s="1" t="n"/>
    </row>
    <row r="783" ht="15.75" customHeight="1" s="311">
      <c r="A783" s="1" t="n"/>
      <c r="B783" s="1" t="n"/>
      <c r="C783" s="1" t="n"/>
      <c r="D783" s="1" t="n"/>
      <c r="E783" s="1" t="n"/>
      <c r="F783" s="1" t="n"/>
      <c r="G783" s="1" t="n"/>
      <c r="H783" s="1" t="n"/>
      <c r="I783" s="1" t="n"/>
      <c r="J783" s="1" t="n"/>
      <c r="K783" s="1" t="n"/>
      <c r="L783" s="1" t="n"/>
      <c r="M783" s="1" t="n"/>
      <c r="N783" s="1" t="n"/>
      <c r="O783" s="1" t="n"/>
    </row>
    <row r="784" ht="15.75" customHeight="1" s="311">
      <c r="A784" s="1" t="n"/>
      <c r="B784" s="1" t="n"/>
      <c r="C784" s="1" t="n"/>
      <c r="D784" s="1" t="n"/>
      <c r="E784" s="1" t="n"/>
      <c r="F784" s="1" t="n"/>
      <c r="G784" s="1" t="n"/>
      <c r="H784" s="1" t="n"/>
      <c r="I784" s="1" t="n"/>
      <c r="J784" s="1" t="n"/>
      <c r="K784" s="1" t="n"/>
      <c r="L784" s="1" t="n"/>
      <c r="M784" s="1" t="n"/>
      <c r="N784" s="1" t="n"/>
      <c r="O784" s="1" t="n"/>
    </row>
    <row r="785" ht="15.75" customHeight="1" s="311">
      <c r="A785" s="1" t="n"/>
      <c r="B785" s="1" t="n"/>
      <c r="C785" s="1" t="n"/>
      <c r="D785" s="1" t="n"/>
      <c r="E785" s="1" t="n"/>
      <c r="F785" s="1" t="n"/>
      <c r="G785" s="1" t="n"/>
      <c r="H785" s="1" t="n"/>
      <c r="I785" s="1" t="n"/>
      <c r="J785" s="1" t="n"/>
      <c r="K785" s="1" t="n"/>
      <c r="L785" s="1" t="n"/>
      <c r="M785" s="1" t="n"/>
      <c r="N785" s="1" t="n"/>
      <c r="O785" s="1" t="n"/>
    </row>
    <row r="786" ht="15.75" customHeight="1" s="311">
      <c r="A786" s="1" t="n"/>
      <c r="B786" s="1" t="n"/>
      <c r="C786" s="1" t="n"/>
      <c r="D786" s="1" t="n"/>
      <c r="E786" s="1" t="n"/>
      <c r="F786" s="1" t="n"/>
      <c r="G786" s="1" t="n"/>
      <c r="H786" s="1" t="n"/>
      <c r="I786" s="1" t="n"/>
      <c r="J786" s="1" t="n"/>
      <c r="K786" s="1" t="n"/>
      <c r="L786" s="1" t="n"/>
      <c r="M786" s="1" t="n"/>
      <c r="N786" s="1" t="n"/>
      <c r="O786" s="1" t="n"/>
    </row>
    <row r="787" ht="15.75" customHeight="1" s="311">
      <c r="A787" s="1" t="n"/>
      <c r="B787" s="1" t="n"/>
      <c r="C787" s="1" t="n"/>
      <c r="D787" s="1" t="n"/>
      <c r="E787" s="1" t="n"/>
      <c r="F787" s="1" t="n"/>
      <c r="G787" s="1" t="n"/>
      <c r="H787" s="1" t="n"/>
      <c r="I787" s="1" t="n"/>
      <c r="J787" s="1" t="n"/>
      <c r="K787" s="1" t="n"/>
      <c r="L787" s="1" t="n"/>
      <c r="M787" s="1" t="n"/>
      <c r="N787" s="1" t="n"/>
      <c r="O787" s="1" t="n"/>
    </row>
    <row r="788" ht="15.75" customHeight="1" s="311">
      <c r="A788" s="1" t="n"/>
      <c r="B788" s="1" t="n"/>
      <c r="C788" s="1" t="n"/>
      <c r="D788" s="1" t="n"/>
      <c r="E788" s="1" t="n"/>
      <c r="F788" s="1" t="n"/>
      <c r="G788" s="1" t="n"/>
      <c r="H788" s="1" t="n"/>
      <c r="I788" s="1" t="n"/>
      <c r="J788" s="1" t="n"/>
      <c r="K788" s="1" t="n"/>
      <c r="L788" s="1" t="n"/>
      <c r="M788" s="1" t="n"/>
      <c r="N788" s="1" t="n"/>
      <c r="O788" s="1" t="n"/>
    </row>
    <row r="789" ht="15.75" customHeight="1" s="311">
      <c r="A789" s="1" t="n"/>
      <c r="B789" s="1" t="n"/>
      <c r="C789" s="1" t="n"/>
      <c r="D789" s="1" t="n"/>
      <c r="E789" s="1" t="n"/>
      <c r="F789" s="1" t="n"/>
      <c r="G789" s="1" t="n"/>
      <c r="H789" s="1" t="n"/>
      <c r="I789" s="1" t="n"/>
      <c r="J789" s="1" t="n"/>
      <c r="K789" s="1" t="n"/>
      <c r="L789" s="1" t="n"/>
      <c r="M789" s="1" t="n"/>
      <c r="N789" s="1" t="n"/>
      <c r="O789" s="1" t="n"/>
    </row>
    <row r="790" ht="15.75" customHeight="1" s="311">
      <c r="A790" s="1" t="n"/>
      <c r="B790" s="1" t="n"/>
      <c r="C790" s="1" t="n"/>
      <c r="D790" s="1" t="n"/>
      <c r="E790" s="1" t="n"/>
      <c r="F790" s="1" t="n"/>
      <c r="G790" s="1" t="n"/>
      <c r="H790" s="1" t="n"/>
      <c r="I790" s="1" t="n"/>
      <c r="J790" s="1" t="n"/>
      <c r="K790" s="1" t="n"/>
      <c r="L790" s="1" t="n"/>
      <c r="M790" s="1" t="n"/>
      <c r="N790" s="1" t="n"/>
      <c r="O790" s="1" t="n"/>
    </row>
    <row r="791" ht="15.75" customHeight="1" s="311">
      <c r="A791" s="1" t="n"/>
      <c r="B791" s="1" t="n"/>
      <c r="C791" s="1" t="n"/>
      <c r="D791" s="1" t="n"/>
      <c r="E791" s="1" t="n"/>
      <c r="F791" s="1" t="n"/>
      <c r="G791" s="1" t="n"/>
      <c r="H791" s="1" t="n"/>
      <c r="I791" s="1" t="n"/>
      <c r="J791" s="1" t="n"/>
      <c r="K791" s="1" t="n"/>
      <c r="L791" s="1" t="n"/>
      <c r="M791" s="1" t="n"/>
      <c r="N791" s="1" t="n"/>
      <c r="O791" s="1" t="n"/>
    </row>
    <row r="792" ht="15.75" customHeight="1" s="311">
      <c r="A792" s="1" t="n"/>
      <c r="B792" s="1" t="n"/>
      <c r="C792" s="1" t="n"/>
      <c r="D792" s="1" t="n"/>
      <c r="E792" s="1" t="n"/>
      <c r="F792" s="1" t="n"/>
      <c r="G792" s="1" t="n"/>
      <c r="H792" s="1" t="n"/>
      <c r="I792" s="1" t="n"/>
      <c r="J792" s="1" t="n"/>
      <c r="K792" s="1" t="n"/>
      <c r="L792" s="1" t="n"/>
      <c r="M792" s="1" t="n"/>
      <c r="N792" s="1" t="n"/>
      <c r="O792" s="1" t="n"/>
    </row>
    <row r="793" ht="15.75" customHeight="1" s="311">
      <c r="A793" s="1" t="n"/>
      <c r="B793" s="1" t="n"/>
      <c r="C793" s="1" t="n"/>
      <c r="D793" s="1" t="n"/>
      <c r="E793" s="1" t="n"/>
      <c r="F793" s="1" t="n"/>
      <c r="G793" s="1" t="n"/>
      <c r="H793" s="1" t="n"/>
      <c r="I793" s="1" t="n"/>
      <c r="J793" s="1" t="n"/>
      <c r="K793" s="1" t="n"/>
      <c r="L793" s="1" t="n"/>
      <c r="M793" s="1" t="n"/>
      <c r="N793" s="1" t="n"/>
      <c r="O793" s="1" t="n"/>
    </row>
    <row r="794" ht="15.75" customHeight="1" s="311">
      <c r="A794" s="1" t="n"/>
      <c r="B794" s="1" t="n"/>
      <c r="C794" s="1" t="n"/>
      <c r="D794" s="1" t="n"/>
      <c r="E794" s="1" t="n"/>
      <c r="F794" s="1" t="n"/>
      <c r="G794" s="1" t="n"/>
      <c r="H794" s="1" t="n"/>
      <c r="I794" s="1" t="n"/>
      <c r="J794" s="1" t="n"/>
      <c r="K794" s="1" t="n"/>
      <c r="L794" s="1" t="n"/>
      <c r="M794" s="1" t="n"/>
      <c r="N794" s="1" t="n"/>
      <c r="O794" s="1" t="n"/>
    </row>
    <row r="795" ht="15.75" customHeight="1" s="311">
      <c r="A795" s="1" t="n"/>
      <c r="B795" s="1" t="n"/>
      <c r="C795" s="1" t="n"/>
      <c r="D795" s="1" t="n"/>
      <c r="E795" s="1" t="n"/>
      <c r="F795" s="1" t="n"/>
      <c r="G795" s="1" t="n"/>
      <c r="H795" s="1" t="n"/>
      <c r="I795" s="1" t="n"/>
      <c r="J795" s="1" t="n"/>
      <c r="K795" s="1" t="n"/>
      <c r="L795" s="1" t="n"/>
      <c r="M795" s="1" t="n"/>
      <c r="N795" s="1" t="n"/>
      <c r="O795" s="1" t="n"/>
    </row>
    <row r="796" ht="15.75" customHeight="1" s="311">
      <c r="A796" s="1" t="n"/>
      <c r="B796" s="1" t="n"/>
      <c r="C796" s="1" t="n"/>
      <c r="D796" s="1" t="n"/>
      <c r="E796" s="1" t="n"/>
      <c r="F796" s="1" t="n"/>
      <c r="G796" s="1" t="n"/>
      <c r="H796" s="1" t="n"/>
      <c r="I796" s="1" t="n"/>
      <c r="J796" s="1" t="n"/>
      <c r="K796" s="1" t="n"/>
      <c r="L796" s="1" t="n"/>
      <c r="M796" s="1" t="n"/>
      <c r="N796" s="1" t="n"/>
      <c r="O796" s="1" t="n"/>
    </row>
    <row r="797" ht="15.75" customHeight="1" s="311">
      <c r="A797" s="1" t="n"/>
      <c r="B797" s="1" t="n"/>
      <c r="C797" s="1" t="n"/>
      <c r="D797" s="1" t="n"/>
      <c r="E797" s="1" t="n"/>
      <c r="F797" s="1" t="n"/>
      <c r="G797" s="1" t="n"/>
      <c r="H797" s="1" t="n"/>
      <c r="I797" s="1" t="n"/>
      <c r="J797" s="1" t="n"/>
      <c r="K797" s="1" t="n"/>
      <c r="L797" s="1" t="n"/>
      <c r="M797" s="1" t="n"/>
      <c r="N797" s="1" t="n"/>
      <c r="O797" s="1" t="n"/>
    </row>
    <row r="798" ht="15.75" customHeight="1" s="311">
      <c r="A798" s="1" t="n"/>
      <c r="B798" s="1" t="n"/>
      <c r="C798" s="1" t="n"/>
      <c r="D798" s="1" t="n"/>
      <c r="E798" s="1" t="n"/>
      <c r="F798" s="1" t="n"/>
      <c r="G798" s="1" t="n"/>
      <c r="H798" s="1" t="n"/>
      <c r="I798" s="1" t="n"/>
      <c r="J798" s="1" t="n"/>
      <c r="K798" s="1" t="n"/>
      <c r="L798" s="1" t="n"/>
      <c r="M798" s="1" t="n"/>
      <c r="N798" s="1" t="n"/>
      <c r="O798" s="1" t="n"/>
    </row>
    <row r="799" ht="15.75" customHeight="1" s="311">
      <c r="A799" s="1" t="n"/>
      <c r="B799" s="1" t="n"/>
      <c r="C799" s="1" t="n"/>
      <c r="D799" s="1" t="n"/>
      <c r="E799" s="1" t="n"/>
      <c r="F799" s="1" t="n"/>
      <c r="G799" s="1" t="n"/>
      <c r="H799" s="1" t="n"/>
      <c r="I799" s="1" t="n"/>
      <c r="J799" s="1" t="n"/>
      <c r="K799" s="1" t="n"/>
      <c r="L799" s="1" t="n"/>
      <c r="M799" s="1" t="n"/>
      <c r="N799" s="1" t="n"/>
      <c r="O799" s="1" t="n"/>
    </row>
    <row r="800" ht="15.75" customHeight="1" s="311">
      <c r="A800" s="1" t="n"/>
      <c r="B800" s="1" t="n"/>
      <c r="C800" s="1" t="n"/>
      <c r="D800" s="1" t="n"/>
      <c r="E800" s="1" t="n"/>
      <c r="F800" s="1" t="n"/>
      <c r="G800" s="1" t="n"/>
      <c r="H800" s="1" t="n"/>
      <c r="I800" s="1" t="n"/>
      <c r="J800" s="1" t="n"/>
      <c r="K800" s="1" t="n"/>
      <c r="L800" s="1" t="n"/>
      <c r="M800" s="1" t="n"/>
      <c r="N800" s="1" t="n"/>
      <c r="O800" s="1" t="n"/>
    </row>
    <row r="801" ht="15.75" customHeight="1" s="311">
      <c r="A801" s="1" t="n"/>
      <c r="B801" s="1" t="n"/>
      <c r="C801" s="1" t="n"/>
      <c r="D801" s="1" t="n"/>
      <c r="E801" s="1" t="n"/>
      <c r="F801" s="1" t="n"/>
      <c r="G801" s="1" t="n"/>
      <c r="H801" s="1" t="n"/>
      <c r="I801" s="1" t="n"/>
      <c r="J801" s="1" t="n"/>
      <c r="K801" s="1" t="n"/>
      <c r="L801" s="1" t="n"/>
      <c r="M801" s="1" t="n"/>
      <c r="N801" s="1" t="n"/>
      <c r="O801" s="1" t="n"/>
    </row>
    <row r="802" ht="15.75" customHeight="1" s="311">
      <c r="A802" s="1" t="n"/>
      <c r="B802" s="1" t="n"/>
      <c r="C802" s="1" t="n"/>
      <c r="D802" s="1" t="n"/>
      <c r="E802" s="1" t="n"/>
      <c r="F802" s="1" t="n"/>
      <c r="G802" s="1" t="n"/>
      <c r="H802" s="1" t="n"/>
      <c r="I802" s="1" t="n"/>
      <c r="J802" s="1" t="n"/>
      <c r="K802" s="1" t="n"/>
      <c r="L802" s="1" t="n"/>
      <c r="M802" s="1" t="n"/>
      <c r="N802" s="1" t="n"/>
      <c r="O802" s="1" t="n"/>
    </row>
    <row r="803" ht="15.75" customHeight="1" s="311">
      <c r="A803" s="1" t="n"/>
      <c r="B803" s="1" t="n"/>
      <c r="C803" s="1" t="n"/>
      <c r="D803" s="1" t="n"/>
      <c r="E803" s="1" t="n"/>
      <c r="F803" s="1" t="n"/>
      <c r="G803" s="1" t="n"/>
      <c r="H803" s="1" t="n"/>
      <c r="I803" s="1" t="n"/>
      <c r="J803" s="1" t="n"/>
      <c r="K803" s="1" t="n"/>
      <c r="L803" s="1" t="n"/>
      <c r="M803" s="1" t="n"/>
      <c r="N803" s="1" t="n"/>
      <c r="O803" s="1" t="n"/>
    </row>
    <row r="804" ht="15.75" customHeight="1" s="311">
      <c r="A804" s="1" t="n"/>
      <c r="B804" s="1" t="n"/>
      <c r="C804" s="1" t="n"/>
      <c r="D804" s="1" t="n"/>
      <c r="E804" s="1" t="n"/>
      <c r="F804" s="1" t="n"/>
      <c r="G804" s="1" t="n"/>
      <c r="H804" s="1" t="n"/>
      <c r="I804" s="1" t="n"/>
      <c r="J804" s="1" t="n"/>
      <c r="K804" s="1" t="n"/>
      <c r="L804" s="1" t="n"/>
      <c r="M804" s="1" t="n"/>
      <c r="N804" s="1" t="n"/>
      <c r="O804" s="1" t="n"/>
    </row>
    <row r="805" ht="15.75" customHeight="1" s="311">
      <c r="A805" s="1" t="n"/>
      <c r="B805" s="1" t="n"/>
      <c r="C805" s="1" t="n"/>
      <c r="D805" s="1" t="n"/>
      <c r="E805" s="1" t="n"/>
      <c r="F805" s="1" t="n"/>
      <c r="G805" s="1" t="n"/>
      <c r="H805" s="1" t="n"/>
      <c r="I805" s="1" t="n"/>
      <c r="J805" s="1" t="n"/>
      <c r="K805" s="1" t="n"/>
      <c r="L805" s="1" t="n"/>
      <c r="M805" s="1" t="n"/>
      <c r="N805" s="1" t="n"/>
      <c r="O805" s="1" t="n"/>
    </row>
    <row r="806" ht="15.75" customHeight="1" s="311">
      <c r="A806" s="1" t="n"/>
      <c r="B806" s="1" t="n"/>
      <c r="C806" s="1" t="n"/>
      <c r="D806" s="1" t="n"/>
      <c r="E806" s="1" t="n"/>
      <c r="F806" s="1" t="n"/>
      <c r="G806" s="1" t="n"/>
      <c r="H806" s="1" t="n"/>
      <c r="I806" s="1" t="n"/>
      <c r="J806" s="1" t="n"/>
      <c r="K806" s="1" t="n"/>
      <c r="L806" s="1" t="n"/>
      <c r="M806" s="1" t="n"/>
      <c r="N806" s="1" t="n"/>
      <c r="O806" s="1" t="n"/>
    </row>
    <row r="807" ht="15.75" customHeight="1" s="311">
      <c r="A807" s="1" t="n"/>
      <c r="B807" s="1" t="n"/>
      <c r="C807" s="1" t="n"/>
      <c r="D807" s="1" t="n"/>
      <c r="E807" s="1" t="n"/>
      <c r="F807" s="1" t="n"/>
      <c r="G807" s="1" t="n"/>
      <c r="H807" s="1" t="n"/>
      <c r="I807" s="1" t="n"/>
      <c r="J807" s="1" t="n"/>
      <c r="K807" s="1" t="n"/>
      <c r="L807" s="1" t="n"/>
      <c r="M807" s="1" t="n"/>
      <c r="N807" s="1" t="n"/>
      <c r="O807" s="1" t="n"/>
    </row>
    <row r="808" ht="15.75" customHeight="1" s="311">
      <c r="A808" s="1" t="n"/>
      <c r="B808" s="1" t="n"/>
      <c r="C808" s="1" t="n"/>
      <c r="D808" s="1" t="n"/>
      <c r="E808" s="1" t="n"/>
      <c r="F808" s="1" t="n"/>
      <c r="G808" s="1" t="n"/>
      <c r="H808" s="1" t="n"/>
      <c r="I808" s="1" t="n"/>
      <c r="J808" s="1" t="n"/>
      <c r="K808" s="1" t="n"/>
      <c r="L808" s="1" t="n"/>
      <c r="M808" s="1" t="n"/>
      <c r="N808" s="1" t="n"/>
      <c r="O808" s="1" t="n"/>
    </row>
    <row r="809" ht="15.75" customHeight="1" s="311">
      <c r="A809" s="1" t="n"/>
      <c r="B809" s="1" t="n"/>
      <c r="C809" s="1" t="n"/>
      <c r="D809" s="1" t="n"/>
      <c r="E809" s="1" t="n"/>
      <c r="F809" s="1" t="n"/>
      <c r="G809" s="1" t="n"/>
      <c r="H809" s="1" t="n"/>
      <c r="I809" s="1" t="n"/>
      <c r="J809" s="1" t="n"/>
      <c r="K809" s="1" t="n"/>
      <c r="L809" s="1" t="n"/>
      <c r="M809" s="1" t="n"/>
      <c r="N809" s="1" t="n"/>
      <c r="O809" s="1" t="n"/>
    </row>
    <row r="810" ht="15.75" customHeight="1" s="311">
      <c r="A810" s="1" t="n"/>
      <c r="B810" s="1" t="n"/>
      <c r="C810" s="1" t="n"/>
      <c r="D810" s="1" t="n"/>
      <c r="E810" s="1" t="n"/>
      <c r="F810" s="1" t="n"/>
      <c r="G810" s="1" t="n"/>
      <c r="H810" s="1" t="n"/>
      <c r="I810" s="1" t="n"/>
      <c r="J810" s="1" t="n"/>
      <c r="K810" s="1" t="n"/>
      <c r="L810" s="1" t="n"/>
      <c r="M810" s="1" t="n"/>
      <c r="N810" s="1" t="n"/>
      <c r="O810" s="1" t="n"/>
    </row>
    <row r="811" ht="15.75" customHeight="1" s="311">
      <c r="A811" s="1" t="n"/>
      <c r="B811" s="1" t="n"/>
      <c r="C811" s="1" t="n"/>
      <c r="D811" s="1" t="n"/>
      <c r="E811" s="1" t="n"/>
      <c r="F811" s="1" t="n"/>
      <c r="G811" s="1" t="n"/>
      <c r="H811" s="1" t="n"/>
      <c r="I811" s="1" t="n"/>
      <c r="J811" s="1" t="n"/>
      <c r="K811" s="1" t="n"/>
      <c r="L811" s="1" t="n"/>
      <c r="M811" s="1" t="n"/>
      <c r="N811" s="1" t="n"/>
      <c r="O811" s="1" t="n"/>
    </row>
    <row r="812" ht="15.75" customHeight="1" s="311">
      <c r="A812" s="1" t="n"/>
      <c r="B812" s="1" t="n"/>
      <c r="C812" s="1" t="n"/>
      <c r="D812" s="1" t="n"/>
      <c r="E812" s="1" t="n"/>
      <c r="F812" s="1" t="n"/>
      <c r="G812" s="1" t="n"/>
      <c r="H812" s="1" t="n"/>
      <c r="I812" s="1" t="n"/>
      <c r="J812" s="1" t="n"/>
      <c r="K812" s="1" t="n"/>
      <c r="L812" s="1" t="n"/>
      <c r="M812" s="1" t="n"/>
      <c r="N812" s="1" t="n"/>
      <c r="O812" s="1" t="n"/>
    </row>
    <row r="813" ht="15.75" customHeight="1" s="311">
      <c r="A813" s="1" t="n"/>
      <c r="B813" s="1" t="n"/>
      <c r="C813" s="1" t="n"/>
      <c r="D813" s="1" t="n"/>
      <c r="E813" s="1" t="n"/>
      <c r="F813" s="1" t="n"/>
      <c r="G813" s="1" t="n"/>
      <c r="H813" s="1" t="n"/>
      <c r="I813" s="1" t="n"/>
      <c r="J813" s="1" t="n"/>
      <c r="K813" s="1" t="n"/>
      <c r="L813" s="1" t="n"/>
      <c r="M813" s="1" t="n"/>
      <c r="N813" s="1" t="n"/>
      <c r="O813" s="1" t="n"/>
    </row>
    <row r="814" ht="15.75" customHeight="1" s="311">
      <c r="A814" s="1" t="n"/>
      <c r="B814" s="1" t="n"/>
      <c r="C814" s="1" t="n"/>
      <c r="D814" s="1" t="n"/>
      <c r="E814" s="1" t="n"/>
      <c r="F814" s="1" t="n"/>
      <c r="G814" s="1" t="n"/>
      <c r="H814" s="1" t="n"/>
      <c r="I814" s="1" t="n"/>
      <c r="J814" s="1" t="n"/>
      <c r="K814" s="1" t="n"/>
      <c r="L814" s="1" t="n"/>
      <c r="M814" s="1" t="n"/>
      <c r="N814" s="1" t="n"/>
      <c r="O814" s="1" t="n"/>
    </row>
    <row r="815" ht="15.75" customHeight="1" s="311">
      <c r="A815" s="1" t="n"/>
      <c r="B815" s="1" t="n"/>
      <c r="C815" s="1" t="n"/>
      <c r="D815" s="1" t="n"/>
      <c r="E815" s="1" t="n"/>
      <c r="F815" s="1" t="n"/>
      <c r="G815" s="1" t="n"/>
      <c r="H815" s="1" t="n"/>
      <c r="I815" s="1" t="n"/>
      <c r="J815" s="1" t="n"/>
      <c r="K815" s="1" t="n"/>
      <c r="L815" s="1" t="n"/>
      <c r="M815" s="1" t="n"/>
      <c r="N815" s="1" t="n"/>
      <c r="O815" s="1" t="n"/>
    </row>
    <row r="816" ht="15.75" customHeight="1" s="311">
      <c r="A816" s="1" t="n"/>
      <c r="B816" s="1" t="n"/>
      <c r="C816" s="1" t="n"/>
      <c r="D816" s="1" t="n"/>
      <c r="E816" s="1" t="n"/>
      <c r="F816" s="1" t="n"/>
      <c r="G816" s="1" t="n"/>
      <c r="H816" s="1" t="n"/>
      <c r="I816" s="1" t="n"/>
      <c r="J816" s="1" t="n"/>
      <c r="K816" s="1" t="n"/>
      <c r="L816" s="1" t="n"/>
      <c r="M816" s="1" t="n"/>
      <c r="N816" s="1" t="n"/>
      <c r="O816" s="1" t="n"/>
    </row>
    <row r="817" ht="15.75" customHeight="1" s="311">
      <c r="A817" s="1" t="n"/>
      <c r="B817" s="1" t="n"/>
      <c r="C817" s="1" t="n"/>
      <c r="D817" s="1" t="n"/>
      <c r="E817" s="1" t="n"/>
      <c r="F817" s="1" t="n"/>
      <c r="G817" s="1" t="n"/>
      <c r="H817" s="1" t="n"/>
      <c r="I817" s="1" t="n"/>
      <c r="J817" s="1" t="n"/>
      <c r="K817" s="1" t="n"/>
      <c r="L817" s="1" t="n"/>
      <c r="M817" s="1" t="n"/>
      <c r="N817" s="1" t="n"/>
      <c r="O817" s="1" t="n"/>
    </row>
    <row r="818" ht="15.75" customHeight="1" s="311">
      <c r="A818" s="1" t="n"/>
      <c r="B818" s="1" t="n"/>
      <c r="C818" s="1" t="n"/>
      <c r="D818" s="1" t="n"/>
      <c r="E818" s="1" t="n"/>
      <c r="F818" s="1" t="n"/>
      <c r="G818" s="1" t="n"/>
      <c r="H818" s="1" t="n"/>
      <c r="I818" s="1" t="n"/>
      <c r="J818" s="1" t="n"/>
      <c r="K818" s="1" t="n"/>
      <c r="L818" s="1" t="n"/>
      <c r="M818" s="1" t="n"/>
      <c r="N818" s="1" t="n"/>
      <c r="O818" s="1" t="n"/>
    </row>
    <row r="819" ht="15.75" customHeight="1" s="311">
      <c r="A819" s="1" t="n"/>
      <c r="B819" s="1" t="n"/>
      <c r="C819" s="1" t="n"/>
      <c r="D819" s="1" t="n"/>
      <c r="E819" s="1" t="n"/>
      <c r="F819" s="1" t="n"/>
      <c r="G819" s="1" t="n"/>
      <c r="H819" s="1" t="n"/>
      <c r="I819" s="1" t="n"/>
      <c r="J819" s="1" t="n"/>
      <c r="K819" s="1" t="n"/>
      <c r="L819" s="1" t="n"/>
      <c r="M819" s="1" t="n"/>
      <c r="N819" s="1" t="n"/>
      <c r="O819" s="1" t="n"/>
    </row>
    <row r="820" ht="15.75" customHeight="1" s="311">
      <c r="A820" s="1" t="n"/>
      <c r="B820" s="1" t="n"/>
      <c r="C820" s="1" t="n"/>
      <c r="D820" s="1" t="n"/>
      <c r="E820" s="1" t="n"/>
      <c r="F820" s="1" t="n"/>
      <c r="G820" s="1" t="n"/>
      <c r="H820" s="1" t="n"/>
      <c r="I820" s="1" t="n"/>
      <c r="J820" s="1" t="n"/>
      <c r="K820" s="1" t="n"/>
      <c r="L820" s="1" t="n"/>
      <c r="M820" s="1" t="n"/>
      <c r="N820" s="1" t="n"/>
      <c r="O820" s="1" t="n"/>
    </row>
    <row r="821" ht="15.75" customHeight="1" s="311">
      <c r="A821" s="1" t="n"/>
      <c r="B821" s="1" t="n"/>
      <c r="C821" s="1" t="n"/>
      <c r="D821" s="1" t="n"/>
      <c r="E821" s="1" t="n"/>
      <c r="F821" s="1" t="n"/>
      <c r="G821" s="1" t="n"/>
      <c r="H821" s="1" t="n"/>
      <c r="I821" s="1" t="n"/>
      <c r="J821" s="1" t="n"/>
      <c r="K821" s="1" t="n"/>
      <c r="L821" s="1" t="n"/>
      <c r="M821" s="1" t="n"/>
      <c r="N821" s="1" t="n"/>
      <c r="O821" s="1" t="n"/>
    </row>
    <row r="822" ht="15.75" customHeight="1" s="311">
      <c r="A822" s="1" t="n"/>
      <c r="B822" s="1" t="n"/>
      <c r="C822" s="1" t="n"/>
      <c r="D822" s="1" t="n"/>
      <c r="E822" s="1" t="n"/>
      <c r="F822" s="1" t="n"/>
      <c r="G822" s="1" t="n"/>
      <c r="H822" s="1" t="n"/>
      <c r="I822" s="1" t="n"/>
      <c r="J822" s="1" t="n"/>
      <c r="K822" s="1" t="n"/>
      <c r="L822" s="1" t="n"/>
      <c r="M822" s="1" t="n"/>
      <c r="N822" s="1" t="n"/>
      <c r="O822" s="1" t="n"/>
    </row>
    <row r="823" ht="15.75" customHeight="1" s="311">
      <c r="A823" s="1" t="n"/>
      <c r="B823" s="1" t="n"/>
      <c r="C823" s="1" t="n"/>
      <c r="D823" s="1" t="n"/>
      <c r="E823" s="1" t="n"/>
      <c r="F823" s="1" t="n"/>
      <c r="G823" s="1" t="n"/>
      <c r="H823" s="1" t="n"/>
      <c r="I823" s="1" t="n"/>
      <c r="J823" s="1" t="n"/>
      <c r="K823" s="1" t="n"/>
      <c r="L823" s="1" t="n"/>
      <c r="M823" s="1" t="n"/>
      <c r="N823" s="1" t="n"/>
      <c r="O823" s="1" t="n"/>
    </row>
    <row r="824" ht="15.75" customHeight="1" s="311">
      <c r="A824" s="1" t="n"/>
      <c r="B824" s="1" t="n"/>
      <c r="C824" s="1" t="n"/>
      <c r="D824" s="1" t="n"/>
      <c r="E824" s="1" t="n"/>
      <c r="F824" s="1" t="n"/>
      <c r="G824" s="1" t="n"/>
      <c r="H824" s="1" t="n"/>
      <c r="I824" s="1" t="n"/>
      <c r="J824" s="1" t="n"/>
      <c r="K824" s="1" t="n"/>
      <c r="L824" s="1" t="n"/>
      <c r="M824" s="1" t="n"/>
      <c r="N824" s="1" t="n"/>
      <c r="O824" s="1" t="n"/>
    </row>
    <row r="825" ht="15.75" customHeight="1" s="311">
      <c r="A825" s="1" t="n"/>
      <c r="B825" s="1" t="n"/>
      <c r="C825" s="1" t="n"/>
      <c r="D825" s="1" t="n"/>
      <c r="E825" s="1" t="n"/>
      <c r="F825" s="1" t="n"/>
      <c r="G825" s="1" t="n"/>
      <c r="H825" s="1" t="n"/>
      <c r="I825" s="1" t="n"/>
      <c r="J825" s="1" t="n"/>
      <c r="K825" s="1" t="n"/>
      <c r="L825" s="1" t="n"/>
      <c r="M825" s="1" t="n"/>
      <c r="N825" s="1" t="n"/>
      <c r="O825" s="1" t="n"/>
    </row>
    <row r="826" ht="15.75" customHeight="1" s="311">
      <c r="A826" s="1" t="n"/>
      <c r="B826" s="1" t="n"/>
      <c r="C826" s="1" t="n"/>
      <c r="D826" s="1" t="n"/>
      <c r="E826" s="1" t="n"/>
      <c r="F826" s="1" t="n"/>
      <c r="G826" s="1" t="n"/>
      <c r="H826" s="1" t="n"/>
      <c r="I826" s="1" t="n"/>
      <c r="J826" s="1" t="n"/>
      <c r="K826" s="1" t="n"/>
      <c r="L826" s="1" t="n"/>
      <c r="M826" s="1" t="n"/>
      <c r="N826" s="1" t="n"/>
      <c r="O826" s="1" t="n"/>
    </row>
    <row r="827" ht="15.75" customHeight="1" s="311">
      <c r="A827" s="1" t="n"/>
      <c r="B827" s="1" t="n"/>
      <c r="C827" s="1" t="n"/>
      <c r="D827" s="1" t="n"/>
      <c r="E827" s="1" t="n"/>
      <c r="F827" s="1" t="n"/>
      <c r="G827" s="1" t="n"/>
      <c r="H827" s="1" t="n"/>
      <c r="I827" s="1" t="n"/>
      <c r="J827" s="1" t="n"/>
      <c r="K827" s="1" t="n"/>
      <c r="L827" s="1" t="n"/>
      <c r="M827" s="1" t="n"/>
      <c r="N827" s="1" t="n"/>
      <c r="O827" s="1" t="n"/>
    </row>
    <row r="828" ht="15.75" customHeight="1" s="311">
      <c r="A828" s="1" t="n"/>
      <c r="B828" s="1" t="n"/>
      <c r="C828" s="1" t="n"/>
      <c r="D828" s="1" t="n"/>
      <c r="E828" s="1" t="n"/>
      <c r="F828" s="1" t="n"/>
      <c r="G828" s="1" t="n"/>
      <c r="H828" s="1" t="n"/>
      <c r="I828" s="1" t="n"/>
      <c r="J828" s="1" t="n"/>
      <c r="K828" s="1" t="n"/>
      <c r="L828" s="1" t="n"/>
      <c r="M828" s="1" t="n"/>
      <c r="N828" s="1" t="n"/>
      <c r="O828" s="1" t="n"/>
    </row>
    <row r="829" ht="15.75" customHeight="1" s="311">
      <c r="A829" s="1" t="n"/>
      <c r="B829" s="1" t="n"/>
      <c r="C829" s="1" t="n"/>
      <c r="D829" s="1" t="n"/>
      <c r="E829" s="1" t="n"/>
      <c r="F829" s="1" t="n"/>
      <c r="G829" s="1" t="n"/>
      <c r="H829" s="1" t="n"/>
      <c r="I829" s="1" t="n"/>
      <c r="J829" s="1" t="n"/>
      <c r="K829" s="1" t="n"/>
      <c r="L829" s="1" t="n"/>
      <c r="M829" s="1" t="n"/>
      <c r="N829" s="1" t="n"/>
      <c r="O829" s="1" t="n"/>
    </row>
    <row r="830" ht="15.75" customHeight="1" s="311">
      <c r="A830" s="1" t="n"/>
      <c r="B830" s="1" t="n"/>
      <c r="C830" s="1" t="n"/>
      <c r="D830" s="1" t="n"/>
      <c r="E830" s="1" t="n"/>
      <c r="F830" s="1" t="n"/>
      <c r="G830" s="1" t="n"/>
      <c r="H830" s="1" t="n"/>
      <c r="I830" s="1" t="n"/>
      <c r="J830" s="1" t="n"/>
      <c r="K830" s="1" t="n"/>
      <c r="L830" s="1" t="n"/>
      <c r="M830" s="1" t="n"/>
      <c r="N830" s="1" t="n"/>
      <c r="O830" s="1" t="n"/>
    </row>
    <row r="831" ht="15.75" customHeight="1" s="311">
      <c r="A831" s="1" t="n"/>
      <c r="B831" s="1" t="n"/>
      <c r="C831" s="1" t="n"/>
      <c r="D831" s="1" t="n"/>
      <c r="E831" s="1" t="n"/>
      <c r="F831" s="1" t="n"/>
      <c r="G831" s="1" t="n"/>
      <c r="H831" s="1" t="n"/>
      <c r="I831" s="1" t="n"/>
      <c r="J831" s="1" t="n"/>
      <c r="K831" s="1" t="n"/>
      <c r="L831" s="1" t="n"/>
      <c r="M831" s="1" t="n"/>
      <c r="N831" s="1" t="n"/>
      <c r="O831" s="1" t="n"/>
    </row>
    <row r="832" ht="15.75" customHeight="1" s="311">
      <c r="A832" s="1" t="n"/>
      <c r="B832" s="1" t="n"/>
      <c r="C832" s="1" t="n"/>
      <c r="D832" s="1" t="n"/>
      <c r="E832" s="1" t="n"/>
      <c r="F832" s="1" t="n"/>
      <c r="G832" s="1" t="n"/>
      <c r="H832" s="1" t="n"/>
      <c r="I832" s="1" t="n"/>
      <c r="J832" s="1" t="n"/>
      <c r="K832" s="1" t="n"/>
      <c r="L832" s="1" t="n"/>
      <c r="M832" s="1" t="n"/>
      <c r="N832" s="1" t="n"/>
      <c r="O832" s="1" t="n"/>
    </row>
    <row r="833" ht="15.75" customHeight="1" s="311">
      <c r="A833" s="1" t="n"/>
      <c r="B833" s="1" t="n"/>
      <c r="C833" s="1" t="n"/>
      <c r="D833" s="1" t="n"/>
      <c r="E833" s="1" t="n"/>
      <c r="F833" s="1" t="n"/>
      <c r="G833" s="1" t="n"/>
      <c r="H833" s="1" t="n"/>
      <c r="I833" s="1" t="n"/>
      <c r="J833" s="1" t="n"/>
      <c r="K833" s="1" t="n"/>
      <c r="L833" s="1" t="n"/>
      <c r="M833" s="1" t="n"/>
      <c r="N833" s="1" t="n"/>
      <c r="O833" s="1" t="n"/>
    </row>
    <row r="834" ht="15.75" customHeight="1" s="311">
      <c r="A834" s="1" t="n"/>
      <c r="B834" s="1" t="n"/>
      <c r="C834" s="1" t="n"/>
      <c r="D834" s="1" t="n"/>
      <c r="E834" s="1" t="n"/>
      <c r="F834" s="1" t="n"/>
      <c r="G834" s="1" t="n"/>
      <c r="H834" s="1" t="n"/>
      <c r="I834" s="1" t="n"/>
      <c r="J834" s="1" t="n"/>
      <c r="K834" s="1" t="n"/>
      <c r="L834" s="1" t="n"/>
      <c r="M834" s="1" t="n"/>
      <c r="N834" s="1" t="n"/>
      <c r="O834" s="1" t="n"/>
    </row>
    <row r="835" ht="15.75" customHeight="1" s="311">
      <c r="A835" s="1" t="n"/>
      <c r="B835" s="1" t="n"/>
      <c r="C835" s="1" t="n"/>
      <c r="D835" s="1" t="n"/>
      <c r="E835" s="1" t="n"/>
      <c r="F835" s="1" t="n"/>
      <c r="G835" s="1" t="n"/>
      <c r="H835" s="1" t="n"/>
      <c r="I835" s="1" t="n"/>
      <c r="J835" s="1" t="n"/>
      <c r="K835" s="1" t="n"/>
      <c r="L835" s="1" t="n"/>
      <c r="M835" s="1" t="n"/>
      <c r="N835" s="1" t="n"/>
      <c r="O835" s="1" t="n"/>
    </row>
    <row r="836" ht="15.75" customHeight="1" s="311">
      <c r="A836" s="1" t="n"/>
      <c r="B836" s="1" t="n"/>
      <c r="C836" s="1" t="n"/>
      <c r="D836" s="1" t="n"/>
      <c r="E836" s="1" t="n"/>
      <c r="F836" s="1" t="n"/>
      <c r="G836" s="1" t="n"/>
      <c r="H836" s="1" t="n"/>
      <c r="I836" s="1" t="n"/>
      <c r="J836" s="1" t="n"/>
      <c r="K836" s="1" t="n"/>
      <c r="L836" s="1" t="n"/>
      <c r="M836" s="1" t="n"/>
      <c r="N836" s="1" t="n"/>
      <c r="O836" s="1" t="n"/>
    </row>
    <row r="837" ht="15.75" customHeight="1" s="311">
      <c r="A837" s="1" t="n"/>
      <c r="B837" s="1" t="n"/>
      <c r="C837" s="1" t="n"/>
      <c r="D837" s="1" t="n"/>
      <c r="E837" s="1" t="n"/>
      <c r="F837" s="1" t="n"/>
      <c r="G837" s="1" t="n"/>
      <c r="H837" s="1" t="n"/>
      <c r="I837" s="1" t="n"/>
      <c r="J837" s="1" t="n"/>
      <c r="K837" s="1" t="n"/>
      <c r="L837" s="1" t="n"/>
      <c r="M837" s="1" t="n"/>
      <c r="N837" s="1" t="n"/>
      <c r="O837" s="1" t="n"/>
    </row>
    <row r="838" ht="15.75" customHeight="1" s="311">
      <c r="A838" s="1" t="n"/>
      <c r="B838" s="1" t="n"/>
      <c r="C838" s="1" t="n"/>
      <c r="D838" s="1" t="n"/>
      <c r="E838" s="1" t="n"/>
      <c r="F838" s="1" t="n"/>
      <c r="G838" s="1" t="n"/>
      <c r="H838" s="1" t="n"/>
      <c r="I838" s="1" t="n"/>
      <c r="J838" s="1" t="n"/>
      <c r="K838" s="1" t="n"/>
      <c r="L838" s="1" t="n"/>
      <c r="M838" s="1" t="n"/>
      <c r="N838" s="1" t="n"/>
      <c r="O838" s="1" t="n"/>
    </row>
    <row r="839" ht="15.75" customHeight="1" s="311">
      <c r="A839" s="1" t="n"/>
      <c r="B839" s="1" t="n"/>
      <c r="C839" s="1" t="n"/>
      <c r="D839" s="1" t="n"/>
      <c r="E839" s="1" t="n"/>
      <c r="F839" s="1" t="n"/>
      <c r="G839" s="1" t="n"/>
      <c r="H839" s="1" t="n"/>
      <c r="I839" s="1" t="n"/>
      <c r="J839" s="1" t="n"/>
      <c r="K839" s="1" t="n"/>
      <c r="L839" s="1" t="n"/>
      <c r="M839" s="1" t="n"/>
      <c r="N839" s="1" t="n"/>
      <c r="O839" s="1" t="n"/>
    </row>
    <row r="840" ht="15.75" customHeight="1" s="311">
      <c r="A840" s="1" t="n"/>
      <c r="B840" s="1" t="n"/>
      <c r="C840" s="1" t="n"/>
      <c r="D840" s="1" t="n"/>
      <c r="E840" s="1" t="n"/>
      <c r="F840" s="1" t="n"/>
      <c r="G840" s="1" t="n"/>
      <c r="H840" s="1" t="n"/>
      <c r="I840" s="1" t="n"/>
      <c r="J840" s="1" t="n"/>
      <c r="K840" s="1" t="n"/>
      <c r="L840" s="1" t="n"/>
      <c r="M840" s="1" t="n"/>
      <c r="N840" s="1" t="n"/>
      <c r="O840" s="1" t="n"/>
    </row>
    <row r="841" ht="15.75" customHeight="1" s="311">
      <c r="A841" s="1" t="n"/>
      <c r="B841" s="1" t="n"/>
      <c r="C841" s="1" t="n"/>
      <c r="D841" s="1" t="n"/>
      <c r="E841" s="1" t="n"/>
      <c r="F841" s="1" t="n"/>
      <c r="G841" s="1" t="n"/>
      <c r="H841" s="1" t="n"/>
      <c r="I841" s="1" t="n"/>
      <c r="J841" s="1" t="n"/>
      <c r="K841" s="1" t="n"/>
      <c r="L841" s="1" t="n"/>
      <c r="M841" s="1" t="n"/>
      <c r="N841" s="1" t="n"/>
      <c r="O841" s="1" t="n"/>
    </row>
    <row r="842" ht="15.75" customHeight="1" s="311">
      <c r="A842" s="1" t="n"/>
      <c r="B842" s="1" t="n"/>
      <c r="C842" s="1" t="n"/>
      <c r="D842" s="1" t="n"/>
      <c r="E842" s="1" t="n"/>
      <c r="F842" s="1" t="n"/>
      <c r="G842" s="1" t="n"/>
      <c r="H842" s="1" t="n"/>
      <c r="I842" s="1" t="n"/>
      <c r="J842" s="1" t="n"/>
      <c r="K842" s="1" t="n"/>
      <c r="L842" s="1" t="n"/>
      <c r="M842" s="1" t="n"/>
      <c r="N842" s="1" t="n"/>
      <c r="O842" s="1" t="n"/>
    </row>
    <row r="843" ht="15.75" customHeight="1" s="311">
      <c r="A843" s="1" t="n"/>
      <c r="B843" s="1" t="n"/>
      <c r="C843" s="1" t="n"/>
      <c r="D843" s="1" t="n"/>
      <c r="E843" s="1" t="n"/>
      <c r="F843" s="1" t="n"/>
      <c r="G843" s="1" t="n"/>
      <c r="H843" s="1" t="n"/>
      <c r="I843" s="1" t="n"/>
      <c r="J843" s="1" t="n"/>
      <c r="K843" s="1" t="n"/>
      <c r="L843" s="1" t="n"/>
      <c r="M843" s="1" t="n"/>
      <c r="N843" s="1" t="n"/>
      <c r="O843" s="1" t="n"/>
    </row>
    <row r="844" ht="15.75" customHeight="1" s="311">
      <c r="A844" s="1" t="n"/>
      <c r="B844" s="1" t="n"/>
      <c r="C844" s="1" t="n"/>
      <c r="D844" s="1" t="n"/>
      <c r="E844" s="1" t="n"/>
      <c r="F844" s="1" t="n"/>
      <c r="G844" s="1" t="n"/>
      <c r="H844" s="1" t="n"/>
      <c r="I844" s="1" t="n"/>
      <c r="J844" s="1" t="n"/>
      <c r="K844" s="1" t="n"/>
      <c r="L844" s="1" t="n"/>
      <c r="M844" s="1" t="n"/>
      <c r="N844" s="1" t="n"/>
      <c r="O844" s="1" t="n"/>
    </row>
    <row r="845" ht="15.75" customHeight="1" s="311">
      <c r="A845" s="1" t="n"/>
      <c r="B845" s="1" t="n"/>
      <c r="C845" s="1" t="n"/>
      <c r="D845" s="1" t="n"/>
      <c r="E845" s="1" t="n"/>
      <c r="F845" s="1" t="n"/>
      <c r="G845" s="1" t="n"/>
      <c r="H845" s="1" t="n"/>
      <c r="I845" s="1" t="n"/>
      <c r="J845" s="1" t="n"/>
      <c r="K845" s="1" t="n"/>
      <c r="L845" s="1" t="n"/>
      <c r="M845" s="1" t="n"/>
      <c r="N845" s="1" t="n"/>
      <c r="O845" s="1" t="n"/>
    </row>
    <row r="846" ht="15.75" customHeight="1" s="311">
      <c r="A846" s="1" t="n"/>
      <c r="B846" s="1" t="n"/>
      <c r="C846" s="1" t="n"/>
      <c r="D846" s="1" t="n"/>
      <c r="E846" s="1" t="n"/>
      <c r="F846" s="1" t="n"/>
      <c r="G846" s="1" t="n"/>
      <c r="H846" s="1" t="n"/>
      <c r="I846" s="1" t="n"/>
      <c r="J846" s="1" t="n"/>
      <c r="K846" s="1" t="n"/>
      <c r="L846" s="1" t="n"/>
      <c r="M846" s="1" t="n"/>
      <c r="N846" s="1" t="n"/>
      <c r="O846" s="1" t="n"/>
    </row>
    <row r="847" ht="15.75" customHeight="1" s="311">
      <c r="A847" s="1" t="n"/>
      <c r="B847" s="1" t="n"/>
      <c r="C847" s="1" t="n"/>
      <c r="D847" s="1" t="n"/>
      <c r="E847" s="1" t="n"/>
      <c r="F847" s="1" t="n"/>
      <c r="G847" s="1" t="n"/>
      <c r="H847" s="1" t="n"/>
      <c r="I847" s="1" t="n"/>
      <c r="J847" s="1" t="n"/>
      <c r="K847" s="1" t="n"/>
      <c r="L847" s="1" t="n"/>
      <c r="M847" s="1" t="n"/>
      <c r="N847" s="1" t="n"/>
      <c r="O847" s="1" t="n"/>
    </row>
    <row r="848" ht="15.75" customHeight="1" s="311">
      <c r="A848" s="1" t="n"/>
      <c r="B848" s="1" t="n"/>
      <c r="C848" s="1" t="n"/>
      <c r="D848" s="1" t="n"/>
      <c r="E848" s="1" t="n"/>
      <c r="F848" s="1" t="n"/>
      <c r="G848" s="1" t="n"/>
      <c r="H848" s="1" t="n"/>
      <c r="I848" s="1" t="n"/>
      <c r="J848" s="1" t="n"/>
      <c r="K848" s="1" t="n"/>
      <c r="L848" s="1" t="n"/>
      <c r="M848" s="1" t="n"/>
      <c r="N848" s="1" t="n"/>
      <c r="O848" s="1" t="n"/>
    </row>
    <row r="849" ht="15.75" customHeight="1" s="311">
      <c r="A849" s="1" t="n"/>
      <c r="B849" s="1" t="n"/>
      <c r="C849" s="1" t="n"/>
      <c r="D849" s="1" t="n"/>
      <c r="E849" s="1" t="n"/>
      <c r="F849" s="1" t="n"/>
      <c r="G849" s="1" t="n"/>
      <c r="H849" s="1" t="n"/>
      <c r="I849" s="1" t="n"/>
      <c r="J849" s="1" t="n"/>
      <c r="K849" s="1" t="n"/>
      <c r="L849" s="1" t="n"/>
      <c r="M849" s="1" t="n"/>
      <c r="N849" s="1" t="n"/>
      <c r="O849" s="1" t="n"/>
    </row>
    <row r="850" ht="15.75" customHeight="1" s="311">
      <c r="A850" s="1" t="n"/>
      <c r="B850" s="1" t="n"/>
      <c r="C850" s="1" t="n"/>
      <c r="D850" s="1" t="n"/>
      <c r="E850" s="1" t="n"/>
      <c r="F850" s="1" t="n"/>
      <c r="G850" s="1" t="n"/>
      <c r="H850" s="1" t="n"/>
      <c r="I850" s="1" t="n"/>
      <c r="J850" s="1" t="n"/>
      <c r="K850" s="1" t="n"/>
      <c r="L850" s="1" t="n"/>
      <c r="M850" s="1" t="n"/>
      <c r="N850" s="1" t="n"/>
      <c r="O850" s="1" t="n"/>
    </row>
    <row r="851" ht="15.75" customHeight="1" s="311">
      <c r="A851" s="1" t="n"/>
      <c r="B851" s="1" t="n"/>
      <c r="C851" s="1" t="n"/>
      <c r="D851" s="1" t="n"/>
      <c r="E851" s="1" t="n"/>
      <c r="F851" s="1" t="n"/>
      <c r="G851" s="1" t="n"/>
      <c r="H851" s="1" t="n"/>
      <c r="I851" s="1" t="n"/>
      <c r="J851" s="1" t="n"/>
      <c r="K851" s="1" t="n"/>
      <c r="L851" s="1" t="n"/>
      <c r="M851" s="1" t="n"/>
      <c r="N851" s="1" t="n"/>
      <c r="O851" s="1" t="n"/>
    </row>
    <row r="852" ht="15.75" customHeight="1" s="311">
      <c r="A852" s="1" t="n"/>
      <c r="B852" s="1" t="n"/>
      <c r="C852" s="1" t="n"/>
      <c r="D852" s="1" t="n"/>
      <c r="E852" s="1" t="n"/>
      <c r="F852" s="1" t="n"/>
      <c r="G852" s="1" t="n"/>
      <c r="H852" s="1" t="n"/>
      <c r="I852" s="1" t="n"/>
      <c r="J852" s="1" t="n"/>
      <c r="K852" s="1" t="n"/>
      <c r="L852" s="1" t="n"/>
      <c r="M852" s="1" t="n"/>
      <c r="N852" s="1" t="n"/>
      <c r="O852" s="1" t="n"/>
    </row>
    <row r="853" ht="15.75" customHeight="1" s="311">
      <c r="A853" s="1" t="n"/>
      <c r="B853" s="1" t="n"/>
      <c r="C853" s="1" t="n"/>
      <c r="D853" s="1" t="n"/>
      <c r="E853" s="1" t="n"/>
      <c r="F853" s="1" t="n"/>
      <c r="G853" s="1" t="n"/>
      <c r="H853" s="1" t="n"/>
      <c r="I853" s="1" t="n"/>
      <c r="J853" s="1" t="n"/>
      <c r="K853" s="1" t="n"/>
      <c r="L853" s="1" t="n"/>
      <c r="M853" s="1" t="n"/>
      <c r="N853" s="1" t="n"/>
      <c r="O853" s="1" t="n"/>
    </row>
    <row r="854" ht="15.75" customHeight="1" s="311">
      <c r="A854" s="1" t="n"/>
      <c r="B854" s="1" t="n"/>
      <c r="C854" s="1" t="n"/>
      <c r="D854" s="1" t="n"/>
      <c r="E854" s="1" t="n"/>
      <c r="F854" s="1" t="n"/>
      <c r="G854" s="1" t="n"/>
      <c r="H854" s="1" t="n"/>
      <c r="I854" s="1" t="n"/>
      <c r="J854" s="1" t="n"/>
      <c r="K854" s="1" t="n"/>
      <c r="L854" s="1" t="n"/>
      <c r="M854" s="1" t="n"/>
      <c r="N854" s="1" t="n"/>
      <c r="O854" s="1" t="n"/>
    </row>
    <row r="855" ht="15.75" customHeight="1" s="311">
      <c r="A855" s="1" t="n"/>
      <c r="B855" s="1" t="n"/>
      <c r="C855" s="1" t="n"/>
      <c r="D855" s="1" t="n"/>
      <c r="E855" s="1" t="n"/>
      <c r="F855" s="1" t="n"/>
      <c r="G855" s="1" t="n"/>
      <c r="H855" s="1" t="n"/>
      <c r="I855" s="1" t="n"/>
      <c r="J855" s="1" t="n"/>
      <c r="K855" s="1" t="n"/>
      <c r="L855" s="1" t="n"/>
      <c r="M855" s="1" t="n"/>
      <c r="N855" s="1" t="n"/>
      <c r="O855" s="1" t="n"/>
    </row>
    <row r="856" ht="15.75" customHeight="1" s="311">
      <c r="A856" s="1" t="n"/>
      <c r="B856" s="1" t="n"/>
      <c r="C856" s="1" t="n"/>
      <c r="D856" s="1" t="n"/>
      <c r="E856" s="1" t="n"/>
      <c r="F856" s="1" t="n"/>
      <c r="G856" s="1" t="n"/>
      <c r="H856" s="1" t="n"/>
      <c r="I856" s="1" t="n"/>
      <c r="J856" s="1" t="n"/>
      <c r="K856" s="1" t="n"/>
      <c r="L856" s="1" t="n"/>
      <c r="M856" s="1" t="n"/>
      <c r="N856" s="1" t="n"/>
      <c r="O856" s="1" t="n"/>
    </row>
    <row r="857" ht="15.75" customHeight="1" s="311">
      <c r="A857" s="1" t="n"/>
      <c r="B857" s="1" t="n"/>
      <c r="C857" s="1" t="n"/>
      <c r="D857" s="1" t="n"/>
      <c r="E857" s="1" t="n"/>
      <c r="F857" s="1" t="n"/>
      <c r="G857" s="1" t="n"/>
      <c r="H857" s="1" t="n"/>
      <c r="I857" s="1" t="n"/>
      <c r="J857" s="1" t="n"/>
      <c r="K857" s="1" t="n"/>
      <c r="L857" s="1" t="n"/>
      <c r="M857" s="1" t="n"/>
      <c r="N857" s="1" t="n"/>
      <c r="O857" s="1" t="n"/>
    </row>
    <row r="858" ht="15.75" customHeight="1" s="311">
      <c r="A858" s="1" t="n"/>
      <c r="B858" s="1" t="n"/>
      <c r="C858" s="1" t="n"/>
      <c r="D858" s="1" t="n"/>
      <c r="E858" s="1" t="n"/>
      <c r="F858" s="1" t="n"/>
      <c r="G858" s="1" t="n"/>
      <c r="H858" s="1" t="n"/>
      <c r="I858" s="1" t="n"/>
      <c r="J858" s="1" t="n"/>
      <c r="K858" s="1" t="n"/>
      <c r="L858" s="1" t="n"/>
      <c r="M858" s="1" t="n"/>
      <c r="N858" s="1" t="n"/>
      <c r="O858" s="1" t="n"/>
    </row>
    <row r="859" ht="15.75" customHeight="1" s="311">
      <c r="A859" s="1" t="n"/>
      <c r="B859" s="1" t="n"/>
      <c r="C859" s="1" t="n"/>
      <c r="D859" s="1" t="n"/>
      <c r="E859" s="1" t="n"/>
      <c r="F859" s="1" t="n"/>
      <c r="G859" s="1" t="n"/>
      <c r="H859" s="1" t="n"/>
      <c r="I859" s="1" t="n"/>
      <c r="J859" s="1" t="n"/>
      <c r="K859" s="1" t="n"/>
      <c r="L859" s="1" t="n"/>
      <c r="M859" s="1" t="n"/>
      <c r="N859" s="1" t="n"/>
      <c r="O859" s="1" t="n"/>
    </row>
    <row r="860" ht="15.75" customHeight="1" s="311">
      <c r="A860" s="1" t="n"/>
      <c r="B860" s="1" t="n"/>
      <c r="C860" s="1" t="n"/>
      <c r="D860" s="1" t="n"/>
      <c r="E860" s="1" t="n"/>
      <c r="F860" s="1" t="n"/>
      <c r="G860" s="1" t="n"/>
      <c r="H860" s="1" t="n"/>
      <c r="I860" s="1" t="n"/>
      <c r="J860" s="1" t="n"/>
      <c r="K860" s="1" t="n"/>
      <c r="L860" s="1" t="n"/>
      <c r="M860" s="1" t="n"/>
      <c r="N860" s="1" t="n"/>
      <c r="O860" s="1" t="n"/>
    </row>
    <row r="861" ht="15.75" customHeight="1" s="311">
      <c r="A861" s="1" t="n"/>
      <c r="B861" s="1" t="n"/>
      <c r="C861" s="1" t="n"/>
      <c r="D861" s="1" t="n"/>
      <c r="E861" s="1" t="n"/>
      <c r="F861" s="1" t="n"/>
      <c r="G861" s="1" t="n"/>
      <c r="H861" s="1" t="n"/>
      <c r="I861" s="1" t="n"/>
      <c r="J861" s="1" t="n"/>
      <c r="K861" s="1" t="n"/>
      <c r="L861" s="1" t="n"/>
      <c r="M861" s="1" t="n"/>
      <c r="N861" s="1" t="n"/>
      <c r="O861" s="1" t="n"/>
    </row>
    <row r="862" ht="15.75" customHeight="1" s="311">
      <c r="A862" s="1" t="n"/>
      <c r="B862" s="1" t="n"/>
      <c r="C862" s="1" t="n"/>
      <c r="D862" s="1" t="n"/>
      <c r="E862" s="1" t="n"/>
      <c r="F862" s="1" t="n"/>
      <c r="G862" s="1" t="n"/>
      <c r="H862" s="1" t="n"/>
      <c r="I862" s="1" t="n"/>
      <c r="J862" s="1" t="n"/>
      <c r="K862" s="1" t="n"/>
      <c r="L862" s="1" t="n"/>
      <c r="M862" s="1" t="n"/>
      <c r="N862" s="1" t="n"/>
      <c r="O862" s="1" t="n"/>
    </row>
    <row r="863" ht="15.75" customHeight="1" s="311">
      <c r="A863" s="1" t="n"/>
      <c r="B863" s="1" t="n"/>
      <c r="C863" s="1" t="n"/>
      <c r="D863" s="1" t="n"/>
      <c r="E863" s="1" t="n"/>
      <c r="F863" s="1" t="n"/>
      <c r="G863" s="1" t="n"/>
      <c r="H863" s="1" t="n"/>
      <c r="I863" s="1" t="n"/>
      <c r="J863" s="1" t="n"/>
      <c r="K863" s="1" t="n"/>
      <c r="L863" s="1" t="n"/>
      <c r="M863" s="1" t="n"/>
      <c r="N863" s="1" t="n"/>
      <c r="O863" s="1" t="n"/>
    </row>
    <row r="864" ht="15.75" customHeight="1" s="311">
      <c r="A864" s="1" t="n"/>
      <c r="B864" s="1" t="n"/>
      <c r="C864" s="1" t="n"/>
      <c r="D864" s="1" t="n"/>
      <c r="E864" s="1" t="n"/>
      <c r="F864" s="1" t="n"/>
      <c r="G864" s="1" t="n"/>
      <c r="H864" s="1" t="n"/>
      <c r="I864" s="1" t="n"/>
      <c r="J864" s="1" t="n"/>
      <c r="K864" s="1" t="n"/>
      <c r="L864" s="1" t="n"/>
      <c r="M864" s="1" t="n"/>
      <c r="N864" s="1" t="n"/>
      <c r="O864" s="1" t="n"/>
    </row>
    <row r="865" ht="15.75" customHeight="1" s="311">
      <c r="A865" s="1" t="n"/>
      <c r="B865" s="1" t="n"/>
      <c r="C865" s="1" t="n"/>
      <c r="D865" s="1" t="n"/>
      <c r="E865" s="1" t="n"/>
      <c r="F865" s="1" t="n"/>
      <c r="G865" s="1" t="n"/>
      <c r="H865" s="1" t="n"/>
      <c r="I865" s="1" t="n"/>
      <c r="J865" s="1" t="n"/>
      <c r="K865" s="1" t="n"/>
      <c r="L865" s="1" t="n"/>
      <c r="M865" s="1" t="n"/>
      <c r="N865" s="1" t="n"/>
      <c r="O865" s="1" t="n"/>
    </row>
    <row r="866" ht="15.75" customHeight="1" s="311">
      <c r="A866" s="1" t="n"/>
      <c r="B866" s="1" t="n"/>
      <c r="C866" s="1" t="n"/>
      <c r="D866" s="1" t="n"/>
      <c r="E866" s="1" t="n"/>
      <c r="F866" s="1" t="n"/>
      <c r="G866" s="1" t="n"/>
      <c r="H866" s="1" t="n"/>
      <c r="I866" s="1" t="n"/>
      <c r="J866" s="1" t="n"/>
      <c r="K866" s="1" t="n"/>
      <c r="L866" s="1" t="n"/>
      <c r="M866" s="1" t="n"/>
      <c r="N866" s="1" t="n"/>
      <c r="O866" s="1" t="n"/>
    </row>
    <row r="867" ht="15.75" customHeight="1" s="311">
      <c r="A867" s="1" t="n"/>
      <c r="B867" s="1" t="n"/>
      <c r="C867" s="1" t="n"/>
      <c r="D867" s="1" t="n"/>
      <c r="E867" s="1" t="n"/>
      <c r="F867" s="1" t="n"/>
      <c r="G867" s="1" t="n"/>
      <c r="H867" s="1" t="n"/>
      <c r="I867" s="1" t="n"/>
      <c r="J867" s="1" t="n"/>
      <c r="K867" s="1" t="n"/>
      <c r="L867" s="1" t="n"/>
      <c r="M867" s="1" t="n"/>
      <c r="N867" s="1" t="n"/>
      <c r="O867" s="1" t="n"/>
    </row>
    <row r="868" ht="15.75" customHeight="1" s="311">
      <c r="A868" s="1" t="n"/>
      <c r="B868" s="1" t="n"/>
      <c r="C868" s="1" t="n"/>
      <c r="D868" s="1" t="n"/>
      <c r="E868" s="1" t="n"/>
      <c r="F868" s="1" t="n"/>
      <c r="G868" s="1" t="n"/>
      <c r="H868" s="1" t="n"/>
      <c r="I868" s="1" t="n"/>
      <c r="J868" s="1" t="n"/>
      <c r="K868" s="1" t="n"/>
      <c r="L868" s="1" t="n"/>
      <c r="M868" s="1" t="n"/>
      <c r="N868" s="1" t="n"/>
      <c r="O868" s="1" t="n"/>
    </row>
    <row r="869" ht="15.75" customHeight="1" s="311">
      <c r="A869" s="1" t="n"/>
      <c r="B869" s="1" t="n"/>
      <c r="C869" s="1" t="n"/>
      <c r="D869" s="1" t="n"/>
      <c r="E869" s="1" t="n"/>
      <c r="F869" s="1" t="n"/>
      <c r="G869" s="1" t="n"/>
      <c r="H869" s="1" t="n"/>
      <c r="I869" s="1" t="n"/>
      <c r="J869" s="1" t="n"/>
      <c r="K869" s="1" t="n"/>
      <c r="L869" s="1" t="n"/>
      <c r="M869" s="1" t="n"/>
      <c r="N869" s="1" t="n"/>
      <c r="O869" s="1" t="n"/>
    </row>
    <row r="870" ht="15.75" customHeight="1" s="311">
      <c r="A870" s="1" t="n"/>
      <c r="B870" s="1" t="n"/>
      <c r="C870" s="1" t="n"/>
      <c r="D870" s="1" t="n"/>
      <c r="E870" s="1" t="n"/>
      <c r="F870" s="1" t="n"/>
      <c r="G870" s="1" t="n"/>
      <c r="H870" s="1" t="n"/>
      <c r="I870" s="1" t="n"/>
      <c r="J870" s="1" t="n"/>
      <c r="K870" s="1" t="n"/>
      <c r="L870" s="1" t="n"/>
      <c r="M870" s="1" t="n"/>
      <c r="N870" s="1" t="n"/>
      <c r="O870" s="1" t="n"/>
    </row>
    <row r="871" ht="15.75" customHeight="1" s="311">
      <c r="A871" s="1" t="n"/>
      <c r="B871" s="1" t="n"/>
      <c r="C871" s="1" t="n"/>
      <c r="D871" s="1" t="n"/>
      <c r="E871" s="1" t="n"/>
      <c r="F871" s="1" t="n"/>
      <c r="G871" s="1" t="n"/>
      <c r="H871" s="1" t="n"/>
      <c r="I871" s="1" t="n"/>
      <c r="J871" s="1" t="n"/>
      <c r="K871" s="1" t="n"/>
      <c r="L871" s="1" t="n"/>
      <c r="M871" s="1" t="n"/>
      <c r="N871" s="1" t="n"/>
      <c r="O871" s="1" t="n"/>
    </row>
    <row r="872" ht="15.75" customHeight="1" s="311">
      <c r="A872" s="1" t="n"/>
      <c r="B872" s="1" t="n"/>
      <c r="C872" s="1" t="n"/>
      <c r="D872" s="1" t="n"/>
      <c r="E872" s="1" t="n"/>
      <c r="F872" s="1" t="n"/>
      <c r="G872" s="1" t="n"/>
      <c r="H872" s="1" t="n"/>
      <c r="I872" s="1" t="n"/>
      <c r="J872" s="1" t="n"/>
      <c r="K872" s="1" t="n"/>
      <c r="L872" s="1" t="n"/>
      <c r="M872" s="1" t="n"/>
      <c r="N872" s="1" t="n"/>
      <c r="O872" s="1" t="n"/>
    </row>
    <row r="873" ht="15.75" customHeight="1" s="311">
      <c r="A873" s="1" t="n"/>
      <c r="B873" s="1" t="n"/>
      <c r="C873" s="1" t="n"/>
      <c r="D873" s="1" t="n"/>
      <c r="E873" s="1" t="n"/>
      <c r="F873" s="1" t="n"/>
      <c r="G873" s="1" t="n"/>
      <c r="H873" s="1" t="n"/>
      <c r="I873" s="1" t="n"/>
      <c r="J873" s="1" t="n"/>
      <c r="K873" s="1" t="n"/>
      <c r="L873" s="1" t="n"/>
      <c r="M873" s="1" t="n"/>
      <c r="N873" s="1" t="n"/>
      <c r="O873" s="1" t="n"/>
    </row>
    <row r="874" ht="15.75" customHeight="1" s="311">
      <c r="A874" s="1" t="n"/>
      <c r="B874" s="1" t="n"/>
      <c r="C874" s="1" t="n"/>
      <c r="D874" s="1" t="n"/>
      <c r="E874" s="1" t="n"/>
      <c r="F874" s="1" t="n"/>
      <c r="G874" s="1" t="n"/>
      <c r="H874" s="1" t="n"/>
      <c r="I874" s="1" t="n"/>
      <c r="J874" s="1" t="n"/>
      <c r="K874" s="1" t="n"/>
      <c r="L874" s="1" t="n"/>
      <c r="M874" s="1" t="n"/>
      <c r="N874" s="1" t="n"/>
      <c r="O874" s="1" t="n"/>
    </row>
    <row r="875" ht="15.75" customHeight="1" s="311">
      <c r="A875" s="1" t="n"/>
      <c r="B875" s="1" t="n"/>
      <c r="C875" s="1" t="n"/>
      <c r="D875" s="1" t="n"/>
      <c r="E875" s="1" t="n"/>
      <c r="F875" s="1" t="n"/>
      <c r="G875" s="1" t="n"/>
      <c r="H875" s="1" t="n"/>
      <c r="I875" s="1" t="n"/>
      <c r="J875" s="1" t="n"/>
      <c r="K875" s="1" t="n"/>
      <c r="L875" s="1" t="n"/>
      <c r="M875" s="1" t="n"/>
      <c r="N875" s="1" t="n"/>
      <c r="O875" s="1" t="n"/>
    </row>
    <row r="876" ht="15.75" customHeight="1" s="311">
      <c r="A876" s="1" t="n"/>
      <c r="B876" s="1" t="n"/>
      <c r="C876" s="1" t="n"/>
      <c r="D876" s="1" t="n"/>
      <c r="E876" s="1" t="n"/>
      <c r="F876" s="1" t="n"/>
      <c r="G876" s="1" t="n"/>
      <c r="H876" s="1" t="n"/>
      <c r="I876" s="1" t="n"/>
      <c r="J876" s="1" t="n"/>
      <c r="K876" s="1" t="n"/>
      <c r="L876" s="1" t="n"/>
      <c r="M876" s="1" t="n"/>
      <c r="N876" s="1" t="n"/>
      <c r="O876" s="1" t="n"/>
    </row>
    <row r="877" ht="15.75" customHeight="1" s="311">
      <c r="A877" s="1" t="n"/>
      <c r="B877" s="1" t="n"/>
      <c r="C877" s="1" t="n"/>
      <c r="D877" s="1" t="n"/>
      <c r="E877" s="1" t="n"/>
      <c r="F877" s="1" t="n"/>
      <c r="G877" s="1" t="n"/>
      <c r="H877" s="1" t="n"/>
      <c r="I877" s="1" t="n"/>
      <c r="J877" s="1" t="n"/>
      <c r="K877" s="1" t="n"/>
      <c r="L877" s="1" t="n"/>
      <c r="M877" s="1" t="n"/>
      <c r="N877" s="1" t="n"/>
      <c r="O877" s="1" t="n"/>
    </row>
    <row r="878" ht="15.75" customHeight="1" s="311">
      <c r="A878" s="1" t="n"/>
      <c r="B878" s="1" t="n"/>
      <c r="C878" s="1" t="n"/>
      <c r="D878" s="1" t="n"/>
      <c r="E878" s="1" t="n"/>
      <c r="F878" s="1" t="n"/>
      <c r="G878" s="1" t="n"/>
      <c r="H878" s="1" t="n"/>
      <c r="I878" s="1" t="n"/>
      <c r="J878" s="1" t="n"/>
      <c r="K878" s="1" t="n"/>
      <c r="L878" s="1" t="n"/>
      <c r="M878" s="1" t="n"/>
      <c r="N878" s="1" t="n"/>
      <c r="O878" s="1" t="n"/>
    </row>
    <row r="879" ht="15.75" customHeight="1" s="311">
      <c r="A879" s="1" t="n"/>
      <c r="B879" s="1" t="n"/>
      <c r="C879" s="1" t="n"/>
      <c r="D879" s="1" t="n"/>
      <c r="E879" s="1" t="n"/>
      <c r="F879" s="1" t="n"/>
      <c r="G879" s="1" t="n"/>
      <c r="H879" s="1" t="n"/>
      <c r="I879" s="1" t="n"/>
      <c r="J879" s="1" t="n"/>
      <c r="K879" s="1" t="n"/>
      <c r="L879" s="1" t="n"/>
      <c r="M879" s="1" t="n"/>
      <c r="N879" s="1" t="n"/>
      <c r="O879" s="1" t="n"/>
    </row>
    <row r="880" ht="15.75" customHeight="1" s="311">
      <c r="A880" s="1" t="n"/>
      <c r="B880" s="1" t="n"/>
      <c r="C880" s="1" t="n"/>
      <c r="D880" s="1" t="n"/>
      <c r="E880" s="1" t="n"/>
      <c r="F880" s="1" t="n"/>
      <c r="G880" s="1" t="n"/>
      <c r="H880" s="1" t="n"/>
      <c r="I880" s="1" t="n"/>
      <c r="J880" s="1" t="n"/>
      <c r="K880" s="1" t="n"/>
      <c r="L880" s="1" t="n"/>
      <c r="M880" s="1" t="n"/>
      <c r="N880" s="1" t="n"/>
      <c r="O880" s="1" t="n"/>
    </row>
    <row r="881" ht="15.75" customHeight="1" s="311">
      <c r="A881" s="1" t="n"/>
      <c r="B881" s="1" t="n"/>
      <c r="C881" s="1" t="n"/>
      <c r="D881" s="1" t="n"/>
      <c r="E881" s="1" t="n"/>
      <c r="F881" s="1" t="n"/>
      <c r="G881" s="1" t="n"/>
      <c r="H881" s="1" t="n"/>
      <c r="I881" s="1" t="n"/>
      <c r="J881" s="1" t="n"/>
      <c r="K881" s="1" t="n"/>
      <c r="L881" s="1" t="n"/>
      <c r="M881" s="1" t="n"/>
      <c r="N881" s="1" t="n"/>
      <c r="O881" s="1" t="n"/>
    </row>
    <row r="882" ht="15.75" customHeight="1" s="311">
      <c r="A882" s="1" t="n"/>
      <c r="B882" s="1" t="n"/>
      <c r="C882" s="1" t="n"/>
      <c r="D882" s="1" t="n"/>
      <c r="E882" s="1" t="n"/>
      <c r="F882" s="1" t="n"/>
      <c r="G882" s="1" t="n"/>
      <c r="H882" s="1" t="n"/>
      <c r="I882" s="1" t="n"/>
      <c r="J882" s="1" t="n"/>
      <c r="K882" s="1" t="n"/>
      <c r="L882" s="1" t="n"/>
      <c r="M882" s="1" t="n"/>
      <c r="N882" s="1" t="n"/>
      <c r="O882" s="1" t="n"/>
    </row>
    <row r="883" ht="15.75" customHeight="1" s="311">
      <c r="A883" s="1" t="n"/>
      <c r="B883" s="1" t="n"/>
      <c r="C883" s="1" t="n"/>
      <c r="D883" s="1" t="n"/>
      <c r="E883" s="1" t="n"/>
      <c r="F883" s="1" t="n"/>
      <c r="G883" s="1" t="n"/>
      <c r="H883" s="1" t="n"/>
      <c r="I883" s="1" t="n"/>
      <c r="J883" s="1" t="n"/>
      <c r="K883" s="1" t="n"/>
      <c r="L883" s="1" t="n"/>
      <c r="M883" s="1" t="n"/>
      <c r="N883" s="1" t="n"/>
      <c r="O883" s="1" t="n"/>
    </row>
    <row r="884" ht="15.75" customHeight="1" s="311">
      <c r="A884" s="1" t="n"/>
      <c r="B884" s="1" t="n"/>
      <c r="C884" s="1" t="n"/>
      <c r="D884" s="1" t="n"/>
      <c r="E884" s="1" t="n"/>
      <c r="F884" s="1" t="n"/>
      <c r="G884" s="1" t="n"/>
      <c r="H884" s="1" t="n"/>
      <c r="I884" s="1" t="n"/>
      <c r="J884" s="1" t="n"/>
      <c r="K884" s="1" t="n"/>
      <c r="L884" s="1" t="n"/>
      <c r="M884" s="1" t="n"/>
      <c r="N884" s="1" t="n"/>
      <c r="O884" s="1" t="n"/>
    </row>
    <row r="885" ht="15.75" customHeight="1" s="311">
      <c r="A885" s="1" t="n"/>
      <c r="B885" s="1" t="n"/>
      <c r="C885" s="1" t="n"/>
      <c r="D885" s="1" t="n"/>
      <c r="E885" s="1" t="n"/>
      <c r="F885" s="1" t="n"/>
      <c r="G885" s="1" t="n"/>
      <c r="H885" s="1" t="n"/>
      <c r="I885" s="1" t="n"/>
      <c r="J885" s="1" t="n"/>
      <c r="K885" s="1" t="n"/>
      <c r="L885" s="1" t="n"/>
      <c r="M885" s="1" t="n"/>
      <c r="N885" s="1" t="n"/>
      <c r="O885" s="1" t="n"/>
    </row>
    <row r="886" ht="15.75" customHeight="1" s="311">
      <c r="A886" s="1" t="n"/>
      <c r="B886" s="1" t="n"/>
      <c r="C886" s="1" t="n"/>
      <c r="D886" s="1" t="n"/>
      <c r="E886" s="1" t="n"/>
      <c r="F886" s="1" t="n"/>
      <c r="G886" s="1" t="n"/>
      <c r="H886" s="1" t="n"/>
      <c r="I886" s="1" t="n"/>
      <c r="J886" s="1" t="n"/>
      <c r="K886" s="1" t="n"/>
      <c r="L886" s="1" t="n"/>
      <c r="M886" s="1" t="n"/>
      <c r="N886" s="1" t="n"/>
      <c r="O886" s="1" t="n"/>
    </row>
    <row r="887" ht="15.75" customHeight="1" s="311">
      <c r="A887" s="1" t="n"/>
      <c r="B887" s="1" t="n"/>
      <c r="C887" s="1" t="n"/>
      <c r="D887" s="1" t="n"/>
      <c r="E887" s="1" t="n"/>
      <c r="F887" s="1" t="n"/>
      <c r="G887" s="1" t="n"/>
      <c r="H887" s="1" t="n"/>
      <c r="I887" s="1" t="n"/>
      <c r="J887" s="1" t="n"/>
      <c r="K887" s="1" t="n"/>
      <c r="L887" s="1" t="n"/>
      <c r="M887" s="1" t="n"/>
      <c r="N887" s="1" t="n"/>
      <c r="O887" s="1" t="n"/>
    </row>
    <row r="888" ht="15.75" customHeight="1" s="311">
      <c r="A888" s="1" t="n"/>
      <c r="B888" s="1" t="n"/>
      <c r="C888" s="1" t="n"/>
      <c r="D888" s="1" t="n"/>
      <c r="E888" s="1" t="n"/>
      <c r="F888" s="1" t="n"/>
      <c r="G888" s="1" t="n"/>
      <c r="H888" s="1" t="n"/>
      <c r="I888" s="1" t="n"/>
      <c r="J888" s="1" t="n"/>
      <c r="K888" s="1" t="n"/>
      <c r="L888" s="1" t="n"/>
      <c r="M888" s="1" t="n"/>
      <c r="N888" s="1" t="n"/>
      <c r="O888" s="1" t="n"/>
    </row>
    <row r="889" ht="15.75" customHeight="1" s="311">
      <c r="A889" s="1" t="n"/>
      <c r="B889" s="1" t="n"/>
      <c r="C889" s="1" t="n"/>
      <c r="D889" s="1" t="n"/>
      <c r="E889" s="1" t="n"/>
      <c r="F889" s="1" t="n"/>
      <c r="G889" s="1" t="n"/>
      <c r="H889" s="1" t="n"/>
      <c r="I889" s="1" t="n"/>
      <c r="J889" s="1" t="n"/>
      <c r="K889" s="1" t="n"/>
      <c r="L889" s="1" t="n"/>
      <c r="M889" s="1" t="n"/>
      <c r="N889" s="1" t="n"/>
      <c r="O889" s="1" t="n"/>
    </row>
    <row r="890" ht="15.75" customHeight="1" s="311">
      <c r="A890" s="1" t="n"/>
      <c r="B890" s="1" t="n"/>
      <c r="C890" s="1" t="n"/>
      <c r="D890" s="1" t="n"/>
      <c r="E890" s="1" t="n"/>
      <c r="F890" s="1" t="n"/>
      <c r="G890" s="1" t="n"/>
      <c r="H890" s="1" t="n"/>
      <c r="I890" s="1" t="n"/>
      <c r="J890" s="1" t="n"/>
      <c r="K890" s="1" t="n"/>
      <c r="L890" s="1" t="n"/>
      <c r="M890" s="1" t="n"/>
      <c r="N890" s="1" t="n"/>
      <c r="O890" s="1" t="n"/>
    </row>
    <row r="891" ht="15.75" customHeight="1" s="311">
      <c r="A891" s="1" t="n"/>
      <c r="B891" s="1" t="n"/>
      <c r="C891" s="1" t="n"/>
      <c r="D891" s="1" t="n"/>
      <c r="E891" s="1" t="n"/>
      <c r="F891" s="1" t="n"/>
      <c r="G891" s="1" t="n"/>
      <c r="H891" s="1" t="n"/>
      <c r="I891" s="1" t="n"/>
      <c r="J891" s="1" t="n"/>
      <c r="K891" s="1" t="n"/>
      <c r="L891" s="1" t="n"/>
      <c r="M891" s="1" t="n"/>
      <c r="N891" s="1" t="n"/>
      <c r="O891" s="1" t="n"/>
    </row>
    <row r="892" ht="15.75" customHeight="1" s="311">
      <c r="A892" s="1" t="n"/>
      <c r="B892" s="1" t="n"/>
      <c r="C892" s="1" t="n"/>
      <c r="D892" s="1" t="n"/>
      <c r="E892" s="1" t="n"/>
      <c r="F892" s="1" t="n"/>
      <c r="G892" s="1" t="n"/>
      <c r="H892" s="1" t="n"/>
      <c r="I892" s="1" t="n"/>
      <c r="J892" s="1" t="n"/>
      <c r="K892" s="1" t="n"/>
      <c r="L892" s="1" t="n"/>
      <c r="M892" s="1" t="n"/>
      <c r="N892" s="1" t="n"/>
      <c r="O892" s="1" t="n"/>
    </row>
    <row r="893" ht="15.75" customHeight="1" s="311">
      <c r="A893" s="1" t="n"/>
      <c r="B893" s="1" t="n"/>
      <c r="C893" s="1" t="n"/>
      <c r="D893" s="1" t="n"/>
      <c r="E893" s="1" t="n"/>
      <c r="F893" s="1" t="n"/>
      <c r="G893" s="1" t="n"/>
      <c r="H893" s="1" t="n"/>
      <c r="I893" s="1" t="n"/>
      <c r="J893" s="1" t="n"/>
      <c r="K893" s="1" t="n"/>
      <c r="L893" s="1" t="n"/>
      <c r="M893" s="1" t="n"/>
      <c r="N893" s="1" t="n"/>
      <c r="O893" s="1" t="n"/>
    </row>
    <row r="894" ht="15.75" customHeight="1" s="311">
      <c r="A894" s="1" t="n"/>
      <c r="B894" s="1" t="n"/>
      <c r="C894" s="1" t="n"/>
      <c r="D894" s="1" t="n"/>
      <c r="E894" s="1" t="n"/>
      <c r="F894" s="1" t="n"/>
      <c r="G894" s="1" t="n"/>
      <c r="H894" s="1" t="n"/>
      <c r="I894" s="1" t="n"/>
      <c r="J894" s="1" t="n"/>
      <c r="K894" s="1" t="n"/>
      <c r="L894" s="1" t="n"/>
      <c r="M894" s="1" t="n"/>
      <c r="N894" s="1" t="n"/>
      <c r="O894" s="1" t="n"/>
    </row>
    <row r="895" ht="15.75" customHeight="1" s="311">
      <c r="A895" s="1" t="n"/>
      <c r="B895" s="1" t="n"/>
      <c r="C895" s="1" t="n"/>
      <c r="D895" s="1" t="n"/>
      <c r="E895" s="1" t="n"/>
      <c r="F895" s="1" t="n"/>
      <c r="G895" s="1" t="n"/>
      <c r="H895" s="1" t="n"/>
      <c r="I895" s="1" t="n"/>
      <c r="J895" s="1" t="n"/>
      <c r="K895" s="1" t="n"/>
      <c r="L895" s="1" t="n"/>
      <c r="M895" s="1" t="n"/>
      <c r="N895" s="1" t="n"/>
      <c r="O895" s="1" t="n"/>
    </row>
    <row r="896" ht="15.75" customHeight="1" s="311">
      <c r="A896" s="1" t="n"/>
      <c r="B896" s="1" t="n"/>
      <c r="C896" s="1" t="n"/>
      <c r="D896" s="1" t="n"/>
      <c r="E896" s="1" t="n"/>
      <c r="F896" s="1" t="n"/>
      <c r="G896" s="1" t="n"/>
      <c r="H896" s="1" t="n"/>
      <c r="I896" s="1" t="n"/>
      <c r="J896" s="1" t="n"/>
      <c r="K896" s="1" t="n"/>
      <c r="L896" s="1" t="n"/>
      <c r="M896" s="1" t="n"/>
      <c r="N896" s="1" t="n"/>
      <c r="O896" s="1" t="n"/>
    </row>
    <row r="897" ht="15.75" customHeight="1" s="311">
      <c r="A897" s="1" t="n"/>
      <c r="B897" s="1" t="n"/>
      <c r="C897" s="1" t="n"/>
      <c r="D897" s="1" t="n"/>
      <c r="E897" s="1" t="n"/>
      <c r="F897" s="1" t="n"/>
      <c r="G897" s="1" t="n"/>
      <c r="H897" s="1" t="n"/>
      <c r="I897" s="1" t="n"/>
      <c r="J897" s="1" t="n"/>
      <c r="K897" s="1" t="n"/>
      <c r="L897" s="1" t="n"/>
      <c r="M897" s="1" t="n"/>
      <c r="N897" s="1" t="n"/>
      <c r="O897" s="1" t="n"/>
    </row>
    <row r="898" ht="15.75" customHeight="1" s="311">
      <c r="A898" s="1" t="n"/>
      <c r="B898" s="1" t="n"/>
      <c r="C898" s="1" t="n"/>
      <c r="D898" s="1" t="n"/>
      <c r="E898" s="1" t="n"/>
      <c r="F898" s="1" t="n"/>
      <c r="G898" s="1" t="n"/>
      <c r="H898" s="1" t="n"/>
      <c r="I898" s="1" t="n"/>
      <c r="J898" s="1" t="n"/>
      <c r="K898" s="1" t="n"/>
      <c r="L898" s="1" t="n"/>
      <c r="M898" s="1" t="n"/>
      <c r="N898" s="1" t="n"/>
      <c r="O898" s="1" t="n"/>
    </row>
    <row r="899" ht="15.75" customHeight="1" s="311">
      <c r="A899" s="1" t="n"/>
      <c r="B899" s="1" t="n"/>
      <c r="C899" s="1" t="n"/>
      <c r="D899" s="1" t="n"/>
      <c r="E899" s="1" t="n"/>
      <c r="F899" s="1" t="n"/>
      <c r="G899" s="1" t="n"/>
      <c r="H899" s="1" t="n"/>
      <c r="I899" s="1" t="n"/>
      <c r="J899" s="1" t="n"/>
      <c r="K899" s="1" t="n"/>
      <c r="L899" s="1" t="n"/>
      <c r="M899" s="1" t="n"/>
      <c r="N899" s="1" t="n"/>
      <c r="O899" s="1" t="n"/>
    </row>
    <row r="900" ht="15.75" customHeight="1" s="311">
      <c r="A900" s="1" t="n"/>
      <c r="B900" s="1" t="n"/>
      <c r="C900" s="1" t="n"/>
      <c r="D900" s="1" t="n"/>
      <c r="E900" s="1" t="n"/>
      <c r="F900" s="1" t="n"/>
      <c r="G900" s="1" t="n"/>
      <c r="H900" s="1" t="n"/>
      <c r="I900" s="1" t="n"/>
      <c r="J900" s="1" t="n"/>
      <c r="K900" s="1" t="n"/>
      <c r="L900" s="1" t="n"/>
      <c r="M900" s="1" t="n"/>
      <c r="N900" s="1" t="n"/>
      <c r="O900" s="1" t="n"/>
    </row>
    <row r="901" ht="15.75" customHeight="1" s="311">
      <c r="A901" s="1" t="n"/>
      <c r="B901" s="1" t="n"/>
      <c r="C901" s="1" t="n"/>
      <c r="D901" s="1" t="n"/>
      <c r="E901" s="1" t="n"/>
      <c r="F901" s="1" t="n"/>
      <c r="G901" s="1" t="n"/>
      <c r="H901" s="1" t="n"/>
      <c r="I901" s="1" t="n"/>
      <c r="J901" s="1" t="n"/>
      <c r="K901" s="1" t="n"/>
      <c r="L901" s="1" t="n"/>
      <c r="M901" s="1" t="n"/>
      <c r="N901" s="1" t="n"/>
      <c r="O901" s="1" t="n"/>
    </row>
    <row r="902" ht="15.75" customHeight="1" s="311">
      <c r="A902" s="1" t="n"/>
      <c r="B902" s="1" t="n"/>
      <c r="C902" s="1" t="n"/>
      <c r="D902" s="1" t="n"/>
      <c r="E902" s="1" t="n"/>
      <c r="F902" s="1" t="n"/>
      <c r="G902" s="1" t="n"/>
      <c r="H902" s="1" t="n"/>
      <c r="I902" s="1" t="n"/>
      <c r="J902" s="1" t="n"/>
      <c r="K902" s="1" t="n"/>
      <c r="L902" s="1" t="n"/>
      <c r="M902" s="1" t="n"/>
      <c r="N902" s="1" t="n"/>
      <c r="O902" s="1" t="n"/>
    </row>
    <row r="903" ht="15.75" customHeight="1" s="311">
      <c r="A903" s="1" t="n"/>
      <c r="B903" s="1" t="n"/>
      <c r="C903" s="1" t="n"/>
      <c r="D903" s="1" t="n"/>
      <c r="E903" s="1" t="n"/>
      <c r="F903" s="1" t="n"/>
      <c r="G903" s="1" t="n"/>
      <c r="H903" s="1" t="n"/>
      <c r="I903" s="1" t="n"/>
      <c r="J903" s="1" t="n"/>
      <c r="K903" s="1" t="n"/>
      <c r="L903" s="1" t="n"/>
      <c r="M903" s="1" t="n"/>
      <c r="N903" s="1" t="n"/>
      <c r="O903" s="1" t="n"/>
    </row>
    <row r="904" ht="15.75" customHeight="1" s="311">
      <c r="A904" s="1" t="n"/>
      <c r="B904" s="1" t="n"/>
      <c r="C904" s="1" t="n"/>
      <c r="D904" s="1" t="n"/>
      <c r="E904" s="1" t="n"/>
      <c r="F904" s="1" t="n"/>
      <c r="G904" s="1" t="n"/>
      <c r="H904" s="1" t="n"/>
      <c r="I904" s="1" t="n"/>
      <c r="J904" s="1" t="n"/>
      <c r="K904" s="1" t="n"/>
      <c r="L904" s="1" t="n"/>
      <c r="M904" s="1" t="n"/>
      <c r="N904" s="1" t="n"/>
      <c r="O904" s="1" t="n"/>
    </row>
    <row r="905" ht="15.75" customHeight="1" s="311">
      <c r="A905" s="1" t="n"/>
      <c r="B905" s="1" t="n"/>
      <c r="C905" s="1" t="n"/>
      <c r="D905" s="1" t="n"/>
      <c r="E905" s="1" t="n"/>
      <c r="F905" s="1" t="n"/>
      <c r="G905" s="1" t="n"/>
      <c r="H905" s="1" t="n"/>
      <c r="I905" s="1" t="n"/>
      <c r="J905" s="1" t="n"/>
      <c r="K905" s="1" t="n"/>
      <c r="L905" s="1" t="n"/>
      <c r="M905" s="1" t="n"/>
      <c r="N905" s="1" t="n"/>
      <c r="O905" s="1" t="n"/>
    </row>
    <row r="906" ht="15.75" customHeight="1" s="311">
      <c r="A906" s="1" t="n"/>
      <c r="B906" s="1" t="n"/>
      <c r="C906" s="1" t="n"/>
      <c r="D906" s="1" t="n"/>
      <c r="E906" s="1" t="n"/>
      <c r="F906" s="1" t="n"/>
      <c r="G906" s="1" t="n"/>
      <c r="H906" s="1" t="n"/>
      <c r="I906" s="1" t="n"/>
      <c r="J906" s="1" t="n"/>
      <c r="K906" s="1" t="n"/>
      <c r="L906" s="1" t="n"/>
      <c r="M906" s="1" t="n"/>
      <c r="N906" s="1" t="n"/>
      <c r="O906" s="1" t="n"/>
    </row>
    <row r="907" ht="15.75" customHeight="1" s="311">
      <c r="A907" s="1" t="n"/>
      <c r="B907" s="1" t="n"/>
      <c r="C907" s="1" t="n"/>
      <c r="D907" s="1" t="n"/>
      <c r="E907" s="1" t="n"/>
      <c r="F907" s="1" t="n"/>
      <c r="G907" s="1" t="n"/>
      <c r="H907" s="1" t="n"/>
      <c r="I907" s="1" t="n"/>
      <c r="J907" s="1" t="n"/>
      <c r="K907" s="1" t="n"/>
      <c r="L907" s="1" t="n"/>
      <c r="M907" s="1" t="n"/>
      <c r="N907" s="1" t="n"/>
      <c r="O907" s="1" t="n"/>
    </row>
    <row r="908" ht="15.75" customHeight="1" s="311">
      <c r="A908" s="1" t="n"/>
      <c r="B908" s="1" t="n"/>
      <c r="C908" s="1" t="n"/>
      <c r="D908" s="1" t="n"/>
      <c r="E908" s="1" t="n"/>
      <c r="F908" s="1" t="n"/>
      <c r="G908" s="1" t="n"/>
      <c r="H908" s="1" t="n"/>
      <c r="I908" s="1" t="n"/>
      <c r="J908" s="1" t="n"/>
      <c r="K908" s="1" t="n"/>
      <c r="L908" s="1" t="n"/>
      <c r="M908" s="1" t="n"/>
      <c r="N908" s="1" t="n"/>
      <c r="O908" s="1" t="n"/>
    </row>
    <row r="909" ht="15.75" customHeight="1" s="311">
      <c r="A909" s="1" t="n"/>
      <c r="B909" s="1" t="n"/>
      <c r="C909" s="1" t="n"/>
      <c r="D909" s="1" t="n"/>
      <c r="E909" s="1" t="n"/>
      <c r="F909" s="1" t="n"/>
      <c r="G909" s="1" t="n"/>
      <c r="H909" s="1" t="n"/>
      <c r="I909" s="1" t="n"/>
      <c r="J909" s="1" t="n"/>
      <c r="K909" s="1" t="n"/>
      <c r="L909" s="1" t="n"/>
      <c r="M909" s="1" t="n"/>
      <c r="N909" s="1" t="n"/>
      <c r="O909" s="1" t="n"/>
    </row>
    <row r="910" ht="15.75" customHeight="1" s="311">
      <c r="A910" s="1" t="n"/>
      <c r="B910" s="1" t="n"/>
      <c r="C910" s="1" t="n"/>
      <c r="D910" s="1" t="n"/>
      <c r="E910" s="1" t="n"/>
      <c r="F910" s="1" t="n"/>
      <c r="G910" s="1" t="n"/>
      <c r="H910" s="1" t="n"/>
      <c r="I910" s="1" t="n"/>
      <c r="J910" s="1" t="n"/>
      <c r="K910" s="1" t="n"/>
      <c r="L910" s="1" t="n"/>
      <c r="M910" s="1" t="n"/>
      <c r="N910" s="1" t="n"/>
      <c r="O910" s="1" t="n"/>
    </row>
    <row r="911" ht="15.75" customHeight="1" s="311">
      <c r="A911" s="1" t="n"/>
      <c r="B911" s="1" t="n"/>
      <c r="C911" s="1" t="n"/>
      <c r="D911" s="1" t="n"/>
      <c r="E911" s="1" t="n"/>
      <c r="F911" s="1" t="n"/>
      <c r="G911" s="1" t="n"/>
      <c r="H911" s="1" t="n"/>
      <c r="I911" s="1" t="n"/>
      <c r="J911" s="1" t="n"/>
      <c r="K911" s="1" t="n"/>
      <c r="L911" s="1" t="n"/>
      <c r="M911" s="1" t="n"/>
      <c r="N911" s="1" t="n"/>
      <c r="O911" s="1" t="n"/>
    </row>
    <row r="912" ht="15.75" customHeight="1" s="311">
      <c r="A912" s="1" t="n"/>
      <c r="B912" s="1" t="n"/>
      <c r="C912" s="1" t="n"/>
      <c r="D912" s="1" t="n"/>
      <c r="E912" s="1" t="n"/>
      <c r="F912" s="1" t="n"/>
      <c r="G912" s="1" t="n"/>
      <c r="H912" s="1" t="n"/>
      <c r="I912" s="1" t="n"/>
      <c r="J912" s="1" t="n"/>
      <c r="K912" s="1" t="n"/>
      <c r="L912" s="1" t="n"/>
      <c r="M912" s="1" t="n"/>
      <c r="N912" s="1" t="n"/>
      <c r="O912" s="1" t="n"/>
    </row>
    <row r="913" ht="15.75" customHeight="1" s="311">
      <c r="A913" s="1" t="n"/>
      <c r="B913" s="1" t="n"/>
      <c r="C913" s="1" t="n"/>
      <c r="D913" s="1" t="n"/>
      <c r="E913" s="1" t="n"/>
      <c r="F913" s="1" t="n"/>
      <c r="G913" s="1" t="n"/>
      <c r="H913" s="1" t="n"/>
      <c r="I913" s="1" t="n"/>
      <c r="J913" s="1" t="n"/>
      <c r="K913" s="1" t="n"/>
      <c r="L913" s="1" t="n"/>
      <c r="M913" s="1" t="n"/>
      <c r="N913" s="1" t="n"/>
      <c r="O913" s="1" t="n"/>
    </row>
    <row r="914" ht="15.75" customHeight="1" s="311">
      <c r="A914" s="1" t="n"/>
      <c r="B914" s="1" t="n"/>
      <c r="C914" s="1" t="n"/>
      <c r="D914" s="1" t="n"/>
      <c r="E914" s="1" t="n"/>
      <c r="F914" s="1" t="n"/>
      <c r="G914" s="1" t="n"/>
      <c r="H914" s="1" t="n"/>
      <c r="I914" s="1" t="n"/>
      <c r="J914" s="1" t="n"/>
      <c r="K914" s="1" t="n"/>
      <c r="L914" s="1" t="n"/>
      <c r="M914" s="1" t="n"/>
      <c r="N914" s="1" t="n"/>
      <c r="O914" s="1" t="n"/>
    </row>
    <row r="915" ht="15.75" customHeight="1" s="311">
      <c r="A915" s="1" t="n"/>
      <c r="B915" s="1" t="n"/>
      <c r="C915" s="1" t="n"/>
      <c r="D915" s="1" t="n"/>
      <c r="E915" s="1" t="n"/>
      <c r="F915" s="1" t="n"/>
      <c r="G915" s="1" t="n"/>
      <c r="H915" s="1" t="n"/>
      <c r="I915" s="1" t="n"/>
      <c r="J915" s="1" t="n"/>
      <c r="K915" s="1" t="n"/>
      <c r="L915" s="1" t="n"/>
      <c r="M915" s="1" t="n"/>
      <c r="N915" s="1" t="n"/>
      <c r="O915" s="1" t="n"/>
    </row>
    <row r="916" ht="15.75" customHeight="1" s="311">
      <c r="A916" s="1" t="n"/>
      <c r="B916" s="1" t="n"/>
      <c r="C916" s="1" t="n"/>
      <c r="D916" s="1" t="n"/>
      <c r="E916" s="1" t="n"/>
      <c r="F916" s="1" t="n"/>
      <c r="G916" s="1" t="n"/>
      <c r="H916" s="1" t="n"/>
      <c r="I916" s="1" t="n"/>
      <c r="J916" s="1" t="n"/>
      <c r="K916" s="1" t="n"/>
      <c r="L916" s="1" t="n"/>
      <c r="M916" s="1" t="n"/>
      <c r="N916" s="1" t="n"/>
      <c r="O916" s="1" t="n"/>
    </row>
    <row r="917" ht="15.75" customHeight="1" s="311">
      <c r="A917" s="1" t="n"/>
      <c r="B917" s="1" t="n"/>
      <c r="C917" s="1" t="n"/>
      <c r="D917" s="1" t="n"/>
      <c r="E917" s="1" t="n"/>
      <c r="F917" s="1" t="n"/>
      <c r="G917" s="1" t="n"/>
      <c r="H917" s="1" t="n"/>
      <c r="I917" s="1" t="n"/>
      <c r="J917" s="1" t="n"/>
      <c r="K917" s="1" t="n"/>
      <c r="L917" s="1" t="n"/>
      <c r="M917" s="1" t="n"/>
      <c r="N917" s="1" t="n"/>
      <c r="O917" s="1" t="n"/>
    </row>
    <row r="918" ht="15.75" customHeight="1" s="311">
      <c r="A918" s="1" t="n"/>
      <c r="B918" s="1" t="n"/>
      <c r="C918" s="1" t="n"/>
      <c r="D918" s="1" t="n"/>
      <c r="E918" s="1" t="n"/>
      <c r="F918" s="1" t="n"/>
      <c r="G918" s="1" t="n"/>
      <c r="H918" s="1" t="n"/>
      <c r="I918" s="1" t="n"/>
      <c r="J918" s="1" t="n"/>
      <c r="K918" s="1" t="n"/>
      <c r="L918" s="1" t="n"/>
      <c r="M918" s="1" t="n"/>
      <c r="N918" s="1" t="n"/>
      <c r="O918" s="1" t="n"/>
    </row>
    <row r="919" ht="15.75" customHeight="1" s="311">
      <c r="A919" s="1" t="n"/>
      <c r="B919" s="1" t="n"/>
      <c r="C919" s="1" t="n"/>
      <c r="D919" s="1" t="n"/>
      <c r="E919" s="1" t="n"/>
      <c r="F919" s="1" t="n"/>
      <c r="G919" s="1" t="n"/>
      <c r="H919" s="1" t="n"/>
      <c r="I919" s="1" t="n"/>
      <c r="J919" s="1" t="n"/>
      <c r="K919" s="1" t="n"/>
      <c r="L919" s="1" t="n"/>
      <c r="M919" s="1" t="n"/>
      <c r="N919" s="1" t="n"/>
      <c r="O919" s="1" t="n"/>
    </row>
    <row r="920" ht="15.75" customHeight="1" s="311">
      <c r="A920" s="1" t="n"/>
      <c r="B920" s="1" t="n"/>
      <c r="C920" s="1" t="n"/>
      <c r="D920" s="1" t="n"/>
      <c r="E920" s="1" t="n"/>
      <c r="F920" s="1" t="n"/>
      <c r="G920" s="1" t="n"/>
      <c r="H920" s="1" t="n"/>
      <c r="I920" s="1" t="n"/>
      <c r="J920" s="1" t="n"/>
      <c r="K920" s="1" t="n"/>
      <c r="L920" s="1" t="n"/>
      <c r="M920" s="1" t="n"/>
      <c r="N920" s="1" t="n"/>
      <c r="O920" s="1" t="n"/>
    </row>
    <row r="921" ht="15.75" customHeight="1" s="311">
      <c r="A921" s="1" t="n"/>
      <c r="B921" s="1" t="n"/>
      <c r="C921" s="1" t="n"/>
      <c r="D921" s="1" t="n"/>
      <c r="E921" s="1" t="n"/>
      <c r="F921" s="1" t="n"/>
      <c r="G921" s="1" t="n"/>
      <c r="H921" s="1" t="n"/>
      <c r="I921" s="1" t="n"/>
      <c r="J921" s="1" t="n"/>
      <c r="K921" s="1" t="n"/>
      <c r="L921" s="1" t="n"/>
      <c r="M921" s="1" t="n"/>
      <c r="N921" s="1" t="n"/>
      <c r="O921" s="1" t="n"/>
    </row>
    <row r="922" ht="15.75" customHeight="1" s="311">
      <c r="A922" s="1" t="n"/>
      <c r="B922" s="1" t="n"/>
      <c r="C922" s="1" t="n"/>
      <c r="D922" s="1" t="n"/>
      <c r="E922" s="1" t="n"/>
      <c r="F922" s="1" t="n"/>
      <c r="G922" s="1" t="n"/>
      <c r="H922" s="1" t="n"/>
      <c r="I922" s="1" t="n"/>
      <c r="J922" s="1" t="n"/>
      <c r="K922" s="1" t="n"/>
      <c r="L922" s="1" t="n"/>
      <c r="M922" s="1" t="n"/>
      <c r="N922" s="1" t="n"/>
      <c r="O922" s="1" t="n"/>
    </row>
    <row r="923" ht="15.75" customHeight="1" s="311">
      <c r="A923" s="1" t="n"/>
      <c r="B923" s="1" t="n"/>
      <c r="C923" s="1" t="n"/>
      <c r="D923" s="1" t="n"/>
      <c r="E923" s="1" t="n"/>
      <c r="F923" s="1" t="n"/>
      <c r="G923" s="1" t="n"/>
      <c r="H923" s="1" t="n"/>
      <c r="I923" s="1" t="n"/>
      <c r="J923" s="1" t="n"/>
      <c r="K923" s="1" t="n"/>
      <c r="L923" s="1" t="n"/>
      <c r="M923" s="1" t="n"/>
      <c r="N923" s="1" t="n"/>
      <c r="O923" s="1" t="n"/>
    </row>
    <row r="924" ht="15.75" customHeight="1" s="311">
      <c r="A924" s="1" t="n"/>
      <c r="B924" s="1" t="n"/>
      <c r="C924" s="1" t="n"/>
      <c r="D924" s="1" t="n"/>
      <c r="E924" s="1" t="n"/>
      <c r="F924" s="1" t="n"/>
      <c r="G924" s="1" t="n"/>
      <c r="H924" s="1" t="n"/>
      <c r="I924" s="1" t="n"/>
      <c r="J924" s="1" t="n"/>
      <c r="K924" s="1" t="n"/>
      <c r="L924" s="1" t="n"/>
      <c r="M924" s="1" t="n"/>
      <c r="N924" s="1" t="n"/>
      <c r="O924" s="1" t="n"/>
    </row>
    <row r="925" ht="15.75" customHeight="1" s="311">
      <c r="A925" s="1" t="n"/>
      <c r="B925" s="1" t="n"/>
      <c r="C925" s="1" t="n"/>
      <c r="D925" s="1" t="n"/>
      <c r="E925" s="1" t="n"/>
      <c r="F925" s="1" t="n"/>
      <c r="G925" s="1" t="n"/>
      <c r="H925" s="1" t="n"/>
      <c r="I925" s="1" t="n"/>
      <c r="J925" s="1" t="n"/>
      <c r="K925" s="1" t="n"/>
      <c r="L925" s="1" t="n"/>
      <c r="M925" s="1" t="n"/>
      <c r="N925" s="1" t="n"/>
      <c r="O925" s="1" t="n"/>
    </row>
    <row r="926" ht="15.75" customHeight="1" s="311">
      <c r="A926" s="1" t="n"/>
      <c r="B926" s="1" t="n"/>
      <c r="C926" s="1" t="n"/>
      <c r="D926" s="1" t="n"/>
      <c r="E926" s="1" t="n"/>
      <c r="F926" s="1" t="n"/>
      <c r="G926" s="1" t="n"/>
      <c r="H926" s="1" t="n"/>
      <c r="I926" s="1" t="n"/>
      <c r="J926" s="1" t="n"/>
      <c r="K926" s="1" t="n"/>
      <c r="L926" s="1" t="n"/>
      <c r="M926" s="1" t="n"/>
      <c r="N926" s="1" t="n"/>
      <c r="O926" s="1" t="n"/>
    </row>
    <row r="927" ht="15.75" customHeight="1" s="311">
      <c r="A927" s="1" t="n"/>
      <c r="B927" s="1" t="n"/>
      <c r="C927" s="1" t="n"/>
      <c r="D927" s="1" t="n"/>
      <c r="E927" s="1" t="n"/>
      <c r="F927" s="1" t="n"/>
      <c r="G927" s="1" t="n"/>
      <c r="H927" s="1" t="n"/>
      <c r="I927" s="1" t="n"/>
      <c r="J927" s="1" t="n"/>
      <c r="K927" s="1" t="n"/>
      <c r="L927" s="1" t="n"/>
      <c r="M927" s="1" t="n"/>
      <c r="N927" s="1" t="n"/>
      <c r="O927" s="1" t="n"/>
    </row>
    <row r="928" ht="15.75" customHeight="1" s="311">
      <c r="A928" s="1" t="n"/>
      <c r="B928" s="1" t="n"/>
      <c r="C928" s="1" t="n"/>
      <c r="D928" s="1" t="n"/>
      <c r="E928" s="1" t="n"/>
      <c r="F928" s="1" t="n"/>
      <c r="G928" s="1" t="n"/>
      <c r="H928" s="1" t="n"/>
      <c r="I928" s="1" t="n"/>
      <c r="J928" s="1" t="n"/>
      <c r="K928" s="1" t="n"/>
      <c r="L928" s="1" t="n"/>
      <c r="M928" s="1" t="n"/>
      <c r="N928" s="1" t="n"/>
      <c r="O928" s="1" t="n"/>
    </row>
    <row r="929" ht="15.75" customHeight="1" s="311">
      <c r="A929" s="1" t="n"/>
      <c r="B929" s="1" t="n"/>
      <c r="C929" s="1" t="n"/>
      <c r="D929" s="1" t="n"/>
      <c r="E929" s="1" t="n"/>
      <c r="F929" s="1" t="n"/>
      <c r="G929" s="1" t="n"/>
      <c r="H929" s="1" t="n"/>
      <c r="I929" s="1" t="n"/>
      <c r="J929" s="1" t="n"/>
      <c r="K929" s="1" t="n"/>
      <c r="L929" s="1" t="n"/>
      <c r="M929" s="1" t="n"/>
      <c r="N929" s="1" t="n"/>
      <c r="O929" s="1" t="n"/>
    </row>
    <row r="930" ht="15.75" customHeight="1" s="311">
      <c r="A930" s="1" t="n"/>
      <c r="B930" s="1" t="n"/>
      <c r="C930" s="1" t="n"/>
      <c r="D930" s="1" t="n"/>
      <c r="E930" s="1" t="n"/>
      <c r="F930" s="1" t="n"/>
      <c r="G930" s="1" t="n"/>
      <c r="H930" s="1" t="n"/>
      <c r="I930" s="1" t="n"/>
      <c r="J930" s="1" t="n"/>
      <c r="K930" s="1" t="n"/>
      <c r="L930" s="1" t="n"/>
      <c r="M930" s="1" t="n"/>
      <c r="N930" s="1" t="n"/>
      <c r="O930" s="1" t="n"/>
    </row>
    <row r="931" ht="15.75" customHeight="1" s="311">
      <c r="A931" s="1" t="n"/>
      <c r="B931" s="1" t="n"/>
      <c r="C931" s="1" t="n"/>
      <c r="D931" s="1" t="n"/>
      <c r="E931" s="1" t="n"/>
      <c r="F931" s="1" t="n"/>
      <c r="G931" s="1" t="n"/>
      <c r="H931" s="1" t="n"/>
      <c r="I931" s="1" t="n"/>
      <c r="J931" s="1" t="n"/>
      <c r="K931" s="1" t="n"/>
      <c r="L931" s="1" t="n"/>
      <c r="M931" s="1" t="n"/>
      <c r="N931" s="1" t="n"/>
      <c r="O931" s="1" t="n"/>
    </row>
    <row r="932" ht="15.75" customHeight="1" s="311">
      <c r="A932" s="1" t="n"/>
      <c r="B932" s="1" t="n"/>
      <c r="C932" s="1" t="n"/>
      <c r="D932" s="1" t="n"/>
      <c r="E932" s="1" t="n"/>
      <c r="F932" s="1" t="n"/>
      <c r="G932" s="1" t="n"/>
      <c r="H932" s="1" t="n"/>
      <c r="I932" s="1" t="n"/>
      <c r="J932" s="1" t="n"/>
      <c r="K932" s="1" t="n"/>
      <c r="L932" s="1" t="n"/>
      <c r="M932" s="1" t="n"/>
      <c r="N932" s="1" t="n"/>
      <c r="O932" s="1" t="n"/>
    </row>
    <row r="933" ht="15.75" customHeight="1" s="311">
      <c r="A933" s="1" t="n"/>
      <c r="B933" s="1" t="n"/>
      <c r="C933" s="1" t="n"/>
      <c r="D933" s="1" t="n"/>
      <c r="E933" s="1" t="n"/>
      <c r="F933" s="1" t="n"/>
      <c r="G933" s="1" t="n"/>
      <c r="H933" s="1" t="n"/>
      <c r="I933" s="1" t="n"/>
      <c r="J933" s="1" t="n"/>
      <c r="K933" s="1" t="n"/>
      <c r="L933" s="1" t="n"/>
      <c r="M933" s="1" t="n"/>
      <c r="N933" s="1" t="n"/>
      <c r="O933" s="1" t="n"/>
    </row>
    <row r="934" ht="15.75" customHeight="1" s="311">
      <c r="A934" s="1" t="n"/>
      <c r="B934" s="1" t="n"/>
      <c r="C934" s="1" t="n"/>
      <c r="D934" s="1" t="n"/>
      <c r="E934" s="1" t="n"/>
      <c r="F934" s="1" t="n"/>
      <c r="G934" s="1" t="n"/>
      <c r="H934" s="1" t="n"/>
      <c r="I934" s="1" t="n"/>
      <c r="J934" s="1" t="n"/>
      <c r="K934" s="1" t="n"/>
      <c r="L934" s="1" t="n"/>
      <c r="M934" s="1" t="n"/>
      <c r="N934" s="1" t="n"/>
      <c r="O934" s="1" t="n"/>
    </row>
    <row r="935" ht="15.75" customHeight="1" s="311">
      <c r="A935" s="1" t="n"/>
      <c r="B935" s="1" t="n"/>
      <c r="C935" s="1" t="n"/>
      <c r="D935" s="1" t="n"/>
      <c r="E935" s="1" t="n"/>
      <c r="F935" s="1" t="n"/>
      <c r="G935" s="1" t="n"/>
      <c r="H935" s="1" t="n"/>
      <c r="I935" s="1" t="n"/>
      <c r="J935" s="1" t="n"/>
      <c r="K935" s="1" t="n"/>
      <c r="L935" s="1" t="n"/>
      <c r="M935" s="1" t="n"/>
      <c r="N935" s="1" t="n"/>
      <c r="O935" s="1" t="n"/>
    </row>
    <row r="936" ht="15.75" customHeight="1" s="311">
      <c r="A936" s="1" t="n"/>
      <c r="B936" s="1" t="n"/>
      <c r="C936" s="1" t="n"/>
      <c r="D936" s="1" t="n"/>
      <c r="E936" s="1" t="n"/>
      <c r="F936" s="1" t="n"/>
      <c r="G936" s="1" t="n"/>
      <c r="H936" s="1" t="n"/>
      <c r="I936" s="1" t="n"/>
      <c r="J936" s="1" t="n"/>
      <c r="K936" s="1" t="n"/>
      <c r="L936" s="1" t="n"/>
      <c r="M936" s="1" t="n"/>
      <c r="N936" s="1" t="n"/>
      <c r="O936" s="1" t="n"/>
    </row>
    <row r="937" ht="15.75" customHeight="1" s="311">
      <c r="A937" s="1" t="n"/>
      <c r="B937" s="1" t="n"/>
      <c r="C937" s="1" t="n"/>
      <c r="D937" s="1" t="n"/>
      <c r="E937" s="1" t="n"/>
      <c r="F937" s="1" t="n"/>
      <c r="G937" s="1" t="n"/>
      <c r="H937" s="1" t="n"/>
      <c r="I937" s="1" t="n"/>
      <c r="J937" s="1" t="n"/>
      <c r="K937" s="1" t="n"/>
      <c r="L937" s="1" t="n"/>
      <c r="M937" s="1" t="n"/>
      <c r="N937" s="1" t="n"/>
      <c r="O937" s="1" t="n"/>
    </row>
    <row r="938" ht="15.75" customHeight="1" s="311">
      <c r="A938" s="1" t="n"/>
      <c r="B938" s="1" t="n"/>
      <c r="C938" s="1" t="n"/>
      <c r="D938" s="1" t="n"/>
      <c r="E938" s="1" t="n"/>
      <c r="F938" s="1" t="n"/>
      <c r="G938" s="1" t="n"/>
      <c r="H938" s="1" t="n"/>
      <c r="I938" s="1" t="n"/>
      <c r="J938" s="1" t="n"/>
      <c r="K938" s="1" t="n"/>
      <c r="L938" s="1" t="n"/>
      <c r="M938" s="1" t="n"/>
      <c r="N938" s="1" t="n"/>
      <c r="O938" s="1" t="n"/>
    </row>
    <row r="939" ht="15.75" customHeight="1" s="311">
      <c r="A939" s="1" t="n"/>
      <c r="B939" s="1" t="n"/>
      <c r="C939" s="1" t="n"/>
      <c r="D939" s="1" t="n"/>
      <c r="E939" s="1" t="n"/>
      <c r="F939" s="1" t="n"/>
      <c r="G939" s="1" t="n"/>
      <c r="H939" s="1" t="n"/>
      <c r="I939" s="1" t="n"/>
      <c r="J939" s="1" t="n"/>
      <c r="K939" s="1" t="n"/>
      <c r="L939" s="1" t="n"/>
      <c r="M939" s="1" t="n"/>
      <c r="N939" s="1" t="n"/>
      <c r="O939" s="1" t="n"/>
    </row>
    <row r="940" ht="15.75" customHeight="1" s="311">
      <c r="A940" s="1" t="n"/>
      <c r="B940" s="1" t="n"/>
      <c r="C940" s="1" t="n"/>
      <c r="D940" s="1" t="n"/>
      <c r="E940" s="1" t="n"/>
      <c r="F940" s="1" t="n"/>
      <c r="G940" s="1" t="n"/>
      <c r="H940" s="1" t="n"/>
      <c r="I940" s="1" t="n"/>
      <c r="J940" s="1" t="n"/>
      <c r="K940" s="1" t="n"/>
      <c r="L940" s="1" t="n"/>
      <c r="M940" s="1" t="n"/>
      <c r="N940" s="1" t="n"/>
      <c r="O940" s="1" t="n"/>
    </row>
    <row r="941" ht="15.75" customHeight="1" s="311">
      <c r="A941" s="1" t="n"/>
      <c r="B941" s="1" t="n"/>
      <c r="C941" s="1" t="n"/>
      <c r="D941" s="1" t="n"/>
      <c r="E941" s="1" t="n"/>
      <c r="F941" s="1" t="n"/>
      <c r="G941" s="1" t="n"/>
      <c r="H941" s="1" t="n"/>
      <c r="I941" s="1" t="n"/>
      <c r="J941" s="1" t="n"/>
      <c r="K941" s="1" t="n"/>
      <c r="L941" s="1" t="n"/>
      <c r="M941" s="1" t="n"/>
      <c r="N941" s="1" t="n"/>
      <c r="O941" s="1" t="n"/>
    </row>
    <row r="942" ht="15.75" customHeight="1" s="311">
      <c r="A942" s="1" t="n"/>
      <c r="B942" s="1" t="n"/>
      <c r="C942" s="1" t="n"/>
      <c r="D942" s="1" t="n"/>
      <c r="E942" s="1" t="n"/>
      <c r="F942" s="1" t="n"/>
      <c r="G942" s="1" t="n"/>
      <c r="H942" s="1" t="n"/>
      <c r="I942" s="1" t="n"/>
      <c r="J942" s="1" t="n"/>
      <c r="K942" s="1" t="n"/>
      <c r="L942" s="1" t="n"/>
      <c r="M942" s="1" t="n"/>
      <c r="N942" s="1" t="n"/>
      <c r="O942" s="1" t="n"/>
    </row>
    <row r="943" ht="15.75" customHeight="1" s="311">
      <c r="A943" s="1" t="n"/>
      <c r="B943" s="1" t="n"/>
      <c r="C943" s="1" t="n"/>
      <c r="D943" s="1" t="n"/>
      <c r="E943" s="1" t="n"/>
      <c r="F943" s="1" t="n"/>
      <c r="G943" s="1" t="n"/>
      <c r="H943" s="1" t="n"/>
      <c r="I943" s="1" t="n"/>
      <c r="J943" s="1" t="n"/>
      <c r="K943" s="1" t="n"/>
      <c r="L943" s="1" t="n"/>
      <c r="M943" s="1" t="n"/>
      <c r="N943" s="1" t="n"/>
      <c r="O943" s="1" t="n"/>
    </row>
    <row r="944" ht="15.75" customHeight="1" s="311">
      <c r="A944" s="1" t="n"/>
      <c r="B944" s="1" t="n"/>
      <c r="C944" s="1" t="n"/>
      <c r="D944" s="1" t="n"/>
      <c r="E944" s="1" t="n"/>
      <c r="F944" s="1" t="n"/>
      <c r="G944" s="1" t="n"/>
      <c r="H944" s="1" t="n"/>
      <c r="I944" s="1" t="n"/>
      <c r="J944" s="1" t="n"/>
      <c r="K944" s="1" t="n"/>
      <c r="L944" s="1" t="n"/>
      <c r="M944" s="1" t="n"/>
      <c r="N944" s="1" t="n"/>
      <c r="O944" s="1" t="n"/>
    </row>
    <row r="945" ht="15.75" customHeight="1" s="311">
      <c r="A945" s="1" t="n"/>
      <c r="B945" s="1" t="n"/>
      <c r="C945" s="1" t="n"/>
      <c r="D945" s="1" t="n"/>
      <c r="E945" s="1" t="n"/>
      <c r="F945" s="1" t="n"/>
      <c r="G945" s="1" t="n"/>
      <c r="H945" s="1" t="n"/>
      <c r="I945" s="1" t="n"/>
      <c r="J945" s="1" t="n"/>
      <c r="K945" s="1" t="n"/>
      <c r="L945" s="1" t="n"/>
      <c r="M945" s="1" t="n"/>
      <c r="N945" s="1" t="n"/>
      <c r="O945" s="1" t="n"/>
    </row>
    <row r="946" ht="15.75" customHeight="1" s="311">
      <c r="A946" s="1" t="n"/>
      <c r="B946" s="1" t="n"/>
      <c r="C946" s="1" t="n"/>
      <c r="D946" s="1" t="n"/>
      <c r="E946" s="1" t="n"/>
      <c r="F946" s="1" t="n"/>
      <c r="G946" s="1" t="n"/>
      <c r="H946" s="1" t="n"/>
      <c r="I946" s="1" t="n"/>
      <c r="J946" s="1" t="n"/>
      <c r="K946" s="1" t="n"/>
      <c r="L946" s="1" t="n"/>
      <c r="M946" s="1" t="n"/>
      <c r="N946" s="1" t="n"/>
      <c r="O946" s="1" t="n"/>
    </row>
    <row r="947" ht="15.75" customHeight="1" s="311">
      <c r="A947" s="1" t="n"/>
      <c r="B947" s="1" t="n"/>
      <c r="C947" s="1" t="n"/>
      <c r="D947" s="1" t="n"/>
      <c r="E947" s="1" t="n"/>
      <c r="F947" s="1" t="n"/>
      <c r="G947" s="1" t="n"/>
      <c r="H947" s="1" t="n"/>
      <c r="I947" s="1" t="n"/>
      <c r="J947" s="1" t="n"/>
      <c r="K947" s="1" t="n"/>
      <c r="L947" s="1" t="n"/>
      <c r="M947" s="1" t="n"/>
      <c r="N947" s="1" t="n"/>
      <c r="O947" s="1" t="n"/>
    </row>
    <row r="948" ht="15.75" customHeight="1" s="311">
      <c r="A948" s="1" t="n"/>
      <c r="B948" s="1" t="n"/>
      <c r="C948" s="1" t="n"/>
      <c r="D948" s="1" t="n"/>
      <c r="E948" s="1" t="n"/>
      <c r="F948" s="1" t="n"/>
      <c r="G948" s="1" t="n"/>
      <c r="H948" s="1" t="n"/>
      <c r="I948" s="1" t="n"/>
      <c r="J948" s="1" t="n"/>
      <c r="K948" s="1" t="n"/>
      <c r="L948" s="1" t="n"/>
      <c r="M948" s="1" t="n"/>
      <c r="N948" s="1" t="n"/>
      <c r="O948" s="1" t="n"/>
    </row>
    <row r="949" ht="15.75" customHeight="1" s="311">
      <c r="A949" s="1" t="n"/>
      <c r="B949" s="1" t="n"/>
      <c r="C949" s="1" t="n"/>
      <c r="D949" s="1" t="n"/>
      <c r="E949" s="1" t="n"/>
      <c r="F949" s="1" t="n"/>
      <c r="G949" s="1" t="n"/>
      <c r="H949" s="1" t="n"/>
      <c r="I949" s="1" t="n"/>
      <c r="J949" s="1" t="n"/>
      <c r="K949" s="1" t="n"/>
      <c r="L949" s="1" t="n"/>
      <c r="M949" s="1" t="n"/>
      <c r="N949" s="1" t="n"/>
      <c r="O949" s="1" t="n"/>
    </row>
    <row r="950" ht="15.75" customHeight="1" s="311">
      <c r="A950" s="1" t="n"/>
      <c r="B950" s="1" t="n"/>
      <c r="C950" s="1" t="n"/>
      <c r="D950" s="1" t="n"/>
      <c r="E950" s="1" t="n"/>
      <c r="F950" s="1" t="n"/>
      <c r="G950" s="1" t="n"/>
      <c r="H950" s="1" t="n"/>
      <c r="I950" s="1" t="n"/>
      <c r="J950" s="1" t="n"/>
      <c r="K950" s="1" t="n"/>
      <c r="L950" s="1" t="n"/>
      <c r="M950" s="1" t="n"/>
      <c r="N950" s="1" t="n"/>
      <c r="O950" s="1" t="n"/>
    </row>
    <row r="951" ht="15.75" customHeight="1" s="311">
      <c r="A951" s="1" t="n"/>
      <c r="B951" s="1" t="n"/>
      <c r="C951" s="1" t="n"/>
      <c r="D951" s="1" t="n"/>
      <c r="E951" s="1" t="n"/>
      <c r="F951" s="1" t="n"/>
      <c r="G951" s="1" t="n"/>
      <c r="H951" s="1" t="n"/>
      <c r="I951" s="1" t="n"/>
      <c r="J951" s="1" t="n"/>
      <c r="K951" s="1" t="n"/>
      <c r="L951" s="1" t="n"/>
      <c r="M951" s="1" t="n"/>
      <c r="N951" s="1" t="n"/>
      <c r="O951" s="1" t="n"/>
    </row>
    <row r="952" ht="15.75" customHeight="1" s="311">
      <c r="A952" s="1" t="n"/>
      <c r="B952" s="1" t="n"/>
      <c r="C952" s="1" t="n"/>
      <c r="D952" s="1" t="n"/>
      <c r="E952" s="1" t="n"/>
      <c r="F952" s="1" t="n"/>
      <c r="G952" s="1" t="n"/>
      <c r="H952" s="1" t="n"/>
      <c r="I952" s="1" t="n"/>
      <c r="J952" s="1" t="n"/>
      <c r="K952" s="1" t="n"/>
      <c r="L952" s="1" t="n"/>
      <c r="M952" s="1" t="n"/>
      <c r="N952" s="1" t="n"/>
      <c r="O952" s="1" t="n"/>
    </row>
    <row r="953" ht="15.75" customHeight="1" s="311">
      <c r="A953" s="1" t="n"/>
      <c r="B953" s="1" t="n"/>
      <c r="C953" s="1" t="n"/>
      <c r="D953" s="1" t="n"/>
      <c r="E953" s="1" t="n"/>
      <c r="F953" s="1" t="n"/>
      <c r="G953" s="1" t="n"/>
      <c r="H953" s="1" t="n"/>
      <c r="I953" s="1" t="n"/>
      <c r="J953" s="1" t="n"/>
      <c r="K953" s="1" t="n"/>
      <c r="L953" s="1" t="n"/>
      <c r="M953" s="1" t="n"/>
      <c r="N953" s="1" t="n"/>
      <c r="O953" s="1" t="n"/>
    </row>
    <row r="954" ht="15.75" customHeight="1" s="311">
      <c r="A954" s="1" t="n"/>
      <c r="B954" s="1" t="n"/>
      <c r="C954" s="1" t="n"/>
      <c r="D954" s="1" t="n"/>
      <c r="E954" s="1" t="n"/>
      <c r="F954" s="1" t="n"/>
      <c r="G954" s="1" t="n"/>
      <c r="H954" s="1" t="n"/>
      <c r="I954" s="1" t="n"/>
      <c r="J954" s="1" t="n"/>
      <c r="K954" s="1" t="n"/>
      <c r="L954" s="1" t="n"/>
      <c r="M954" s="1" t="n"/>
      <c r="N954" s="1" t="n"/>
      <c r="O954" s="1" t="n"/>
    </row>
    <row r="955" ht="15.75" customHeight="1" s="311">
      <c r="A955" s="1" t="n"/>
      <c r="B955" s="1" t="n"/>
      <c r="C955" s="1" t="n"/>
      <c r="D955" s="1" t="n"/>
      <c r="E955" s="1" t="n"/>
      <c r="F955" s="1" t="n"/>
      <c r="G955" s="1" t="n"/>
      <c r="H955" s="1" t="n"/>
      <c r="I955" s="1" t="n"/>
      <c r="J955" s="1" t="n"/>
      <c r="K955" s="1" t="n"/>
      <c r="L955" s="1" t="n"/>
      <c r="M955" s="1" t="n"/>
      <c r="N955" s="1" t="n"/>
      <c r="O955" s="1" t="n"/>
    </row>
    <row r="956" ht="15.75" customHeight="1" s="311">
      <c r="A956" s="1" t="n"/>
      <c r="B956" s="1" t="n"/>
      <c r="C956" s="1" t="n"/>
      <c r="D956" s="1" t="n"/>
      <c r="E956" s="1" t="n"/>
      <c r="F956" s="1" t="n"/>
      <c r="G956" s="1" t="n"/>
      <c r="H956" s="1" t="n"/>
      <c r="I956" s="1" t="n"/>
      <c r="J956" s="1" t="n"/>
      <c r="K956" s="1" t="n"/>
      <c r="L956" s="1" t="n"/>
      <c r="M956" s="1" t="n"/>
      <c r="N956" s="1" t="n"/>
      <c r="O956" s="1" t="n"/>
    </row>
    <row r="957" ht="15.75" customHeight="1" s="311">
      <c r="A957" s="1" t="n"/>
      <c r="B957" s="1" t="n"/>
      <c r="C957" s="1" t="n"/>
      <c r="D957" s="1" t="n"/>
      <c r="E957" s="1" t="n"/>
      <c r="F957" s="1" t="n"/>
      <c r="G957" s="1" t="n"/>
      <c r="H957" s="1" t="n"/>
      <c r="I957" s="1" t="n"/>
      <c r="J957" s="1" t="n"/>
      <c r="K957" s="1" t="n"/>
      <c r="L957" s="1" t="n"/>
      <c r="M957" s="1" t="n"/>
      <c r="N957" s="1" t="n"/>
      <c r="O957" s="1" t="n"/>
    </row>
    <row r="958" ht="15.75" customHeight="1" s="311">
      <c r="A958" s="1" t="n"/>
      <c r="B958" s="1" t="n"/>
      <c r="C958" s="1" t="n"/>
      <c r="D958" s="1" t="n"/>
      <c r="E958" s="1" t="n"/>
      <c r="F958" s="1" t="n"/>
      <c r="G958" s="1" t="n"/>
      <c r="H958" s="1" t="n"/>
      <c r="I958" s="1" t="n"/>
      <c r="J958" s="1" t="n"/>
      <c r="K958" s="1" t="n"/>
      <c r="L958" s="1" t="n"/>
      <c r="M958" s="1" t="n"/>
      <c r="N958" s="1" t="n"/>
      <c r="O958" s="1" t="n"/>
    </row>
    <row r="959" ht="15.75" customHeight="1" s="311">
      <c r="A959" s="1" t="n"/>
      <c r="B959" s="1" t="n"/>
      <c r="C959" s="1" t="n"/>
      <c r="D959" s="1" t="n"/>
      <c r="E959" s="1" t="n"/>
      <c r="F959" s="1" t="n"/>
      <c r="G959" s="1" t="n"/>
      <c r="H959" s="1" t="n"/>
      <c r="I959" s="1" t="n"/>
      <c r="J959" s="1" t="n"/>
      <c r="K959" s="1" t="n"/>
      <c r="L959" s="1" t="n"/>
      <c r="M959" s="1" t="n"/>
      <c r="N959" s="1" t="n"/>
      <c r="O959" s="1" t="n"/>
    </row>
    <row r="960" ht="15.75" customHeight="1" s="311">
      <c r="A960" s="1" t="n"/>
      <c r="B960" s="1" t="n"/>
      <c r="C960" s="1" t="n"/>
      <c r="D960" s="1" t="n"/>
      <c r="E960" s="1" t="n"/>
      <c r="F960" s="1" t="n"/>
      <c r="G960" s="1" t="n"/>
      <c r="H960" s="1" t="n"/>
      <c r="I960" s="1" t="n"/>
      <c r="J960" s="1" t="n"/>
      <c r="K960" s="1" t="n"/>
      <c r="L960" s="1" t="n"/>
      <c r="M960" s="1" t="n"/>
      <c r="N960" s="1" t="n"/>
      <c r="O960" s="1" t="n"/>
    </row>
    <row r="961" ht="15.75" customHeight="1" s="311">
      <c r="A961" s="1" t="n"/>
      <c r="B961" s="1" t="n"/>
      <c r="C961" s="1" t="n"/>
      <c r="D961" s="1" t="n"/>
      <c r="E961" s="1" t="n"/>
      <c r="F961" s="1" t="n"/>
      <c r="G961" s="1" t="n"/>
      <c r="H961" s="1" t="n"/>
      <c r="I961" s="1" t="n"/>
      <c r="J961" s="1" t="n"/>
      <c r="K961" s="1" t="n"/>
      <c r="L961" s="1" t="n"/>
      <c r="M961" s="1" t="n"/>
      <c r="N961" s="1" t="n"/>
      <c r="O961" s="1" t="n"/>
    </row>
    <row r="962" ht="15.75" customHeight="1" s="311">
      <c r="A962" s="1" t="n"/>
      <c r="B962" s="1" t="n"/>
      <c r="C962" s="1" t="n"/>
      <c r="D962" s="1" t="n"/>
      <c r="E962" s="1" t="n"/>
      <c r="F962" s="1" t="n"/>
      <c r="G962" s="1" t="n"/>
      <c r="H962" s="1" t="n"/>
      <c r="I962" s="1" t="n"/>
      <c r="J962" s="1" t="n"/>
      <c r="K962" s="1" t="n"/>
      <c r="L962" s="1" t="n"/>
      <c r="M962" s="1" t="n"/>
      <c r="N962" s="1" t="n"/>
      <c r="O962" s="1" t="n"/>
    </row>
    <row r="963" ht="15.75" customHeight="1" s="311">
      <c r="A963" s="1" t="n"/>
      <c r="B963" s="1" t="n"/>
      <c r="C963" s="1" t="n"/>
      <c r="D963" s="1" t="n"/>
      <c r="E963" s="1" t="n"/>
      <c r="F963" s="1" t="n"/>
      <c r="G963" s="1" t="n"/>
      <c r="H963" s="1" t="n"/>
      <c r="I963" s="1" t="n"/>
      <c r="J963" s="1" t="n"/>
      <c r="K963" s="1" t="n"/>
      <c r="L963" s="1" t="n"/>
      <c r="M963" s="1" t="n"/>
      <c r="N963" s="1" t="n"/>
      <c r="O963" s="1" t="n"/>
    </row>
    <row r="964" ht="15.75" customHeight="1" s="311">
      <c r="A964" s="1" t="n"/>
      <c r="B964" s="1" t="n"/>
      <c r="C964" s="1" t="n"/>
      <c r="D964" s="1" t="n"/>
      <c r="E964" s="1" t="n"/>
      <c r="F964" s="1" t="n"/>
      <c r="G964" s="1" t="n"/>
      <c r="H964" s="1" t="n"/>
      <c r="I964" s="1" t="n"/>
      <c r="J964" s="1" t="n"/>
      <c r="K964" s="1" t="n"/>
      <c r="L964" s="1" t="n"/>
      <c r="M964" s="1" t="n"/>
      <c r="N964" s="1" t="n"/>
      <c r="O964" s="1" t="n"/>
    </row>
    <row r="965" ht="15.75" customHeight="1" s="311">
      <c r="A965" s="1" t="n"/>
      <c r="B965" s="1" t="n"/>
      <c r="C965" s="1" t="n"/>
      <c r="D965" s="1" t="n"/>
      <c r="E965" s="1" t="n"/>
      <c r="F965" s="1" t="n"/>
      <c r="G965" s="1" t="n"/>
      <c r="H965" s="1" t="n"/>
      <c r="I965" s="1" t="n"/>
      <c r="J965" s="1" t="n"/>
      <c r="K965" s="1" t="n"/>
      <c r="L965" s="1" t="n"/>
      <c r="M965" s="1" t="n"/>
      <c r="N965" s="1" t="n"/>
      <c r="O965" s="1" t="n"/>
    </row>
    <row r="966" ht="15.75" customHeight="1" s="311">
      <c r="A966" s="1" t="n"/>
      <c r="B966" s="1" t="n"/>
      <c r="C966" s="1" t="n"/>
      <c r="D966" s="1" t="n"/>
      <c r="E966" s="1" t="n"/>
      <c r="F966" s="1" t="n"/>
      <c r="G966" s="1" t="n"/>
      <c r="H966" s="1" t="n"/>
      <c r="I966" s="1" t="n"/>
      <c r="J966" s="1" t="n"/>
      <c r="K966" s="1" t="n"/>
      <c r="L966" s="1" t="n"/>
      <c r="M966" s="1" t="n"/>
      <c r="N966" s="1" t="n"/>
      <c r="O966" s="1" t="n"/>
    </row>
    <row r="967" ht="15.75" customHeight="1" s="311">
      <c r="A967" s="1" t="n"/>
      <c r="B967" s="1" t="n"/>
      <c r="C967" s="1" t="n"/>
      <c r="D967" s="1" t="n"/>
      <c r="E967" s="1" t="n"/>
      <c r="F967" s="1" t="n"/>
      <c r="G967" s="1" t="n"/>
      <c r="H967" s="1" t="n"/>
      <c r="I967" s="1" t="n"/>
      <c r="J967" s="1" t="n"/>
      <c r="K967" s="1" t="n"/>
      <c r="L967" s="1" t="n"/>
      <c r="M967" s="1" t="n"/>
      <c r="N967" s="1" t="n"/>
      <c r="O967" s="1" t="n"/>
    </row>
    <row r="968" ht="15.75" customHeight="1" s="311">
      <c r="A968" s="1" t="n"/>
      <c r="B968" s="1" t="n"/>
      <c r="C968" s="1" t="n"/>
      <c r="D968" s="1" t="n"/>
      <c r="E968" s="1" t="n"/>
      <c r="F968" s="1" t="n"/>
      <c r="G968" s="1" t="n"/>
      <c r="H968" s="1" t="n"/>
      <c r="I968" s="1" t="n"/>
      <c r="J968" s="1" t="n"/>
      <c r="K968" s="1" t="n"/>
      <c r="L968" s="1" t="n"/>
      <c r="M968" s="1" t="n"/>
      <c r="N968" s="1" t="n"/>
      <c r="O968" s="1" t="n"/>
    </row>
    <row r="969" ht="15.75" customHeight="1" s="311">
      <c r="A969" s="1" t="n"/>
      <c r="B969" s="1" t="n"/>
      <c r="C969" s="1" t="n"/>
      <c r="D969" s="1" t="n"/>
      <c r="E969" s="1" t="n"/>
      <c r="F969" s="1" t="n"/>
      <c r="G969" s="1" t="n"/>
      <c r="H969" s="1" t="n"/>
      <c r="I969" s="1" t="n"/>
      <c r="J969" s="1" t="n"/>
      <c r="K969" s="1" t="n"/>
      <c r="L969" s="1" t="n"/>
      <c r="M969" s="1" t="n"/>
      <c r="N969" s="1" t="n"/>
      <c r="O969" s="1" t="n"/>
    </row>
    <row r="970" ht="15.75" customHeight="1" s="311">
      <c r="A970" s="1" t="n"/>
      <c r="B970" s="1" t="n"/>
      <c r="C970" s="1" t="n"/>
      <c r="D970" s="1" t="n"/>
      <c r="E970" s="1" t="n"/>
      <c r="F970" s="1" t="n"/>
      <c r="G970" s="1" t="n"/>
      <c r="H970" s="1" t="n"/>
      <c r="I970" s="1" t="n"/>
      <c r="J970" s="1" t="n"/>
      <c r="K970" s="1" t="n"/>
      <c r="L970" s="1" t="n"/>
      <c r="M970" s="1" t="n"/>
      <c r="N970" s="1" t="n"/>
      <c r="O970" s="1" t="n"/>
    </row>
    <row r="971" ht="15.75" customHeight="1" s="311">
      <c r="A971" s="1" t="n"/>
      <c r="B971" s="1" t="n"/>
      <c r="C971" s="1" t="n"/>
      <c r="D971" s="1" t="n"/>
      <c r="E971" s="1" t="n"/>
      <c r="F971" s="1" t="n"/>
      <c r="G971" s="1" t="n"/>
      <c r="H971" s="1" t="n"/>
      <c r="I971" s="1" t="n"/>
      <c r="J971" s="1" t="n"/>
      <c r="K971" s="1" t="n"/>
      <c r="L971" s="1" t="n"/>
      <c r="M971" s="1" t="n"/>
      <c r="N971" s="1" t="n"/>
      <c r="O971" s="1" t="n"/>
    </row>
    <row r="972" ht="15.75" customHeight="1" s="311">
      <c r="A972" s="1" t="n"/>
      <c r="B972" s="1" t="n"/>
      <c r="C972" s="1" t="n"/>
      <c r="D972" s="1" t="n"/>
      <c r="E972" s="1" t="n"/>
      <c r="F972" s="1" t="n"/>
      <c r="G972" s="1" t="n"/>
      <c r="H972" s="1" t="n"/>
      <c r="I972" s="1" t="n"/>
      <c r="J972" s="1" t="n"/>
      <c r="K972" s="1" t="n"/>
      <c r="L972" s="1" t="n"/>
      <c r="M972" s="1" t="n"/>
      <c r="N972" s="1" t="n"/>
      <c r="O972" s="1" t="n"/>
    </row>
    <row r="973" ht="15.75" customHeight="1" s="311">
      <c r="A973" s="1" t="n"/>
      <c r="B973" s="1" t="n"/>
      <c r="C973" s="1" t="n"/>
      <c r="D973" s="1" t="n"/>
      <c r="E973" s="1" t="n"/>
      <c r="F973" s="1" t="n"/>
      <c r="G973" s="1" t="n"/>
      <c r="H973" s="1" t="n"/>
      <c r="I973" s="1" t="n"/>
      <c r="J973" s="1" t="n"/>
      <c r="K973" s="1" t="n"/>
      <c r="L973" s="1" t="n"/>
      <c r="M973" s="1" t="n"/>
      <c r="N973" s="1" t="n"/>
      <c r="O973" s="1" t="n"/>
    </row>
    <row r="974" ht="15.75" customHeight="1" s="311">
      <c r="A974" s="1" t="n"/>
      <c r="B974" s="1" t="n"/>
      <c r="C974" s="1" t="n"/>
      <c r="D974" s="1" t="n"/>
      <c r="E974" s="1" t="n"/>
      <c r="F974" s="1" t="n"/>
      <c r="G974" s="1" t="n"/>
      <c r="H974" s="1" t="n"/>
      <c r="I974" s="1" t="n"/>
      <c r="J974" s="1" t="n"/>
      <c r="K974" s="1" t="n"/>
      <c r="L974" s="1" t="n"/>
      <c r="M974" s="1" t="n"/>
      <c r="N974" s="1" t="n"/>
      <c r="O974" s="1" t="n"/>
    </row>
    <row r="975" ht="15.75" customHeight="1" s="311">
      <c r="A975" s="1" t="n"/>
      <c r="B975" s="1" t="n"/>
      <c r="C975" s="1" t="n"/>
      <c r="D975" s="1" t="n"/>
      <c r="E975" s="1" t="n"/>
      <c r="F975" s="1" t="n"/>
      <c r="G975" s="1" t="n"/>
      <c r="H975" s="1" t="n"/>
      <c r="I975" s="1" t="n"/>
      <c r="J975" s="1" t="n"/>
      <c r="K975" s="1" t="n"/>
      <c r="L975" s="1" t="n"/>
      <c r="M975" s="1" t="n"/>
      <c r="N975" s="1" t="n"/>
      <c r="O975" s="1" t="n"/>
    </row>
    <row r="976" ht="15.75" customHeight="1" s="311">
      <c r="A976" s="1" t="n"/>
      <c r="B976" s="1" t="n"/>
      <c r="C976" s="1" t="n"/>
      <c r="D976" s="1" t="n"/>
      <c r="E976" s="1" t="n"/>
      <c r="F976" s="1" t="n"/>
      <c r="G976" s="1" t="n"/>
      <c r="H976" s="1" t="n"/>
      <c r="I976" s="1" t="n"/>
      <c r="J976" s="1" t="n"/>
      <c r="K976" s="1" t="n"/>
      <c r="L976" s="1" t="n"/>
      <c r="M976" s="1" t="n"/>
      <c r="N976" s="1" t="n"/>
      <c r="O976" s="1" t="n"/>
    </row>
    <row r="977" ht="15.75" customHeight="1" s="311">
      <c r="A977" s="1" t="n"/>
      <c r="B977" s="1" t="n"/>
      <c r="C977" s="1" t="n"/>
      <c r="D977" s="1" t="n"/>
      <c r="E977" s="1" t="n"/>
      <c r="F977" s="1" t="n"/>
      <c r="G977" s="1" t="n"/>
      <c r="H977" s="1" t="n"/>
      <c r="I977" s="1" t="n"/>
      <c r="J977" s="1" t="n"/>
      <c r="K977" s="1" t="n"/>
      <c r="L977" s="1" t="n"/>
      <c r="M977" s="1" t="n"/>
      <c r="N977" s="1" t="n"/>
      <c r="O977" s="1" t="n"/>
    </row>
    <row r="978" ht="15.75" customHeight="1" s="311">
      <c r="A978" s="1" t="n"/>
      <c r="B978" s="1" t="n"/>
      <c r="C978" s="1" t="n"/>
      <c r="D978" s="1" t="n"/>
      <c r="E978" s="1" t="n"/>
      <c r="F978" s="1" t="n"/>
      <c r="G978" s="1" t="n"/>
      <c r="H978" s="1" t="n"/>
      <c r="I978" s="1" t="n"/>
      <c r="J978" s="1" t="n"/>
      <c r="K978" s="1" t="n"/>
      <c r="L978" s="1" t="n"/>
      <c r="M978" s="1" t="n"/>
      <c r="N978" s="1" t="n"/>
      <c r="O978" s="1" t="n"/>
    </row>
    <row r="979" ht="15.75" customHeight="1" s="311">
      <c r="A979" s="1" t="n"/>
      <c r="B979" s="1" t="n"/>
      <c r="C979" s="1" t="n"/>
      <c r="D979" s="1" t="n"/>
      <c r="E979" s="1" t="n"/>
      <c r="F979" s="1" t="n"/>
      <c r="G979" s="1" t="n"/>
      <c r="H979" s="1" t="n"/>
      <c r="I979" s="1" t="n"/>
      <c r="J979" s="1" t="n"/>
      <c r="K979" s="1" t="n"/>
      <c r="L979" s="1" t="n"/>
      <c r="M979" s="1" t="n"/>
      <c r="N979" s="1" t="n"/>
      <c r="O979" s="1" t="n"/>
    </row>
    <row r="980" ht="15.75" customHeight="1" s="311">
      <c r="A980" s="1" t="n"/>
      <c r="B980" s="1" t="n"/>
      <c r="C980" s="1" t="n"/>
      <c r="D980" s="1" t="n"/>
      <c r="E980" s="1" t="n"/>
      <c r="F980" s="1" t="n"/>
      <c r="G980" s="1" t="n"/>
      <c r="H980" s="1" t="n"/>
      <c r="I980" s="1" t="n"/>
      <c r="J980" s="1" t="n"/>
      <c r="K980" s="1" t="n"/>
      <c r="L980" s="1" t="n"/>
      <c r="M980" s="1" t="n"/>
      <c r="N980" s="1" t="n"/>
      <c r="O980" s="1" t="n"/>
    </row>
    <row r="981" ht="15.75" customHeight="1" s="311">
      <c r="A981" s="1" t="n"/>
      <c r="B981" s="1" t="n"/>
      <c r="C981" s="1" t="n"/>
      <c r="D981" s="1" t="n"/>
      <c r="E981" s="1" t="n"/>
      <c r="F981" s="1" t="n"/>
      <c r="G981" s="1" t="n"/>
      <c r="H981" s="1" t="n"/>
      <c r="I981" s="1" t="n"/>
      <c r="J981" s="1" t="n"/>
      <c r="K981" s="1" t="n"/>
      <c r="L981" s="1" t="n"/>
      <c r="M981" s="1" t="n"/>
      <c r="N981" s="1" t="n"/>
      <c r="O981" s="1" t="n"/>
    </row>
    <row r="982" ht="15.75" customHeight="1" s="311">
      <c r="A982" s="1" t="n"/>
      <c r="B982" s="1" t="n"/>
      <c r="C982" s="1" t="n"/>
      <c r="D982" s="1" t="n"/>
      <c r="E982" s="1" t="n"/>
      <c r="F982" s="1" t="n"/>
      <c r="G982" s="1" t="n"/>
      <c r="H982" s="1" t="n"/>
      <c r="I982" s="1" t="n"/>
      <c r="J982" s="1" t="n"/>
      <c r="K982" s="1" t="n"/>
      <c r="L982" s="1" t="n"/>
      <c r="M982" s="1" t="n"/>
      <c r="N982" s="1" t="n"/>
      <c r="O982" s="1" t="n"/>
    </row>
    <row r="983" ht="15.75" customHeight="1" s="311">
      <c r="A983" s="1" t="n"/>
      <c r="B983" s="1" t="n"/>
      <c r="C983" s="1" t="n"/>
      <c r="D983" s="1" t="n"/>
      <c r="E983" s="1" t="n"/>
      <c r="F983" s="1" t="n"/>
      <c r="G983" s="1" t="n"/>
      <c r="H983" s="1" t="n"/>
      <c r="I983" s="1" t="n"/>
      <c r="J983" s="1" t="n"/>
      <c r="K983" s="1" t="n"/>
      <c r="L983" s="1" t="n"/>
      <c r="M983" s="1" t="n"/>
      <c r="N983" s="1" t="n"/>
      <c r="O983" s="1" t="n"/>
    </row>
    <row r="984" ht="15.75" customHeight="1" s="311">
      <c r="A984" s="1" t="n"/>
      <c r="B984" s="1" t="n"/>
      <c r="C984" s="1" t="n"/>
      <c r="D984" s="1" t="n"/>
      <c r="E984" s="1" t="n"/>
      <c r="F984" s="1" t="n"/>
      <c r="G984" s="1" t="n"/>
      <c r="H984" s="1" t="n"/>
      <c r="I984" s="1" t="n"/>
      <c r="J984" s="1" t="n"/>
      <c r="K984" s="1" t="n"/>
      <c r="L984" s="1" t="n"/>
      <c r="M984" s="1" t="n"/>
      <c r="N984" s="1" t="n"/>
      <c r="O984" s="1" t="n"/>
    </row>
    <row r="985" ht="15.75" customHeight="1" s="311">
      <c r="A985" s="1" t="n"/>
      <c r="B985" s="1" t="n"/>
      <c r="C985" s="1" t="n"/>
      <c r="D985" s="1" t="n"/>
      <c r="E985" s="1" t="n"/>
      <c r="F985" s="1" t="n"/>
      <c r="G985" s="1" t="n"/>
      <c r="H985" s="1" t="n"/>
      <c r="I985" s="1" t="n"/>
      <c r="J985" s="1" t="n"/>
      <c r="K985" s="1" t="n"/>
      <c r="L985" s="1" t="n"/>
      <c r="M985" s="1" t="n"/>
      <c r="N985" s="1" t="n"/>
      <c r="O985" s="1" t="n"/>
    </row>
    <row r="986" ht="15.75" customHeight="1" s="311">
      <c r="A986" s="1" t="n"/>
      <c r="B986" s="1" t="n"/>
      <c r="C986" s="1" t="n"/>
      <c r="D986" s="1" t="n"/>
      <c r="E986" s="1" t="n"/>
      <c r="F986" s="1" t="n"/>
      <c r="G986" s="1" t="n"/>
      <c r="H986" s="1" t="n"/>
      <c r="I986" s="1" t="n"/>
      <c r="J986" s="1" t="n"/>
      <c r="K986" s="1" t="n"/>
      <c r="L986" s="1" t="n"/>
      <c r="M986" s="1" t="n"/>
      <c r="N986" s="1" t="n"/>
      <c r="O986" s="1" t="n"/>
    </row>
    <row r="987" ht="15.75" customHeight="1" s="311">
      <c r="A987" s="1" t="n"/>
      <c r="B987" s="1" t="n"/>
      <c r="C987" s="1" t="n"/>
      <c r="D987" s="1" t="n"/>
      <c r="E987" s="1" t="n"/>
      <c r="F987" s="1" t="n"/>
      <c r="G987" s="1" t="n"/>
      <c r="H987" s="1" t="n"/>
      <c r="I987" s="1" t="n"/>
      <c r="J987" s="1" t="n"/>
      <c r="K987" s="1" t="n"/>
      <c r="L987" s="1" t="n"/>
      <c r="M987" s="1" t="n"/>
      <c r="N987" s="1" t="n"/>
      <c r="O987" s="1" t="n"/>
    </row>
    <row r="988" ht="15.75" customHeight="1" s="311">
      <c r="A988" s="1" t="n"/>
      <c r="B988" s="1" t="n"/>
      <c r="C988" s="1" t="n"/>
      <c r="D988" s="1" t="n"/>
      <c r="E988" s="1" t="n"/>
      <c r="F988" s="1" t="n"/>
      <c r="G988" s="1" t="n"/>
      <c r="H988" s="1" t="n"/>
      <c r="I988" s="1" t="n"/>
      <c r="J988" s="1" t="n"/>
      <c r="K988" s="1" t="n"/>
      <c r="L988" s="1" t="n"/>
      <c r="M988" s="1" t="n"/>
      <c r="N988" s="1" t="n"/>
      <c r="O988" s="1" t="n"/>
    </row>
    <row r="989" ht="15.75" customHeight="1" s="311">
      <c r="A989" s="1" t="n"/>
      <c r="B989" s="1" t="n"/>
      <c r="C989" s="1" t="n"/>
      <c r="D989" s="1" t="n"/>
      <c r="E989" s="1" t="n"/>
      <c r="F989" s="1" t="n"/>
      <c r="G989" s="1" t="n"/>
      <c r="H989" s="1" t="n"/>
      <c r="I989" s="1" t="n"/>
      <c r="J989" s="1" t="n"/>
      <c r="K989" s="1" t="n"/>
      <c r="L989" s="1" t="n"/>
      <c r="M989" s="1" t="n"/>
      <c r="N989" s="1" t="n"/>
      <c r="O989" s="1" t="n"/>
    </row>
    <row r="990" ht="15.75" customHeight="1" s="311">
      <c r="A990" s="1" t="n"/>
      <c r="B990" s="1" t="n"/>
      <c r="C990" s="1" t="n"/>
      <c r="D990" s="1" t="n"/>
      <c r="E990" s="1" t="n"/>
      <c r="F990" s="1" t="n"/>
      <c r="G990" s="1" t="n"/>
      <c r="H990" s="1" t="n"/>
      <c r="I990" s="1" t="n"/>
      <c r="J990" s="1" t="n"/>
      <c r="K990" s="1" t="n"/>
      <c r="L990" s="1" t="n"/>
      <c r="M990" s="1" t="n"/>
      <c r="N990" s="1" t="n"/>
      <c r="O990" s="1" t="n"/>
    </row>
    <row r="991" ht="15.75" customHeight="1" s="311">
      <c r="A991" s="1" t="n"/>
      <c r="B991" s="1" t="n"/>
      <c r="C991" s="1" t="n"/>
      <c r="D991" s="1" t="n"/>
      <c r="E991" s="1" t="n"/>
      <c r="F991" s="1" t="n"/>
      <c r="G991" s="1" t="n"/>
      <c r="H991" s="1" t="n"/>
      <c r="I991" s="1" t="n"/>
      <c r="J991" s="1" t="n"/>
      <c r="K991" s="1" t="n"/>
      <c r="L991" s="1" t="n"/>
      <c r="M991" s="1" t="n"/>
      <c r="N991" s="1" t="n"/>
      <c r="O991" s="1" t="n"/>
    </row>
    <row r="992" ht="15.75" customHeight="1" s="311">
      <c r="A992" s="1" t="n"/>
      <c r="B992" s="1" t="n"/>
      <c r="C992" s="1" t="n"/>
      <c r="D992" s="1" t="n"/>
      <c r="E992" s="1" t="n"/>
      <c r="F992" s="1" t="n"/>
      <c r="G992" s="1" t="n"/>
      <c r="H992" s="1" t="n"/>
      <c r="I992" s="1" t="n"/>
      <c r="J992" s="1" t="n"/>
      <c r="K992" s="1" t="n"/>
      <c r="L992" s="1" t="n"/>
      <c r="M992" s="1" t="n"/>
      <c r="N992" s="1" t="n"/>
      <c r="O992" s="1" t="n"/>
    </row>
    <row r="993" ht="15.75" customHeight="1" s="311">
      <c r="A993" s="1" t="n"/>
      <c r="B993" s="1" t="n"/>
      <c r="C993" s="1" t="n"/>
      <c r="D993" s="1" t="n"/>
      <c r="E993" s="1" t="n"/>
      <c r="F993" s="1" t="n"/>
      <c r="G993" s="1" t="n"/>
      <c r="H993" s="1" t="n"/>
      <c r="I993" s="1" t="n"/>
      <c r="J993" s="1" t="n"/>
      <c r="K993" s="1" t="n"/>
      <c r="L993" s="1" t="n"/>
      <c r="M993" s="1" t="n"/>
      <c r="N993" s="1" t="n"/>
      <c r="O993" s="1" t="n"/>
    </row>
    <row r="994" ht="15.75" customHeight="1" s="311">
      <c r="A994" s="1" t="n"/>
      <c r="B994" s="1" t="n"/>
      <c r="C994" s="1" t="n"/>
      <c r="D994" s="1" t="n"/>
      <c r="E994" s="1" t="n"/>
      <c r="F994" s="1" t="n"/>
      <c r="G994" s="1" t="n"/>
      <c r="H994" s="1" t="n"/>
      <c r="I994" s="1" t="n"/>
      <c r="J994" s="1" t="n"/>
      <c r="K994" s="1" t="n"/>
      <c r="L994" s="1" t="n"/>
      <c r="M994" s="1" t="n"/>
      <c r="N994" s="1" t="n"/>
      <c r="O994" s="1" t="n"/>
    </row>
    <row r="995" ht="15.75" customHeight="1" s="311">
      <c r="A995" s="1" t="n"/>
      <c r="B995" s="1" t="n"/>
      <c r="C995" s="1" t="n"/>
      <c r="D995" s="1" t="n"/>
      <c r="E995" s="1" t="n"/>
      <c r="F995" s="1" t="n"/>
      <c r="G995" s="1" t="n"/>
      <c r="H995" s="1" t="n"/>
      <c r="I995" s="1" t="n"/>
      <c r="J995" s="1" t="n"/>
      <c r="K995" s="1" t="n"/>
      <c r="L995" s="1" t="n"/>
      <c r="M995" s="1" t="n"/>
      <c r="N995" s="1" t="n"/>
      <c r="O995" s="1" t="n"/>
    </row>
    <row r="996" ht="15.75" customHeight="1" s="311">
      <c r="A996" s="1" t="n"/>
      <c r="B996" s="1" t="n"/>
      <c r="C996" s="1" t="n"/>
      <c r="D996" s="1" t="n"/>
      <c r="E996" s="1" t="n"/>
      <c r="F996" s="1" t="n"/>
      <c r="G996" s="1" t="n"/>
      <c r="H996" s="1" t="n"/>
      <c r="I996" s="1" t="n"/>
      <c r="J996" s="1" t="n"/>
      <c r="K996" s="1" t="n"/>
      <c r="L996" s="1" t="n"/>
      <c r="M996" s="1" t="n"/>
      <c r="N996" s="1" t="n"/>
      <c r="O996" s="1" t="n"/>
    </row>
    <row r="997" ht="15.75" customHeight="1" s="311">
      <c r="A997" s="1" t="n"/>
      <c r="B997" s="1" t="n"/>
      <c r="C997" s="1" t="n"/>
      <c r="D997" s="1" t="n"/>
      <c r="E997" s="1" t="n"/>
      <c r="F997" s="1" t="n"/>
      <c r="G997" s="1" t="n"/>
      <c r="H997" s="1" t="n"/>
      <c r="I997" s="1" t="n"/>
      <c r="J997" s="1" t="n"/>
      <c r="K997" s="1" t="n"/>
      <c r="L997" s="1" t="n"/>
      <c r="M997" s="1" t="n"/>
      <c r="N997" s="1" t="n"/>
      <c r="O997" s="1" t="n"/>
    </row>
    <row r="998" ht="15.75" customHeight="1" s="311">
      <c r="A998" s="1" t="n"/>
      <c r="B998" s="1" t="n"/>
      <c r="C998" s="1" t="n"/>
      <c r="D998" s="1" t="n"/>
      <c r="E998" s="1" t="n"/>
      <c r="F998" s="1" t="n"/>
      <c r="G998" s="1" t="n"/>
      <c r="H998" s="1" t="n"/>
      <c r="I998" s="1" t="n"/>
      <c r="J998" s="1" t="n"/>
      <c r="K998" s="1" t="n"/>
      <c r="L998" s="1" t="n"/>
      <c r="M998" s="1" t="n"/>
      <c r="N998" s="1" t="n"/>
      <c r="O998" s="1" t="n"/>
    </row>
    <row r="999" ht="15.75" customHeight="1" s="311">
      <c r="A999" s="1" t="n"/>
      <c r="B999" s="1" t="n"/>
      <c r="C999" s="1" t="n"/>
      <c r="D999" s="1" t="n"/>
      <c r="E999" s="1" t="n"/>
      <c r="F999" s="1" t="n"/>
      <c r="G999" s="1" t="n"/>
      <c r="H999" s="1" t="n"/>
      <c r="I999" s="1" t="n"/>
      <c r="J999" s="1" t="n"/>
      <c r="K999" s="1" t="n"/>
      <c r="L999" s="1" t="n"/>
      <c r="M999" s="1" t="n"/>
      <c r="N999" s="1" t="n"/>
      <c r="O999" s="1" t="n"/>
    </row>
    <row r="1000" ht="15.75" customHeight="1" s="311">
      <c r="A1000" s="1" t="n"/>
      <c r="B1000" s="1" t="n"/>
      <c r="C1000" s="1" t="n"/>
      <c r="D1000" s="1" t="n"/>
      <c r="E1000" s="1" t="n"/>
      <c r="F1000" s="1" t="n"/>
      <c r="G1000" s="1" t="n"/>
      <c r="H1000" s="1" t="n"/>
      <c r="I1000" s="1" t="n"/>
      <c r="J1000" s="1" t="n"/>
      <c r="K1000" s="1" t="n"/>
      <c r="L1000" s="1" t="n"/>
      <c r="M1000" s="1" t="n"/>
      <c r="N1000" s="1" t="n"/>
      <c r="O1000" s="1" t="n"/>
    </row>
  </sheetData>
  <mergeCells count="6">
    <mergeCell ref="B56:E56"/>
    <mergeCell ref="C45:F45"/>
    <mergeCell ref="B2:I2"/>
    <mergeCell ref="C46:F46"/>
    <mergeCell ref="D4:H4"/>
    <mergeCell ref="B48:D48"/>
  </mergeCells>
  <conditionalFormatting sqref="F43">
    <cfRule type="cellIs" priority="1" operator="lessThan" dxfId="3">
      <formula>0</formula>
    </cfRule>
  </conditionalFormatting>
  <conditionalFormatting sqref="F55">
    <cfRule type="cellIs" priority="2" operator="lessThan" dxfId="3">
      <formula>0</formula>
    </cfRule>
  </conditionalFormatting>
  <conditionalFormatting sqref="G59:G70">
    <cfRule type="cellIs" priority="3" operator="lessThan" dxfId="3">
      <formula>0</formula>
    </cfRule>
  </conditionalFormatting>
  <conditionalFormatting sqref="E60:E71">
    <cfRule type="cellIs" priority="4" operator="lessThan" dxfId="3">
      <formula>0</formula>
    </cfRule>
  </conditionalFormatting>
  <conditionalFormatting sqref="G60:G71">
    <cfRule type="cellIs" priority="5" operator="greaterThan" dxfId="4">
      <formula>0.15</formula>
    </cfRule>
  </conditionalFormatting>
  <dataValidations count="1">
    <dataValidation sqref="C58" showDropDown="0" showInputMessage="0" showErrorMessage="0" allowBlank="1" type="list">
      <formula1>"Automática,Solo estimación,Solo libro de Caja"</formula1>
    </dataValidation>
  </dataValidations>
  <pageMargins left="0.75" right="0.75" top="1" bottom="1"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tabColor rgb="FF7A3E9A"/>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11" min="1" max="1"/>
    <col width="48" customWidth="1" style="311" min="2" max="2"/>
    <col width="15" customWidth="1" style="311" min="3" max="5"/>
    <col width="17" customWidth="1" style="311" min="6" max="6"/>
    <col width="60" customWidth="1" style="311" min="7" max="7"/>
    <col width="17" customWidth="1" style="311" min="8" max="8"/>
    <col width="15" customWidth="1" style="311" min="9" max="9"/>
    <col width="9" customWidth="1" style="311" min="10" max="10"/>
    <col width="26" customWidth="1" style="311" min="11" max="11"/>
    <col width="15" customWidth="1" style="311" min="12" max="12"/>
  </cols>
  <sheetData>
    <row r="1" ht="21.75" customHeight="1" s="311">
      <c r="A1" s="145" t="n"/>
      <c r="B1" s="19" t="inlineStr">
        <is>
          <t>ESTADO DE FLUJO DE CAJA</t>
        </is>
      </c>
      <c r="C1" s="145" t="n"/>
      <c r="D1" s="145" t="n"/>
      <c r="E1" s="145" t="n"/>
      <c r="F1" s="145" t="n"/>
      <c r="G1" s="145" t="n"/>
      <c r="H1" s="145" t="n"/>
      <c r="I1" s="145" t="n"/>
      <c r="J1" s="145" t="n"/>
      <c r="K1" s="145" t="n"/>
      <c r="L1" s="145" t="n"/>
      <c r="M1" s="1" t="n"/>
      <c r="N1" s="1" t="n"/>
      <c r="O1" s="1" t="n"/>
      <c r="P1" s="1" t="n"/>
      <c r="Q1" s="1" t="n"/>
      <c r="R1" s="1" t="n"/>
      <c r="S1" s="1" t="n"/>
      <c r="T1" s="1" t="n"/>
      <c r="U1" s="1" t="n"/>
      <c r="V1" s="1" t="n"/>
      <c r="W1" s="1" t="n"/>
      <c r="X1" s="1" t="n"/>
      <c r="Y1" s="1" t="n"/>
      <c r="Z1" s="1" t="n"/>
    </row>
    <row r="2" ht="42.75" customHeight="1" s="311">
      <c r="A2" s="145" t="n"/>
      <c r="B2" s="20" t="inlineStr">
        <is>
          <t>Método directo. El resultado del mes y el dinero que entra en la cuenta no son lo mismo: aquí se ve por qué. Tres actividades —operación, inversión y financiación— y una proyección a 12 meses alimentada por el calendario real de facturas.</t>
        </is>
      </c>
      <c r="F2" s="145" t="n"/>
      <c r="G2" s="145" t="n"/>
      <c r="H2" s="145" t="n"/>
      <c r="I2" s="145" t="n"/>
      <c r="J2" s="145" t="n"/>
      <c r="K2" s="145" t="n"/>
      <c r="L2" s="145" t="n"/>
      <c r="M2" s="1" t="n"/>
      <c r="N2" s="1" t="n"/>
      <c r="O2" s="1" t="n"/>
      <c r="P2" s="1" t="n"/>
      <c r="Q2" s="1" t="n"/>
      <c r="R2" s="1" t="n"/>
      <c r="S2" s="1" t="n"/>
      <c r="T2" s="1" t="n"/>
      <c r="U2" s="1" t="n"/>
      <c r="V2" s="1" t="n"/>
      <c r="W2" s="1" t="n"/>
      <c r="X2" s="1" t="n"/>
      <c r="Y2" s="1" t="n"/>
      <c r="Z2" s="1" t="n"/>
    </row>
    <row r="3">
      <c r="A3" s="145" t="n"/>
      <c r="B3" s="145" t="n"/>
      <c r="C3" s="145" t="n"/>
      <c r="D3" s="145" t="n"/>
      <c r="E3" s="145" t="n"/>
      <c r="F3" s="145" t="n"/>
      <c r="G3" s="145" t="n"/>
      <c r="H3" s="145" t="n"/>
      <c r="I3" s="145" t="n"/>
      <c r="J3" s="145" t="n"/>
      <c r="K3" s="145" t="n"/>
      <c r="L3" s="145" t="n"/>
      <c r="M3" s="1" t="n"/>
      <c r="N3" s="1" t="n"/>
      <c r="O3" s="1" t="n"/>
      <c r="P3" s="1" t="n"/>
      <c r="Q3" s="1" t="n"/>
      <c r="R3" s="1" t="n"/>
      <c r="S3" s="1" t="n"/>
      <c r="T3" s="1" t="n"/>
      <c r="U3" s="1" t="n"/>
      <c r="V3" s="1" t="n"/>
      <c r="W3" s="1" t="n"/>
      <c r="X3" s="1" t="n"/>
      <c r="Y3" s="1" t="n"/>
      <c r="Z3" s="1" t="n"/>
    </row>
    <row r="4">
      <c r="A4" s="145" t="n"/>
      <c r="B4" s="145" t="n"/>
      <c r="C4" s="145" t="n"/>
      <c r="D4" s="145" t="n"/>
      <c r="E4" s="145" t="n"/>
      <c r="F4" s="145" t="n"/>
      <c r="G4" s="145" t="n"/>
      <c r="H4" s="145" t="n"/>
      <c r="I4" s="145" t="n"/>
      <c r="J4" s="145" t="n"/>
      <c r="K4" s="145" t="n"/>
      <c r="L4" s="145" t="n"/>
      <c r="M4" s="1" t="n"/>
      <c r="N4" s="1" t="n"/>
      <c r="O4" s="1" t="n"/>
      <c r="P4" s="1" t="n"/>
      <c r="Q4" s="1" t="n"/>
      <c r="R4" s="1" t="n"/>
      <c r="S4" s="1" t="n"/>
      <c r="T4" s="1" t="n"/>
      <c r="U4" s="1" t="n"/>
      <c r="V4" s="1" t="n"/>
      <c r="W4" s="1" t="n"/>
      <c r="X4" s="1" t="n"/>
      <c r="Y4" s="1" t="n"/>
      <c r="Z4" s="1" t="n"/>
    </row>
    <row r="5" ht="30" customHeight="1" s="311">
      <c r="A5" s="145" t="n"/>
      <c r="B5" s="33" t="inlineStr">
        <is>
          <t>Concepto</t>
        </is>
      </c>
      <c r="C5" s="33" t="inlineStr">
        <is>
          <t>Tú (€/mes)</t>
        </is>
      </c>
      <c r="D5" s="33" t="inlineStr">
        <is>
          <t>Hogar (€/mes)</t>
        </is>
      </c>
      <c r="E5" s="33" t="inlineStr">
        <is>
          <t>Eliminaciones</t>
        </is>
      </c>
      <c r="F5" s="33" t="inlineStr">
        <is>
          <t>CONSOLIDADO (€)</t>
        </is>
      </c>
      <c r="G5" s="33" t="inlineStr">
        <is>
          <t>Notas</t>
        </is>
      </c>
      <c r="H5" s="145" t="n"/>
      <c r="I5" s="145" t="n"/>
      <c r="J5" s="145" t="n"/>
      <c r="K5" s="145" t="n"/>
      <c r="L5" s="145" t="n"/>
      <c r="M5" s="1" t="n"/>
      <c r="N5" s="1" t="n"/>
      <c r="O5" s="1" t="n"/>
      <c r="P5" s="1" t="n"/>
      <c r="Q5" s="1" t="n"/>
      <c r="R5" s="1" t="n"/>
      <c r="S5" s="1" t="n"/>
      <c r="T5" s="1" t="n"/>
      <c r="U5" s="1" t="n"/>
      <c r="V5" s="1" t="n"/>
      <c r="W5" s="1" t="n"/>
      <c r="X5" s="1" t="n"/>
      <c r="Y5" s="1" t="n"/>
      <c r="Z5" s="1" t="n"/>
    </row>
    <row r="6" ht="19.5" customHeight="1" s="311">
      <c r="A6" s="145" t="n"/>
      <c r="B6" s="21" t="inlineStr">
        <is>
          <t>1.  ACTIVIDADES DE OPERACIÓN</t>
        </is>
      </c>
      <c r="C6" s="22" t="n"/>
      <c r="D6" s="22" t="n"/>
      <c r="E6" s="22" t="n"/>
      <c r="F6" s="22" t="n"/>
      <c r="G6" s="22" t="n"/>
      <c r="H6" s="145" t="n"/>
      <c r="I6" s="145" t="n"/>
      <c r="J6" s="145" t="n"/>
      <c r="K6" s="33" t="inlineStr">
        <is>
          <t>Actividad</t>
        </is>
      </c>
      <c r="L6" s="33" t="inlineStr">
        <is>
          <t>€/mes</t>
        </is>
      </c>
      <c r="M6" s="1" t="n"/>
      <c r="N6" s="1" t="n"/>
      <c r="O6" s="1" t="n"/>
      <c r="P6" s="1" t="n"/>
      <c r="Q6" s="1" t="n"/>
      <c r="R6" s="1" t="n"/>
      <c r="S6" s="1" t="n"/>
      <c r="T6" s="1" t="n"/>
      <c r="U6" s="1" t="n"/>
      <c r="V6" s="1" t="n"/>
      <c r="W6" s="1" t="n"/>
      <c r="X6" s="1" t="n"/>
      <c r="Y6" s="1" t="n"/>
      <c r="Z6" s="1" t="n"/>
    </row>
    <row r="7" ht="15" customHeight="1" s="311">
      <c r="A7" s="145" t="n"/>
      <c r="B7" s="46" t="inlineStr">
        <is>
          <t>Cobros por trabajo y nóminas</t>
        </is>
      </c>
      <c r="C7" s="61">
        <f t="array" ref="C7">+INDEX(Escenarios!$D$6:$H$6,Panel!$D$5)</f>
        <v/>
      </c>
      <c r="D7" s="61">
        <f t="array" ref="D7">INDEX(Escenarios!$D$35:$H$35,Panel!$D$5)+INDEX(Escenarios!$D$36:$H$36,Panel!$D$5)+INDEX(Escenarios!$D$37:$H$37,Panel!$D$5)</f>
        <v/>
      </c>
      <c r="E7" s="61" t="n"/>
      <c r="F7" s="68">
        <f>N($C7)+N($D7)+N($E7)</f>
        <v/>
      </c>
      <c r="G7" s="145" t="n"/>
      <c r="H7" s="145" t="n"/>
      <c r="I7" s="145" t="n"/>
      <c r="J7" s="145" t="n"/>
      <c r="K7" s="40" t="inlineStr">
        <is>
          <t>Operación</t>
        </is>
      </c>
      <c r="L7" s="42">
        <f>$F$11</f>
        <v/>
      </c>
      <c r="M7" s="1" t="n"/>
      <c r="N7" s="1" t="n"/>
      <c r="O7" s="1" t="n"/>
      <c r="P7" s="1" t="n"/>
      <c r="Q7" s="1" t="n"/>
      <c r="R7" s="1" t="n"/>
      <c r="S7" s="1" t="n"/>
      <c r="T7" s="1" t="n"/>
      <c r="U7" s="1" t="n"/>
      <c r="V7" s="1" t="n"/>
      <c r="W7" s="1" t="n"/>
      <c r="X7" s="1" t="n"/>
      <c r="Y7" s="1" t="n"/>
      <c r="Z7" s="1" t="n"/>
    </row>
    <row r="8" ht="21.75" customHeight="1" s="311">
      <c r="A8" s="145" t="n"/>
      <c r="B8" s="46" t="inlineStr">
        <is>
          <t>Tu aporte al hogar</t>
        </is>
      </c>
      <c r="C8" s="61">
        <f t="array" ref="C8">-INDEX(Escenarios!$D$29:$H$29,Panel!$D$5)</f>
        <v/>
      </c>
      <c r="D8" s="61">
        <f t="array" ref="D8">+INDEX(Escenarios!$D$29:$H$29,Panel!$D$5)</f>
        <v/>
      </c>
      <c r="E8" s="61" t="n"/>
      <c r="F8" s="68">
        <f>N($C8)+N($D8)+N($E8)</f>
        <v/>
      </c>
      <c r="G8" s="20" t="inlineStr">
        <is>
          <t>Sale de tu cuenta y entra en la de la casa. En el consolidado se anula solo: el dinero no ha salido de la familia.</t>
        </is>
      </c>
      <c r="H8" s="145" t="n"/>
      <c r="I8" s="145" t="n"/>
      <c r="J8" s="145" t="n"/>
      <c r="K8" s="40" t="inlineStr">
        <is>
          <t>Inversión</t>
        </is>
      </c>
      <c r="L8" s="42">
        <f>$F$18</f>
        <v/>
      </c>
      <c r="M8" s="1" t="n"/>
      <c r="N8" s="1" t="n"/>
      <c r="O8" s="1" t="n"/>
      <c r="P8" s="1" t="n"/>
      <c r="Q8" s="1" t="n"/>
      <c r="R8" s="1" t="n"/>
      <c r="S8" s="1" t="n"/>
      <c r="T8" s="1" t="n"/>
      <c r="U8" s="1" t="n"/>
      <c r="V8" s="1" t="n"/>
      <c r="W8" s="1" t="n"/>
      <c r="X8" s="1" t="n"/>
      <c r="Y8" s="1" t="n"/>
      <c r="Z8" s="1" t="n"/>
    </row>
    <row r="9" ht="15" customHeight="1" s="311">
      <c r="A9" s="145" t="n"/>
      <c r="B9" s="46" t="inlineStr">
        <is>
          <t>Pagos de gastos de vida</t>
        </is>
      </c>
      <c r="C9" s="61">
        <f t="array" ref="C9">-INDEX(Escenarios!$D$26:$H$26,Panel!$D$5)</f>
        <v/>
      </c>
      <c r="D9" s="61">
        <f>-SUM(Resultados!$D$22:$D$29)</f>
        <v/>
      </c>
      <c r="E9" s="61" t="n"/>
      <c r="F9" s="68">
        <f>N($C9)+N($D9)+N($E9)</f>
        <v/>
      </c>
      <c r="G9" s="145" t="n"/>
      <c r="H9" s="145" t="n"/>
      <c r="I9" s="145" t="n"/>
      <c r="J9" s="145" t="n"/>
      <c r="K9" s="40" t="inlineStr">
        <is>
          <t>Financiación</t>
        </is>
      </c>
      <c r="L9" s="42">
        <f>$F$25</f>
        <v/>
      </c>
      <c r="M9" s="1" t="n"/>
      <c r="N9" s="1" t="n"/>
      <c r="O9" s="1" t="n"/>
      <c r="P9" s="1" t="n"/>
      <c r="Q9" s="1" t="n"/>
      <c r="R9" s="1" t="n"/>
      <c r="S9" s="1" t="n"/>
      <c r="T9" s="1" t="n"/>
      <c r="U9" s="1" t="n"/>
      <c r="V9" s="1" t="n"/>
      <c r="W9" s="1" t="n"/>
      <c r="X9" s="1" t="n"/>
      <c r="Y9" s="1" t="n"/>
      <c r="Z9" s="1" t="n"/>
    </row>
    <row r="10" ht="15" customHeight="1" s="311">
      <c r="A10" s="145" t="n"/>
      <c r="B10" s="46" t="inlineStr">
        <is>
          <t>Intereses y comisiones pagados</t>
        </is>
      </c>
      <c r="C10" s="61">
        <f>-Resultados!$C$39</f>
        <v/>
      </c>
      <c r="D10" s="61">
        <f>-Resultados!$D$39</f>
        <v/>
      </c>
      <c r="E10" s="61" t="n"/>
      <c r="F10" s="68">
        <f>N($C10)+N($D10)+N($E10)</f>
        <v/>
      </c>
      <c r="G10" s="145" t="n"/>
      <c r="H10" s="145" t="n"/>
      <c r="I10" s="145" t="n"/>
      <c r="J10" s="145" t="n"/>
      <c r="K10" s="40" t="inlineStr">
        <is>
          <t>Variación neta</t>
        </is>
      </c>
      <c r="L10" s="42">
        <f>$F$27</f>
        <v/>
      </c>
      <c r="M10" s="1" t="n"/>
      <c r="N10" s="1" t="n"/>
      <c r="O10" s="1" t="n"/>
      <c r="P10" s="1" t="n"/>
      <c r="Q10" s="1" t="n"/>
      <c r="R10" s="1" t="n"/>
      <c r="S10" s="1" t="n"/>
      <c r="T10" s="1" t="n"/>
      <c r="U10" s="1" t="n"/>
      <c r="V10" s="1" t="n"/>
      <c r="W10" s="1" t="n"/>
      <c r="X10" s="1" t="n"/>
      <c r="Y10" s="1" t="n"/>
      <c r="Z10" s="1" t="n"/>
    </row>
    <row r="11" ht="21.75" customHeight="1" s="311">
      <c r="A11" s="145" t="n"/>
      <c r="B11" s="176" t="inlineStr">
        <is>
          <t>FLUJO DE CAJA DE OPERACIÓN</t>
        </is>
      </c>
      <c r="C11" s="82">
        <f>SUM(C7:C10)</f>
        <v/>
      </c>
      <c r="D11" s="82">
        <f>SUM(D7:D10)</f>
        <v/>
      </c>
      <c r="E11" s="82">
        <f>SUM(E7:E10)</f>
        <v/>
      </c>
      <c r="F11" s="82">
        <f>SUM(F7:F10)</f>
        <v/>
      </c>
      <c r="G11" s="20" t="inlineStr">
        <is>
          <t>Es el más importante: si es negativo de forma sostenida, la vida corriente no se paga sola y todo lo demás depende de deuda o de ahorros.</t>
        </is>
      </c>
      <c r="H11" s="145" t="n"/>
      <c r="I11" s="145" t="n"/>
      <c r="J11" s="145" t="n"/>
      <c r="K11" s="145" t="n"/>
      <c r="L11" s="145" t="n"/>
      <c r="M11" s="1" t="n"/>
      <c r="N11" s="1" t="n"/>
      <c r="O11" s="1" t="n"/>
      <c r="P11" s="1" t="n"/>
      <c r="Q11" s="1" t="n"/>
      <c r="R11" s="1" t="n"/>
      <c r="S11" s="1" t="n"/>
      <c r="T11" s="1" t="n"/>
      <c r="U11" s="1" t="n"/>
      <c r="V11" s="1" t="n"/>
      <c r="W11" s="1" t="n"/>
      <c r="X11" s="1" t="n"/>
      <c r="Y11" s="1" t="n"/>
      <c r="Z11" s="1" t="n"/>
    </row>
    <row r="12">
      <c r="A12" s="145" t="n"/>
      <c r="B12" s="145" t="n"/>
      <c r="C12" s="145" t="n"/>
      <c r="D12" s="145" t="n"/>
      <c r="E12" s="145" t="n"/>
      <c r="F12" s="145" t="n"/>
      <c r="G12" s="145" t="n"/>
      <c r="H12" s="145" t="n"/>
      <c r="I12" s="145" t="n"/>
      <c r="J12" s="145" t="n"/>
      <c r="K12" s="145" t="n"/>
      <c r="L12" s="145" t="n"/>
      <c r="M12" s="1" t="n"/>
      <c r="N12" s="1" t="n"/>
      <c r="O12" s="1" t="n"/>
      <c r="P12" s="1" t="n"/>
      <c r="Q12" s="1" t="n"/>
      <c r="R12" s="1" t="n"/>
      <c r="S12" s="1" t="n"/>
      <c r="T12" s="1" t="n"/>
      <c r="U12" s="1" t="n"/>
      <c r="V12" s="1" t="n"/>
      <c r="W12" s="1" t="n"/>
      <c r="X12" s="1" t="n"/>
      <c r="Y12" s="1" t="n"/>
      <c r="Z12" s="1" t="n"/>
    </row>
    <row r="13" ht="21.75" customHeight="1" s="311">
      <c r="A13" s="145" t="n"/>
      <c r="B13" s="21" t="inlineStr">
        <is>
          <t>2.  ACTIVIDADES DE INVERSIÓN</t>
        </is>
      </c>
      <c r="C13" s="22" t="n"/>
      <c r="D13" s="22" t="n"/>
      <c r="E13" s="22" t="n"/>
      <c r="F13" s="22" t="n"/>
      <c r="G13" s="22" t="n"/>
      <c r="H13" s="145" t="n"/>
      <c r="I13" s="145" t="n"/>
      <c r="J13" s="145" t="n"/>
      <c r="K13" s="145" t="n"/>
      <c r="L13" s="145" t="n"/>
      <c r="M13" s="1" t="n"/>
      <c r="N13" s="1" t="n"/>
      <c r="O13" s="1" t="n"/>
      <c r="P13" s="1" t="n"/>
      <c r="Q13" s="1" t="n"/>
      <c r="R13" s="1" t="n"/>
      <c r="S13" s="1" t="n"/>
      <c r="T13" s="1" t="n"/>
      <c r="U13" s="1" t="n"/>
      <c r="V13" s="1" t="n"/>
      <c r="W13" s="1" t="n"/>
      <c r="X13" s="1" t="n"/>
      <c r="Y13" s="1" t="n"/>
      <c r="Z13" s="1" t="n"/>
    </row>
    <row r="14" ht="15" customHeight="1" s="311">
      <c r="A14" s="145" t="n"/>
      <c r="B14" s="46" t="inlineStr">
        <is>
          <t>Aporte a la cartera de inversión</t>
        </is>
      </c>
      <c r="C14" s="61">
        <f t="array" ref="C14">-INDEX(Escenarios!$D$13:$H$13,Panel!$D$5)</f>
        <v/>
      </c>
      <c r="D14" s="61" t="n"/>
      <c r="E14" s="61" t="n"/>
      <c r="F14" s="68">
        <f>N($C14)+N($D14)+N($E14)</f>
        <v/>
      </c>
      <c r="G14" s="145" t="n"/>
      <c r="H14" s="145" t="n"/>
      <c r="I14" s="145" t="n"/>
      <c r="J14" s="145" t="n"/>
      <c r="K14" s="145" t="n"/>
      <c r="L14" s="145" t="n"/>
      <c r="M14" s="1" t="n"/>
      <c r="N14" s="1" t="n"/>
      <c r="O14" s="1" t="n"/>
      <c r="P14" s="1" t="n"/>
      <c r="Q14" s="1" t="n"/>
      <c r="R14" s="1" t="n"/>
      <c r="S14" s="1" t="n"/>
      <c r="T14" s="1" t="n"/>
      <c r="U14" s="1" t="n"/>
      <c r="V14" s="1" t="n"/>
      <c r="W14" s="1" t="n"/>
      <c r="X14" s="1" t="n"/>
      <c r="Y14" s="1" t="n"/>
      <c r="Z14" s="1" t="n"/>
    </row>
    <row r="15" ht="15" customHeight="1" s="311">
      <c r="A15" s="145" t="n"/>
      <c r="B15" s="46" t="inlineStr">
        <is>
          <t>Aporte al fondo de emergencia y a ABANCA</t>
        </is>
      </c>
      <c r="C15" s="61">
        <f t="array" ref="C15">-INDEX(Escenarios!$D$14:$H$14,Panel!$D$5)</f>
        <v/>
      </c>
      <c r="D15" s="61" t="n"/>
      <c r="E15" s="61" t="n"/>
      <c r="F15" s="68">
        <f>N($C15)+N($D15)+N($E15)</f>
        <v/>
      </c>
      <c r="G15" s="145" t="n"/>
      <c r="H15" s="145" t="n"/>
      <c r="I15" s="145" t="n"/>
      <c r="J15" s="145" t="n"/>
      <c r="K15" s="145" t="n"/>
      <c r="L15" s="145" t="n"/>
      <c r="M15" s="1" t="n"/>
      <c r="N15" s="1" t="n"/>
      <c r="O15" s="1" t="n"/>
      <c r="P15" s="1" t="n"/>
      <c r="Q15" s="1" t="n"/>
      <c r="R15" s="1" t="n"/>
      <c r="S15" s="1" t="n"/>
      <c r="T15" s="1" t="n"/>
      <c r="U15" s="1" t="n"/>
      <c r="V15" s="1" t="n"/>
      <c r="W15" s="1" t="n"/>
      <c r="X15" s="1" t="n"/>
      <c r="Y15" s="1" t="n"/>
      <c r="Z15" s="1" t="n"/>
    </row>
    <row r="16" ht="15" customHeight="1" s="311">
      <c r="A16" s="145" t="n"/>
      <c r="B16" s="46" t="inlineStr">
        <is>
          <t>Compra de bienes duraderos</t>
        </is>
      </c>
      <c r="C16" s="61" t="n">
        <v>0</v>
      </c>
      <c r="D16" s="61" t="n">
        <v>0</v>
      </c>
      <c r="E16" s="61" t="n"/>
      <c r="F16" s="68">
        <f>N($C16)+N($D16)+N($E16)</f>
        <v/>
      </c>
      <c r="G16" s="145" t="n"/>
      <c r="H16" s="145" t="n"/>
      <c r="I16" s="145" t="n"/>
      <c r="J16" s="145" t="n"/>
      <c r="K16" s="145" t="n"/>
      <c r="L16" s="145" t="n"/>
      <c r="M16" s="1" t="n"/>
      <c r="N16" s="1" t="n"/>
      <c r="O16" s="1" t="n"/>
      <c r="P16" s="1" t="n"/>
      <c r="Q16" s="1" t="n"/>
      <c r="R16" s="1" t="n"/>
      <c r="S16" s="1" t="n"/>
      <c r="T16" s="1" t="n"/>
      <c r="U16" s="1" t="n"/>
      <c r="V16" s="1" t="n"/>
      <c r="W16" s="1" t="n"/>
      <c r="X16" s="1" t="n"/>
      <c r="Y16" s="1" t="n"/>
      <c r="Z16" s="1" t="n"/>
    </row>
    <row r="17" ht="15" customHeight="1" s="311">
      <c r="A17" s="145" t="n"/>
      <c r="B17" s="46" t="inlineStr">
        <is>
          <t>Venta de activos o rescates</t>
        </is>
      </c>
      <c r="C17" s="61" t="n">
        <v>0</v>
      </c>
      <c r="D17" s="61" t="n">
        <v>0</v>
      </c>
      <c r="E17" s="61" t="n"/>
      <c r="F17" s="68">
        <f>N($C17)+N($D17)+N($E17)</f>
        <v/>
      </c>
      <c r="G17" s="145" t="n"/>
      <c r="H17" s="145" t="n"/>
      <c r="I17" s="145" t="n"/>
      <c r="J17" s="145" t="n"/>
      <c r="K17" s="145" t="n"/>
      <c r="L17" s="145" t="n"/>
      <c r="M17" s="1" t="n"/>
      <c r="N17" s="1" t="n"/>
      <c r="O17" s="1" t="n"/>
      <c r="P17" s="1" t="n"/>
      <c r="Q17" s="1" t="n"/>
      <c r="R17" s="1" t="n"/>
      <c r="S17" s="1" t="n"/>
      <c r="T17" s="1" t="n"/>
      <c r="U17" s="1" t="n"/>
      <c r="V17" s="1" t="n"/>
      <c r="W17" s="1" t="n"/>
      <c r="X17" s="1" t="n"/>
      <c r="Y17" s="1" t="n"/>
      <c r="Z17" s="1" t="n"/>
    </row>
    <row r="18" ht="21.75" customHeight="1" s="311">
      <c r="A18" s="145" t="n"/>
      <c r="B18" s="38" t="inlineStr">
        <is>
          <t>FLUJO DE CAJA DE INVERSIÓN</t>
        </is>
      </c>
      <c r="C18" s="68">
        <f>SUM(C14:C17)</f>
        <v/>
      </c>
      <c r="D18" s="68">
        <f>SUM(D14:D17)</f>
        <v/>
      </c>
      <c r="E18" s="68">
        <f>SUM(E14:E17)</f>
        <v/>
      </c>
      <c r="F18" s="68">
        <f>SUM(F14:F17)</f>
        <v/>
      </c>
      <c r="G18" s="20" t="inlineStr">
        <is>
          <t>Negativo es buena señal aquí: significa que estás comprando activos, no vendiéndolos para llegar a fin de mes.</t>
        </is>
      </c>
      <c r="H18" s="145" t="n"/>
      <c r="I18" s="145" t="n"/>
      <c r="J18" s="145" t="n"/>
      <c r="K18" s="145" t="n"/>
      <c r="L18" s="145" t="n"/>
      <c r="M18" s="1" t="n"/>
      <c r="N18" s="1" t="n"/>
      <c r="O18" s="1" t="n"/>
      <c r="P18" s="1" t="n"/>
      <c r="Q18" s="1" t="n"/>
      <c r="R18" s="1" t="n"/>
      <c r="S18" s="1" t="n"/>
      <c r="T18" s="1" t="n"/>
      <c r="U18" s="1" t="n"/>
      <c r="V18" s="1" t="n"/>
      <c r="W18" s="1" t="n"/>
      <c r="X18" s="1" t="n"/>
      <c r="Y18" s="1" t="n"/>
      <c r="Z18" s="1" t="n"/>
    </row>
    <row r="19">
      <c r="A19" s="145" t="n"/>
      <c r="B19" s="145" t="n"/>
      <c r="C19" s="145" t="n"/>
      <c r="D19" s="145" t="n"/>
      <c r="E19" s="145" t="n"/>
      <c r="F19" s="145" t="n"/>
      <c r="G19" s="145" t="n"/>
      <c r="H19" s="145" t="n"/>
      <c r="I19" s="145" t="n"/>
      <c r="J19" s="145" t="n"/>
      <c r="K19" s="145" t="n"/>
      <c r="L19" s="145" t="n"/>
      <c r="M19" s="1" t="n"/>
      <c r="N19" s="1" t="n"/>
      <c r="O19" s="1" t="n"/>
      <c r="P19" s="1" t="n"/>
      <c r="Q19" s="1" t="n"/>
      <c r="R19" s="1" t="n"/>
      <c r="S19" s="1" t="n"/>
      <c r="T19" s="1" t="n"/>
      <c r="U19" s="1" t="n"/>
      <c r="V19" s="1" t="n"/>
      <c r="W19" s="1" t="n"/>
      <c r="X19" s="1" t="n"/>
      <c r="Y19" s="1" t="n"/>
      <c r="Z19" s="1" t="n"/>
    </row>
    <row r="20" ht="21.75" customHeight="1" s="311">
      <c r="A20" s="145" t="n"/>
      <c r="B20" s="21" t="inlineStr">
        <is>
          <t>3.  ACTIVIDADES DE FINANCIACIÓN</t>
        </is>
      </c>
      <c r="C20" s="22" t="n"/>
      <c r="D20" s="22" t="n"/>
      <c r="E20" s="22" t="n"/>
      <c r="F20" s="22" t="n"/>
      <c r="G20" s="22" t="n"/>
      <c r="H20" s="145" t="n"/>
      <c r="I20" s="145" t="n"/>
      <c r="J20" s="145" t="n"/>
      <c r="K20" s="145" t="n"/>
      <c r="L20" s="145" t="n"/>
      <c r="M20" s="1" t="n"/>
      <c r="N20" s="1" t="n"/>
      <c r="O20" s="1" t="n"/>
      <c r="P20" s="1" t="n"/>
      <c r="Q20" s="1" t="n"/>
      <c r="R20" s="1" t="n"/>
      <c r="S20" s="1" t="n"/>
      <c r="T20" s="1" t="n"/>
      <c r="U20" s="1" t="n"/>
      <c r="V20" s="1" t="n"/>
      <c r="W20" s="1" t="n"/>
      <c r="X20" s="1" t="n"/>
      <c r="Y20" s="1" t="n"/>
      <c r="Z20" s="1" t="n"/>
    </row>
    <row r="21" ht="15" customHeight="1" s="311">
      <c r="A21" s="145" t="n"/>
      <c r="B21" s="46" t="inlineStr">
        <is>
          <t>Amortización de principal de la hipoteca</t>
        </is>
      </c>
      <c r="C21" s="61" t="n"/>
      <c r="D21" s="61">
        <f>-Resultados!$D$49</f>
        <v/>
      </c>
      <c r="E21" s="61" t="n"/>
      <c r="F21" s="68">
        <f>N($C21)+N($D21)+N($E21)</f>
        <v/>
      </c>
      <c r="G21" s="145" t="n"/>
      <c r="H21" s="145" t="n"/>
      <c r="I21" s="145" t="n"/>
      <c r="J21" s="145" t="n"/>
      <c r="K21" s="145" t="n"/>
      <c r="L21" s="145" t="n"/>
      <c r="M21" s="1" t="n"/>
      <c r="N21" s="1" t="n"/>
      <c r="O21" s="1" t="n"/>
      <c r="P21" s="1" t="n"/>
      <c r="Q21" s="1" t="n"/>
      <c r="R21" s="1" t="n"/>
      <c r="S21" s="1" t="n"/>
      <c r="T21" s="1" t="n"/>
      <c r="U21" s="1" t="n"/>
      <c r="V21" s="1" t="n"/>
      <c r="W21" s="1" t="n"/>
      <c r="X21" s="1" t="n"/>
      <c r="Y21" s="1" t="n"/>
      <c r="Z21" s="1" t="n"/>
    </row>
    <row r="22" ht="15" customHeight="1" s="311">
      <c r="A22" s="145" t="n"/>
      <c r="B22" s="46" t="inlineStr">
        <is>
          <t>Amortización de tarjetas, préstamos y Hacienda</t>
        </is>
      </c>
      <c r="C22" s="61" t="n"/>
      <c r="D22" s="61">
        <f>-Resultados!$D$50</f>
        <v/>
      </c>
      <c r="E22" s="61" t="n"/>
      <c r="F22" s="68">
        <f>N($C22)+N($D22)+N($E22)</f>
        <v/>
      </c>
      <c r="G22" s="145" t="n"/>
      <c r="H22" s="145" t="n"/>
      <c r="I22" s="145" t="n"/>
      <c r="J22" s="145" t="n"/>
      <c r="K22" s="145" t="n"/>
      <c r="L22" s="145" t="n"/>
      <c r="M22" s="1" t="n"/>
      <c r="N22" s="1" t="n"/>
      <c r="O22" s="1" t="n"/>
      <c r="P22" s="1" t="n"/>
      <c r="Q22" s="1" t="n"/>
      <c r="R22" s="1" t="n"/>
      <c r="S22" s="1" t="n"/>
      <c r="T22" s="1" t="n"/>
      <c r="U22" s="1" t="n"/>
      <c r="V22" s="1" t="n"/>
      <c r="W22" s="1" t="n"/>
      <c r="X22" s="1" t="n"/>
      <c r="Y22" s="1" t="n"/>
      <c r="Z22" s="1" t="n"/>
    </row>
    <row r="23" ht="21.75" customHeight="1" s="311">
      <c r="A23" s="145" t="n"/>
      <c r="B23" s="46" t="inlineStr">
        <is>
          <t>Nueva deuda dispuesta en el mes</t>
        </is>
      </c>
      <c r="C23" s="61" t="n">
        <v>0</v>
      </c>
      <c r="D23" s="61" t="n">
        <v>0</v>
      </c>
      <c r="E23" s="61" t="n"/>
      <c r="F23" s="68">
        <f>N($C23)+N($D23)+N($E23)</f>
        <v/>
      </c>
      <c r="G23" s="20" t="inlineStr">
        <is>
          <t>Si tiras de tarjeta para llegar a fin de mes, anótalo aquí: entra dinero, pero a cambio de más deuda.</t>
        </is>
      </c>
      <c r="H23" s="145" t="n"/>
      <c r="I23" s="145" t="n"/>
      <c r="J23" s="145" t="n"/>
      <c r="K23" s="145" t="n"/>
      <c r="L23" s="145" t="n"/>
      <c r="M23" s="1" t="n"/>
      <c r="N23" s="1" t="n"/>
      <c r="O23" s="1" t="n"/>
      <c r="P23" s="1" t="n"/>
      <c r="Q23" s="1" t="n"/>
      <c r="R23" s="1" t="n"/>
      <c r="S23" s="1" t="n"/>
      <c r="T23" s="1" t="n"/>
      <c r="U23" s="1" t="n"/>
      <c r="V23" s="1" t="n"/>
      <c r="W23" s="1" t="n"/>
      <c r="X23" s="1" t="n"/>
      <c r="Y23" s="1" t="n"/>
      <c r="Z23" s="1" t="n"/>
    </row>
    <row r="24" ht="15" customHeight="1" s="311">
      <c r="A24" s="145" t="n"/>
      <c r="B24" s="46" t="inlineStr">
        <is>
          <t>Préstamos concedidos o devueltos por terceros</t>
        </is>
      </c>
      <c r="C24" s="61" t="n">
        <v>0</v>
      </c>
      <c r="D24" s="61" t="n">
        <v>0</v>
      </c>
      <c r="E24" s="61" t="n"/>
      <c r="F24" s="68">
        <f>N($C24)+N($D24)+N($E24)</f>
        <v/>
      </c>
      <c r="G24" s="145" t="n"/>
      <c r="H24" s="145" t="n"/>
      <c r="I24" s="145" t="n"/>
      <c r="J24" s="145" t="n"/>
      <c r="K24" s="145" t="n"/>
      <c r="L24" s="145" t="n"/>
      <c r="M24" s="1" t="n"/>
      <c r="N24" s="1" t="n"/>
      <c r="O24" s="1" t="n"/>
      <c r="P24" s="1" t="n"/>
      <c r="Q24" s="1" t="n"/>
      <c r="R24" s="1" t="n"/>
      <c r="S24" s="1" t="n"/>
      <c r="T24" s="1" t="n"/>
      <c r="U24" s="1" t="n"/>
      <c r="V24" s="1" t="n"/>
      <c r="W24" s="1" t="n"/>
      <c r="X24" s="1" t="n"/>
      <c r="Y24" s="1" t="n"/>
      <c r="Z24" s="1" t="n"/>
    </row>
    <row r="25" ht="15" customHeight="1" s="311">
      <c r="A25" s="145" t="n"/>
      <c r="B25" s="38" t="inlineStr">
        <is>
          <t>FLUJO DE CAJA DE FINANCIACIÓN</t>
        </is>
      </c>
      <c r="C25" s="68">
        <f>SUM(C21:C24)</f>
        <v/>
      </c>
      <c r="D25" s="68">
        <f>SUM(D21:D24)</f>
        <v/>
      </c>
      <c r="E25" s="68">
        <f>SUM(E21:E24)</f>
        <v/>
      </c>
      <c r="F25" s="68">
        <f>SUM(F21:F24)</f>
        <v/>
      </c>
      <c r="G25" s="145" t="n"/>
      <c r="H25" s="145" t="n"/>
      <c r="I25" s="145" t="n"/>
      <c r="J25" s="145" t="n"/>
      <c r="K25" s="145" t="n"/>
      <c r="L25" s="145" t="n"/>
      <c r="M25" s="1" t="n"/>
      <c r="N25" s="1" t="n"/>
      <c r="O25" s="1" t="n"/>
      <c r="P25" s="1" t="n"/>
      <c r="Q25" s="1" t="n"/>
      <c r="R25" s="1" t="n"/>
      <c r="S25" s="1" t="n"/>
      <c r="T25" s="1" t="n"/>
      <c r="U25" s="1" t="n"/>
      <c r="V25" s="1" t="n"/>
      <c r="W25" s="1" t="n"/>
      <c r="X25" s="1" t="n"/>
      <c r="Y25" s="1" t="n"/>
      <c r="Z25" s="1" t="n"/>
    </row>
    <row r="26" ht="15.75" customHeight="1" s="311">
      <c r="A26" s="145" t="n"/>
      <c r="B26" s="145" t="n"/>
      <c r="C26" s="145" t="n"/>
      <c r="D26" s="145" t="n"/>
      <c r="E26" s="145" t="n"/>
      <c r="F26" s="145" t="n"/>
      <c r="G26" s="145" t="n"/>
      <c r="H26" s="145" t="n"/>
      <c r="I26" s="145" t="n"/>
      <c r="J26" s="145" t="n"/>
      <c r="K26" s="145" t="n"/>
      <c r="L26" s="145" t="n"/>
      <c r="M26" s="1" t="n"/>
      <c r="N26" s="1" t="n"/>
      <c r="O26" s="1" t="n"/>
      <c r="P26" s="1" t="n"/>
      <c r="Q26" s="1" t="n"/>
      <c r="R26" s="1" t="n"/>
      <c r="S26" s="1" t="n"/>
      <c r="T26" s="1" t="n"/>
      <c r="U26" s="1" t="n"/>
      <c r="V26" s="1" t="n"/>
      <c r="W26" s="1" t="n"/>
      <c r="X26" s="1" t="n"/>
      <c r="Y26" s="1" t="n"/>
      <c r="Z26" s="1" t="n"/>
    </row>
    <row r="27" ht="15" customHeight="1" s="311">
      <c r="A27" s="145" t="n"/>
      <c r="B27" s="81" t="inlineStr">
        <is>
          <t>VARIACIÓN NETA DE CAJA DEL MES</t>
        </is>
      </c>
      <c r="C27" s="82">
        <f>C11+C18+C25</f>
        <v/>
      </c>
      <c r="D27" s="82">
        <f>D11+D18+D25</f>
        <v/>
      </c>
      <c r="E27" s="82">
        <f>E11+E18+E25</f>
        <v/>
      </c>
      <c r="F27" s="84">
        <f>F11+F18+F25</f>
        <v/>
      </c>
      <c r="G27" s="145" t="n"/>
      <c r="H27" s="145" t="n"/>
      <c r="I27" s="145" t="n"/>
      <c r="J27" s="145" t="n"/>
      <c r="K27" s="145" t="n"/>
      <c r="L27" s="145" t="n"/>
      <c r="M27" s="1" t="n"/>
      <c r="N27" s="1" t="n"/>
      <c r="O27" s="1" t="n"/>
      <c r="P27" s="1" t="n"/>
      <c r="Q27" s="1" t="n"/>
      <c r="R27" s="1" t="n"/>
      <c r="S27" s="1" t="n"/>
      <c r="T27" s="1" t="n"/>
      <c r="U27" s="1" t="n"/>
      <c r="V27" s="1" t="n"/>
      <c r="W27" s="1" t="n"/>
      <c r="X27" s="1" t="n"/>
      <c r="Y27" s="1" t="n"/>
      <c r="Z27" s="1" t="n"/>
    </row>
    <row r="28" ht="21.75" customHeight="1" s="311">
      <c r="A28" s="145" t="n"/>
      <c r="B28" s="46" t="inlineStr">
        <is>
          <t>Caja al inicio del mes</t>
        </is>
      </c>
      <c r="C28" s="61">
        <f>SUMIFS(Disponibilidad!$J$6:$J$18,Disponibilidad!$O$6:$O$18,"Tú")</f>
        <v/>
      </c>
      <c r="D28" s="61">
        <f>SUMIFS(Disponibilidad!$J$6:$J$18,Disponibilidad!$O$6:$O$18,"Hogar")</f>
        <v/>
      </c>
      <c r="E28" s="61" t="n"/>
      <c r="F28" s="68">
        <f>N($C28)+N($D28)+N($E28)</f>
        <v/>
      </c>
      <c r="G28" s="20" t="inlineStr">
        <is>
          <t>Disponibilidad inmediata de hoy. Al cerrar el mes, sustitúyela por el saldo real del día 1.</t>
        </is>
      </c>
      <c r="H28" s="145" t="n"/>
      <c r="I28" s="145" t="n"/>
      <c r="J28" s="145" t="n"/>
      <c r="K28" s="145" t="n"/>
      <c r="L28" s="145" t="n"/>
      <c r="M28" s="1" t="n"/>
      <c r="N28" s="1" t="n"/>
      <c r="O28" s="1" t="n"/>
      <c r="P28" s="1" t="n"/>
      <c r="Q28" s="1" t="n"/>
      <c r="R28" s="1" t="n"/>
      <c r="S28" s="1" t="n"/>
      <c r="T28" s="1" t="n"/>
      <c r="U28" s="1" t="n"/>
      <c r="V28" s="1" t="n"/>
      <c r="W28" s="1" t="n"/>
      <c r="X28" s="1" t="n"/>
      <c r="Y28" s="1" t="n"/>
      <c r="Z28" s="1" t="n"/>
    </row>
    <row r="29" ht="15" customHeight="1" s="311">
      <c r="A29" s="145" t="n"/>
      <c r="B29" s="176" t="inlineStr">
        <is>
          <t>CAJA AL FINAL DEL MES</t>
        </is>
      </c>
      <c r="C29" s="82">
        <f>C27+C28</f>
        <v/>
      </c>
      <c r="D29" s="82">
        <f>D27+D28</f>
        <v/>
      </c>
      <c r="E29" s="82">
        <f>E27+E28</f>
        <v/>
      </c>
      <c r="F29" s="82">
        <f>F27+F28</f>
        <v/>
      </c>
      <c r="G29" s="145" t="n"/>
      <c r="H29" s="145" t="n"/>
      <c r="I29" s="145" t="n"/>
      <c r="J29" s="145" t="n"/>
      <c r="K29" s="145" t="n"/>
      <c r="L29" s="145" t="n"/>
      <c r="M29" s="1" t="n"/>
      <c r="N29" s="1" t="n"/>
      <c r="O29" s="1" t="n"/>
      <c r="P29" s="1" t="n"/>
      <c r="Q29" s="1" t="n"/>
      <c r="R29" s="1" t="n"/>
      <c r="S29" s="1" t="n"/>
      <c r="T29" s="1" t="n"/>
      <c r="U29" s="1" t="n"/>
      <c r="V29" s="1" t="n"/>
      <c r="W29" s="1" t="n"/>
      <c r="X29" s="1" t="n"/>
      <c r="Y29" s="1" t="n"/>
      <c r="Z29" s="1" t="n"/>
    </row>
    <row r="30" ht="15" customHeight="1" s="311">
      <c r="A30" s="145" t="n"/>
      <c r="B30" s="23" t="inlineStr">
        <is>
          <t>Flujo de caja libre  (operación − inversión en activos)</t>
        </is>
      </c>
      <c r="C30" s="145" t="n"/>
      <c r="D30" s="145" t="n"/>
      <c r="E30" s="145" t="n"/>
      <c r="F30" s="80">
        <f>$F$11+$F$16</f>
        <v/>
      </c>
      <c r="G30" s="145" t="n"/>
      <c r="H30" s="145" t="n"/>
      <c r="I30" s="145" t="n"/>
      <c r="J30" s="145" t="n"/>
      <c r="K30" s="145" t="n"/>
      <c r="L30" s="145" t="n"/>
      <c r="M30" s="1" t="n"/>
      <c r="N30" s="1" t="n"/>
      <c r="O30" s="1" t="n"/>
      <c r="P30" s="1" t="n"/>
      <c r="Q30" s="1" t="n"/>
      <c r="R30" s="1" t="n"/>
      <c r="S30" s="1" t="n"/>
      <c r="T30" s="1" t="n"/>
      <c r="U30" s="1" t="n"/>
      <c r="V30" s="1" t="n"/>
      <c r="W30" s="1" t="n"/>
      <c r="X30" s="1" t="n"/>
      <c r="Y30" s="1" t="n"/>
      <c r="Z30" s="1" t="n"/>
    </row>
    <row r="31" ht="15.75" customHeight="1" s="311">
      <c r="A31" s="145" t="n"/>
      <c r="B31" s="145" t="n"/>
      <c r="C31" s="145" t="n"/>
      <c r="D31" s="145" t="n"/>
      <c r="E31" s="145" t="n"/>
      <c r="F31" s="145" t="n"/>
      <c r="G31" s="145" t="n"/>
      <c r="H31" s="145" t="n"/>
      <c r="I31" s="145" t="n"/>
      <c r="J31" s="145" t="n"/>
      <c r="K31" s="145" t="n"/>
      <c r="L31" s="145" t="n"/>
      <c r="M31" s="1" t="n"/>
      <c r="N31" s="1" t="n"/>
      <c r="O31" s="1" t="n"/>
      <c r="P31" s="1" t="n"/>
      <c r="Q31" s="1" t="n"/>
      <c r="R31" s="1" t="n"/>
      <c r="S31" s="1" t="n"/>
      <c r="T31" s="1" t="n"/>
      <c r="U31" s="1" t="n"/>
      <c r="V31" s="1" t="n"/>
      <c r="W31" s="1" t="n"/>
      <c r="X31" s="1" t="n"/>
      <c r="Y31" s="1" t="n"/>
      <c r="Z31" s="1" t="n"/>
    </row>
    <row r="32" ht="21.75" customHeight="1" s="311">
      <c r="A32" s="145" t="n"/>
      <c r="B32" s="21" t="inlineStr">
        <is>
          <t>4.  CONCILIACIÓN  —  del resultado al dinero real</t>
        </is>
      </c>
      <c r="C32" s="22" t="n"/>
      <c r="D32" s="22" t="n"/>
      <c r="E32" s="22" t="n"/>
      <c r="F32" s="22" t="n"/>
      <c r="G32" s="22" t="n"/>
      <c r="H32" s="145" t="n"/>
      <c r="I32" s="145" t="n"/>
      <c r="J32" s="145" t="n"/>
      <c r="K32" s="145" t="n"/>
      <c r="L32" s="145" t="n"/>
      <c r="M32" s="1" t="n"/>
      <c r="N32" s="1" t="n"/>
      <c r="O32" s="1" t="n"/>
      <c r="P32" s="1" t="n"/>
      <c r="Q32" s="1" t="n"/>
      <c r="R32" s="1" t="n"/>
      <c r="S32" s="1" t="n"/>
      <c r="T32" s="1" t="n"/>
      <c r="U32" s="1" t="n"/>
      <c r="V32" s="1" t="n"/>
      <c r="W32" s="1" t="n"/>
      <c r="X32" s="1" t="n"/>
      <c r="Y32" s="1" t="n"/>
      <c r="Z32" s="1" t="n"/>
    </row>
    <row r="33" ht="21.75" customHeight="1" s="311">
      <c r="A33" s="145" t="n"/>
      <c r="B33" s="20" t="inlineStr">
        <is>
          <t>Por qué el resultado del Estado de Resultados no coincide con lo que se mueve en la cuenta.</t>
        </is>
      </c>
      <c r="C33" s="145" t="n"/>
      <c r="D33" s="145" t="n"/>
      <c r="E33" s="145" t="n"/>
      <c r="F33" s="145" t="n"/>
      <c r="G33" s="145" t="n"/>
      <c r="H33" s="145" t="n"/>
      <c r="I33" s="145" t="n"/>
      <c r="J33" s="145" t="n"/>
      <c r="K33" s="145" t="n"/>
      <c r="L33" s="145" t="n"/>
      <c r="M33" s="1" t="n"/>
      <c r="N33" s="1" t="n"/>
      <c r="O33" s="1" t="n"/>
      <c r="P33" s="1" t="n"/>
      <c r="Q33" s="1" t="n"/>
      <c r="R33" s="1" t="n"/>
      <c r="S33" s="1" t="n"/>
      <c r="T33" s="1" t="n"/>
      <c r="U33" s="1" t="n"/>
      <c r="V33" s="1" t="n"/>
      <c r="W33" s="1" t="n"/>
      <c r="X33" s="1" t="n"/>
      <c r="Y33" s="1" t="n"/>
      <c r="Z33" s="1" t="n"/>
    </row>
    <row r="34" ht="15" customHeight="1" s="311">
      <c r="A34" s="145" t="n"/>
      <c r="B34" s="46" t="inlineStr">
        <is>
          <t>Resultado del periodo (devengo)</t>
        </is>
      </c>
      <c r="C34" s="61">
        <f>Resultados!$F$43</f>
        <v/>
      </c>
      <c r="D34" s="46" t="n"/>
      <c r="E34" s="46" t="n"/>
      <c r="F34" s="46" t="n"/>
      <c r="G34" s="145" t="n"/>
      <c r="H34" s="145" t="n"/>
      <c r="I34" s="145" t="n"/>
      <c r="J34" s="145" t="n"/>
      <c r="K34" s="145" t="n"/>
      <c r="L34" s="145" t="n"/>
      <c r="M34" s="1" t="n"/>
      <c r="N34" s="1" t="n"/>
      <c r="O34" s="1" t="n"/>
      <c r="P34" s="1" t="n"/>
      <c r="Q34" s="1" t="n"/>
      <c r="R34" s="1" t="n"/>
      <c r="S34" s="1" t="n"/>
      <c r="T34" s="1" t="n"/>
      <c r="U34" s="1" t="n"/>
      <c r="V34" s="1" t="n"/>
      <c r="W34" s="1" t="n"/>
      <c r="X34" s="1" t="n"/>
      <c r="Y34" s="1" t="n"/>
      <c r="Z34" s="1" t="n"/>
    </row>
    <row r="35" ht="15" customHeight="1" s="311">
      <c r="A35" s="145" t="n"/>
      <c r="B35" s="46" t="inlineStr">
        <is>
          <t>(−) Amortización de principal de deudas</t>
        </is>
      </c>
      <c r="C35" s="61">
        <f>-Resultados!$F$49-Resultados!$F$50</f>
        <v/>
      </c>
      <c r="D35" s="46" t="n"/>
      <c r="E35" s="46" t="n"/>
      <c r="F35" s="46" t="n"/>
      <c r="G35" s="145" t="n"/>
      <c r="H35" s="145" t="n"/>
      <c r="I35" s="145" t="n"/>
      <c r="J35" s="145" t="n"/>
      <c r="K35" s="145" t="n"/>
      <c r="L35" s="145" t="n"/>
      <c r="M35" s="1" t="n"/>
      <c r="N35" s="1" t="n"/>
      <c r="O35" s="1" t="n"/>
      <c r="P35" s="1" t="n"/>
      <c r="Q35" s="1" t="n"/>
      <c r="R35" s="1" t="n"/>
      <c r="S35" s="1" t="n"/>
      <c r="T35" s="1" t="n"/>
      <c r="U35" s="1" t="n"/>
      <c r="V35" s="1" t="n"/>
      <c r="W35" s="1" t="n"/>
      <c r="X35" s="1" t="n"/>
      <c r="Y35" s="1" t="n"/>
      <c r="Z35" s="1" t="n"/>
    </row>
    <row r="36" ht="15" customHeight="1" s="311">
      <c r="A36" s="145" t="n"/>
      <c r="B36" s="46" t="inlineStr">
        <is>
          <t>(−) Aportes a inversión y ahorro</t>
        </is>
      </c>
      <c r="C36" s="61">
        <f>-Resultados!$F$51-Resultados!$F$52</f>
        <v/>
      </c>
      <c r="D36" s="46" t="n"/>
      <c r="E36" s="46" t="n"/>
      <c r="F36" s="46" t="n"/>
      <c r="G36" s="145" t="n"/>
      <c r="H36" s="145" t="n"/>
      <c r="I36" s="145" t="n"/>
      <c r="J36" s="145" t="n"/>
      <c r="K36" s="145" t="n"/>
      <c r="L36" s="145" t="n"/>
      <c r="M36" s="1" t="n"/>
      <c r="N36" s="1" t="n"/>
      <c r="O36" s="1" t="n"/>
      <c r="P36" s="1" t="n"/>
      <c r="Q36" s="1" t="n"/>
      <c r="R36" s="1" t="n"/>
      <c r="S36" s="1" t="n"/>
      <c r="T36" s="1" t="n"/>
      <c r="U36" s="1" t="n"/>
      <c r="V36" s="1" t="n"/>
      <c r="W36" s="1" t="n"/>
      <c r="X36" s="1" t="n"/>
      <c r="Y36" s="1" t="n"/>
      <c r="Z36" s="1" t="n"/>
    </row>
    <row r="37" ht="32.25" customHeight="1" s="311">
      <c r="A37" s="145" t="n"/>
      <c r="B37" s="46" t="inlineStr">
        <is>
          <t>(+/−) Variación de facturas pendientes en el mes</t>
        </is>
      </c>
      <c r="C37" s="113" t="n">
        <v>0</v>
      </c>
      <c r="D37" s="46" t="n"/>
      <c r="E37" s="46" t="n"/>
      <c r="F37" s="46" t="n"/>
      <c r="G37" s="20" t="inlineStr">
        <is>
          <t>Cuánto ha CRECIDO (+) o bajado (−) el saldo de facturas sin pagar durante el mes. No es el saldo total. A día de hoy ese saldo acumulado es de 3.162,84 €, de los que 962,80 € ya están vencidos: es financiación gratuita hasta que llegan los recargos.</t>
        </is>
      </c>
      <c r="H37" s="145" t="n"/>
      <c r="I37" s="145" t="n"/>
      <c r="J37" s="145" t="n"/>
      <c r="K37" s="145" t="n"/>
      <c r="L37" s="145" t="n"/>
      <c r="M37" s="1" t="n"/>
      <c r="N37" s="1" t="n"/>
      <c r="O37" s="1" t="n"/>
      <c r="P37" s="1" t="n"/>
      <c r="Q37" s="1" t="n"/>
      <c r="R37" s="1" t="n"/>
      <c r="S37" s="1" t="n"/>
      <c r="T37" s="1" t="n"/>
      <c r="U37" s="1" t="n"/>
      <c r="V37" s="1" t="n"/>
      <c r="W37" s="1" t="n"/>
      <c r="X37" s="1" t="n"/>
      <c r="Y37" s="1" t="n"/>
      <c r="Z37" s="1" t="n"/>
    </row>
    <row r="38" ht="15" customHeight="1" s="311">
      <c r="A38" s="145" t="n"/>
      <c r="B38" s="46" t="inlineStr">
        <is>
          <t>(+/−) Otros ajustes de caja</t>
        </is>
      </c>
      <c r="C38" s="113" t="n">
        <v>0</v>
      </c>
      <c r="D38" s="46" t="n"/>
      <c r="E38" s="46" t="n"/>
      <c r="F38" s="46" t="n"/>
      <c r="G38" s="145" t="n"/>
      <c r="H38" s="145" t="n"/>
      <c r="I38" s="145" t="n"/>
      <c r="J38" s="145" t="n"/>
      <c r="K38" s="145" t="n"/>
      <c r="L38" s="145" t="n"/>
      <c r="M38" s="1" t="n"/>
      <c r="N38" s="1" t="n"/>
      <c r="O38" s="1" t="n"/>
      <c r="P38" s="1" t="n"/>
      <c r="Q38" s="1" t="n"/>
      <c r="R38" s="1" t="n"/>
      <c r="S38" s="1" t="n"/>
      <c r="T38" s="1" t="n"/>
      <c r="U38" s="1" t="n"/>
      <c r="V38" s="1" t="n"/>
      <c r="W38" s="1" t="n"/>
      <c r="X38" s="1" t="n"/>
      <c r="Y38" s="1" t="n"/>
      <c r="Z38" s="1" t="n"/>
    </row>
    <row r="39" ht="15" customHeight="1" s="311">
      <c r="A39" s="145" t="n"/>
      <c r="B39" s="38" t="inlineStr">
        <is>
          <t>► VARIACIÓN DE CAJA EXPLICADA</t>
        </is>
      </c>
      <c r="C39" s="68">
        <f>$C$34+$C$35+$C$36+N($C$37)+N($C$38)</f>
        <v/>
      </c>
      <c r="D39" s="39" t="n"/>
      <c r="E39" s="39" t="n"/>
      <c r="F39" s="39" t="n"/>
      <c r="G39" s="145" t="n"/>
      <c r="H39" s="145" t="n"/>
      <c r="I39" s="145" t="n"/>
      <c r="J39" s="145" t="n"/>
      <c r="K39" s="145" t="n"/>
      <c r="L39" s="145" t="n"/>
      <c r="M39" s="1" t="n"/>
      <c r="N39" s="1" t="n"/>
      <c r="O39" s="1" t="n"/>
      <c r="P39" s="1" t="n"/>
      <c r="Q39" s="1" t="n"/>
      <c r="R39" s="1" t="n"/>
      <c r="S39" s="1" t="n"/>
      <c r="T39" s="1" t="n"/>
      <c r="U39" s="1" t="n"/>
      <c r="V39" s="1" t="n"/>
      <c r="W39" s="1" t="n"/>
      <c r="X39" s="1" t="n"/>
      <c r="Y39" s="1" t="n"/>
      <c r="Z39" s="1" t="n"/>
    </row>
    <row r="40" ht="15" customHeight="1" s="311">
      <c r="A40" s="145" t="n"/>
      <c r="B40" s="23" t="inlineStr">
        <is>
          <t>CONTROL: conciliación − variación neta de caja  (debe ser 0)</t>
        </is>
      </c>
      <c r="C40" s="80">
        <f>$C$39-$F$27</f>
        <v/>
      </c>
      <c r="D40" s="145" t="n"/>
      <c r="E40" s="145" t="n"/>
      <c r="F40" s="145" t="n"/>
      <c r="G40" s="145" t="n"/>
      <c r="H40" s="145" t="n"/>
      <c r="I40" s="145" t="n"/>
      <c r="J40" s="145" t="n"/>
      <c r="K40" s="145" t="n"/>
      <c r="L40" s="145" t="n"/>
      <c r="M40" s="1" t="n"/>
      <c r="N40" s="1" t="n"/>
      <c r="O40" s="1" t="n"/>
      <c r="P40" s="1" t="n"/>
      <c r="Q40" s="1" t="n"/>
      <c r="R40" s="1" t="n"/>
      <c r="S40" s="1" t="n"/>
      <c r="T40" s="1" t="n"/>
      <c r="U40" s="1" t="n"/>
      <c r="V40" s="1" t="n"/>
      <c r="W40" s="1" t="n"/>
      <c r="X40" s="1" t="n"/>
      <c r="Y40" s="1" t="n"/>
      <c r="Z40" s="1" t="n"/>
    </row>
    <row r="41" ht="21.75" customHeight="1" s="311">
      <c r="A41" s="145" t="n"/>
      <c r="B41" s="188" t="inlineStr">
        <is>
          <t>5.  PROYECCIÓN DE CAJA A 12 MESES  —  desde el periodo elegido en el Panel</t>
        </is>
      </c>
      <c r="C41" s="22" t="n"/>
      <c r="D41" s="22" t="n"/>
      <c r="E41" s="22" t="n"/>
      <c r="F41" s="22" t="n"/>
      <c r="G41" s="22" t="n"/>
      <c r="H41" s="145" t="n"/>
      <c r="I41" s="145" t="n"/>
      <c r="J41" s="145" t="n"/>
      <c r="K41" s="145" t="n"/>
      <c r="L41" s="145" t="n"/>
      <c r="M41" s="1" t="n"/>
      <c r="N41" s="1" t="n"/>
      <c r="O41" s="1" t="n"/>
      <c r="P41" s="1" t="n"/>
      <c r="Q41" s="1" t="n"/>
      <c r="R41" s="1" t="n"/>
      <c r="S41" s="1" t="n"/>
      <c r="T41" s="1" t="n"/>
      <c r="U41" s="1" t="n"/>
      <c r="V41" s="1" t="n"/>
      <c r="W41" s="1" t="n"/>
      <c r="X41" s="1" t="n"/>
      <c r="Y41" s="1" t="n"/>
      <c r="Z41" s="1" t="n"/>
    </row>
    <row r="42" ht="42" customHeight="1" s="311">
      <c r="A42" s="145" t="n"/>
      <c r="B42" s="33" t="inlineStr">
        <is>
          <t>Mes</t>
        </is>
      </c>
      <c r="C42" s="33" t="inlineStr">
        <is>
          <t>Cobros previstos</t>
        </is>
      </c>
      <c r="D42" s="33" t="inlineStr">
        <is>
          <t>Gastos personales
e intereses</t>
        </is>
      </c>
      <c r="E42" s="33" t="inlineStr">
        <is>
          <t>Facturas ya
registradas</t>
        </is>
      </c>
      <c r="F42" s="33" t="inlineStr">
        <is>
          <t>Recibos del hogar
no registrados</t>
        </is>
      </c>
      <c r="G42" s="33" t="inlineStr">
        <is>
          <t>Saldo de caja</t>
        </is>
      </c>
      <c r="H42" s="33" t="inlineStr">
        <is>
          <t>Aportes a ahorro
e inversión</t>
        </is>
      </c>
      <c r="I42" s="33" t="inlineStr">
        <is>
          <t>Flujo neto</t>
        </is>
      </c>
      <c r="J42" s="172" t="inlineStr">
        <is>
          <t>aux</t>
        </is>
      </c>
      <c r="K42" s="145" t="n"/>
      <c r="L42" s="145" t="n"/>
      <c r="M42" s="1" t="n"/>
      <c r="N42" s="1" t="n"/>
      <c r="O42" s="1" t="n"/>
      <c r="P42" s="1" t="n"/>
      <c r="Q42" s="1" t="n"/>
      <c r="R42" s="1" t="n"/>
      <c r="S42" s="1" t="n"/>
      <c r="T42" s="1" t="n"/>
      <c r="U42" s="1" t="n"/>
      <c r="V42" s="1" t="n"/>
      <c r="W42" s="1" t="n"/>
      <c r="X42" s="1" t="n"/>
      <c r="Y42" s="1" t="n"/>
      <c r="Z42" s="1" t="n"/>
    </row>
    <row r="43" ht="15" customHeight="1" s="311">
      <c r="A43" s="145" t="n"/>
      <c r="B43" s="62">
        <f>TEXT(EDATE(Panel!$H$5,0),"YYYY-MM")</f>
        <v/>
      </c>
      <c r="C43" s="61">
        <f t="array" ref="C43">INDEX(Escenarios!$D$6:$H$6,Panel!$D$5)+INDEX(Escenarios!$D$35:$H$35,Panel!$D$5)+INDEX(Escenarios!$D$36:$H$36,Panel!$D$5)+INDEX(Escenarios!$D$37:$H$37,Panel!$D$5)</f>
        <v/>
      </c>
      <c r="D43" s="189">
        <f t="array" ref="D43">-(INDEX(Escenarios!$D$26:$H$26,Panel!$D$5)+Resultados!$F$39)</f>
        <v/>
      </c>
      <c r="E43" s="189">
        <f>-(SUMIFS(Facturas!$K$6:$K$205,Facturas!$O$6:$O$205,$B43)+SUMIFS(Facturas!$K$6:$K$205,Facturas!$H$6:$H$205,"&lt;"&amp;Panel!$H$5))</f>
        <v/>
      </c>
      <c r="F43" s="113" t="n">
        <v>0</v>
      </c>
      <c r="G43" s="80">
        <f>$F$28+$I43</f>
        <v/>
      </c>
      <c r="H43" s="189">
        <f t="array" ref="H43">-(INDEX(Escenarios!$D$13:$H$13,Panel!$D$5)+INDEX(Escenarios!$D$14:$H$14,Panel!$D$5))</f>
        <v/>
      </c>
      <c r="I43" s="80">
        <f>$C43+$D43+$E43+$F43+$H43</f>
        <v/>
      </c>
      <c r="J43" s="190">
        <f>IF($G43&lt;0,ROW()-42,"")</f>
        <v/>
      </c>
      <c r="K43" s="145" t="n"/>
      <c r="L43" s="145" t="n"/>
      <c r="M43" s="1" t="n"/>
      <c r="N43" s="1" t="n"/>
      <c r="O43" s="1" t="n"/>
      <c r="P43" s="1" t="n"/>
      <c r="Q43" s="1" t="n"/>
      <c r="R43" s="1" t="n"/>
      <c r="S43" s="1" t="n"/>
      <c r="T43" s="1" t="n"/>
      <c r="U43" s="1" t="n"/>
      <c r="V43" s="1" t="n"/>
      <c r="W43" s="1" t="n"/>
      <c r="X43" s="1" t="n"/>
      <c r="Y43" s="1" t="n"/>
      <c r="Z43" s="1" t="n"/>
    </row>
    <row r="44" ht="15" customHeight="1" s="311">
      <c r="A44" s="145" t="n"/>
      <c r="B44" s="62">
        <f>TEXT(EDATE(Panel!$H$5,1),"YYYY-MM")</f>
        <v/>
      </c>
      <c r="C44" s="61">
        <f t="array" ref="C44">INDEX(Escenarios!$D$6:$H$6,Panel!$D$5)+INDEX(Escenarios!$D$35:$H$35,Panel!$D$5)+INDEX(Escenarios!$D$36:$H$36,Panel!$D$5)+INDEX(Escenarios!$D$37:$H$37,Panel!$D$5)</f>
        <v/>
      </c>
      <c r="D44" s="189">
        <f t="array" ref="D44">-(INDEX(Escenarios!$D$26:$H$26,Panel!$D$5)+Resultados!$F$39)</f>
        <v/>
      </c>
      <c r="E44" s="189">
        <f>-SUMIFS(Facturas!$K$6:$K$205,Facturas!$O$6:$O$205,$B44)</f>
        <v/>
      </c>
      <c r="F44" s="113" t="n">
        <v>0</v>
      </c>
      <c r="G44" s="80">
        <f>$G43+$I44</f>
        <v/>
      </c>
      <c r="H44" s="189">
        <f t="array" ref="H44">-(INDEX(Escenarios!$D$13:$H$13,Panel!$D$5)+INDEX(Escenarios!$D$14:$H$14,Panel!$D$5))</f>
        <v/>
      </c>
      <c r="I44" s="80">
        <f>$C44+$D44+$E44+$F44+$H44</f>
        <v/>
      </c>
      <c r="J44" s="190">
        <f>IF($G44&lt;0,ROW()-42,"")</f>
        <v/>
      </c>
      <c r="K44" s="145" t="n"/>
      <c r="L44" s="145" t="n"/>
      <c r="M44" s="1" t="n"/>
      <c r="N44" s="1" t="n"/>
      <c r="O44" s="1" t="n"/>
      <c r="P44" s="1" t="n"/>
      <c r="Q44" s="1" t="n"/>
      <c r="R44" s="1" t="n"/>
      <c r="S44" s="1" t="n"/>
      <c r="T44" s="1" t="n"/>
      <c r="U44" s="1" t="n"/>
      <c r="V44" s="1" t="n"/>
      <c r="W44" s="1" t="n"/>
      <c r="X44" s="1" t="n"/>
      <c r="Y44" s="1" t="n"/>
      <c r="Z44" s="1" t="n"/>
    </row>
    <row r="45" ht="15" customHeight="1" s="311">
      <c r="A45" s="145" t="n"/>
      <c r="B45" s="62">
        <f>TEXT(EDATE(Panel!$H$5,2),"YYYY-MM")</f>
        <v/>
      </c>
      <c r="C45" s="61">
        <f t="array" ref="C45">INDEX(Escenarios!$D$6:$H$6,Panel!$D$5)+INDEX(Escenarios!$D$35:$H$35,Panel!$D$5)+INDEX(Escenarios!$D$36:$H$36,Panel!$D$5)+INDEX(Escenarios!$D$37:$H$37,Panel!$D$5)</f>
        <v/>
      </c>
      <c r="D45" s="189">
        <f t="array" ref="D45">-(INDEX(Escenarios!$D$26:$H$26,Panel!$D$5)+Resultados!$F$39)</f>
        <v/>
      </c>
      <c r="E45" s="189">
        <f>-SUMIFS(Facturas!$K$6:$K$205,Facturas!$O$6:$O$205,$B45)</f>
        <v/>
      </c>
      <c r="F45" s="113" t="n">
        <v>-983</v>
      </c>
      <c r="G45" s="80">
        <f>$G44+$I45</f>
        <v/>
      </c>
      <c r="H45" s="189">
        <f t="array" ref="H45">-(INDEX(Escenarios!$D$13:$H$13,Panel!$D$5)+INDEX(Escenarios!$D$14:$H$14,Panel!$D$5))</f>
        <v/>
      </c>
      <c r="I45" s="80">
        <f>$C45+$D45+$E45+$F45+$H45</f>
        <v/>
      </c>
      <c r="J45" s="190">
        <f>IF($G45&lt;0,ROW()-42,"")</f>
        <v/>
      </c>
      <c r="K45" s="145" t="n"/>
      <c r="L45" s="145" t="n"/>
      <c r="M45" s="1" t="n"/>
      <c r="N45" s="1" t="n"/>
      <c r="O45" s="1" t="n"/>
      <c r="P45" s="1" t="n"/>
      <c r="Q45" s="1" t="n"/>
      <c r="R45" s="1" t="n"/>
      <c r="S45" s="1" t="n"/>
      <c r="T45" s="1" t="n"/>
      <c r="U45" s="1" t="n"/>
      <c r="V45" s="1" t="n"/>
      <c r="W45" s="1" t="n"/>
      <c r="X45" s="1" t="n"/>
      <c r="Y45" s="1" t="n"/>
      <c r="Z45" s="1" t="n"/>
    </row>
    <row r="46" ht="15" customHeight="1" s="311">
      <c r="A46" s="145" t="n"/>
      <c r="B46" s="62">
        <f>TEXT(EDATE(Panel!$H$5,3),"YYYY-MM")</f>
        <v/>
      </c>
      <c r="C46" s="61">
        <f t="array" ref="C46">INDEX(Escenarios!$D$6:$H$6,Panel!$D$5)+INDEX(Escenarios!$D$35:$H$35,Panel!$D$5)+INDEX(Escenarios!$D$36:$H$36,Panel!$D$5)+INDEX(Escenarios!$D$37:$H$37,Panel!$D$5)</f>
        <v/>
      </c>
      <c r="D46" s="189">
        <f t="array" ref="D46">-(INDEX(Escenarios!$D$26:$H$26,Panel!$D$5)+Resultados!$F$39)</f>
        <v/>
      </c>
      <c r="E46" s="189">
        <f>-SUMIFS(Facturas!$K$6:$K$205,Facturas!$O$6:$O$205,$B46)</f>
        <v/>
      </c>
      <c r="F46" s="113" t="n">
        <v>-983</v>
      </c>
      <c r="G46" s="80">
        <f>$G45+$I46</f>
        <v/>
      </c>
      <c r="H46" s="189">
        <f t="array" ref="H46">-(INDEX(Escenarios!$D$13:$H$13,Panel!$D$5)+INDEX(Escenarios!$D$14:$H$14,Panel!$D$5))</f>
        <v/>
      </c>
      <c r="I46" s="80">
        <f>$C46+$D46+$E46+$F46+$H46</f>
        <v/>
      </c>
      <c r="J46" s="190">
        <f>IF($G46&lt;0,ROW()-42,"")</f>
        <v/>
      </c>
      <c r="K46" s="145" t="n"/>
      <c r="L46" s="145" t="n"/>
      <c r="M46" s="1" t="n"/>
      <c r="N46" s="1" t="n"/>
      <c r="O46" s="1" t="n"/>
      <c r="P46" s="1" t="n"/>
      <c r="Q46" s="1" t="n"/>
      <c r="R46" s="1" t="n"/>
      <c r="S46" s="1" t="n"/>
      <c r="T46" s="1" t="n"/>
      <c r="U46" s="1" t="n"/>
      <c r="V46" s="1" t="n"/>
      <c r="W46" s="1" t="n"/>
      <c r="X46" s="1" t="n"/>
      <c r="Y46" s="1" t="n"/>
      <c r="Z46" s="1" t="n"/>
    </row>
    <row r="47" ht="15" customHeight="1" s="311">
      <c r="A47" s="145" t="n"/>
      <c r="B47" s="62">
        <f>TEXT(EDATE(Panel!$H$5,4),"YYYY-MM")</f>
        <v/>
      </c>
      <c r="C47" s="61">
        <f t="array" ref="C47">INDEX(Escenarios!$D$6:$H$6,Panel!$D$5)+INDEX(Escenarios!$D$35:$H$35,Panel!$D$5)+INDEX(Escenarios!$D$36:$H$36,Panel!$D$5)+INDEX(Escenarios!$D$37:$H$37,Panel!$D$5)</f>
        <v/>
      </c>
      <c r="D47" s="189">
        <f t="array" ref="D47">-(INDEX(Escenarios!$D$26:$H$26,Panel!$D$5)+Resultados!$F$39)</f>
        <v/>
      </c>
      <c r="E47" s="189">
        <f>-SUMIFS(Facturas!$K$6:$K$205,Facturas!$O$6:$O$205,$B47)</f>
        <v/>
      </c>
      <c r="F47" s="113" t="n">
        <v>-983</v>
      </c>
      <c r="G47" s="80">
        <f>$G46+$I47</f>
        <v/>
      </c>
      <c r="H47" s="189">
        <f t="array" ref="H47">-(INDEX(Escenarios!$D$13:$H$13,Panel!$D$5)+INDEX(Escenarios!$D$14:$H$14,Panel!$D$5))</f>
        <v/>
      </c>
      <c r="I47" s="80">
        <f>$C47+$D47+$E47+$F47+$H47</f>
        <v/>
      </c>
      <c r="J47" s="190">
        <f>IF($G47&lt;0,ROW()-42,"")</f>
        <v/>
      </c>
      <c r="K47" s="145" t="n"/>
      <c r="L47" s="145" t="n"/>
      <c r="M47" s="1" t="n"/>
      <c r="N47" s="1" t="n"/>
      <c r="O47" s="1" t="n"/>
      <c r="P47" s="1" t="n"/>
      <c r="Q47" s="1" t="n"/>
      <c r="R47" s="1" t="n"/>
      <c r="S47" s="1" t="n"/>
      <c r="T47" s="1" t="n"/>
      <c r="U47" s="1" t="n"/>
      <c r="V47" s="1" t="n"/>
      <c r="W47" s="1" t="n"/>
      <c r="X47" s="1" t="n"/>
      <c r="Y47" s="1" t="n"/>
      <c r="Z47" s="1" t="n"/>
    </row>
    <row r="48" ht="15" customHeight="1" s="311">
      <c r="A48" s="145" t="n"/>
      <c r="B48" s="62">
        <f>TEXT(EDATE(Panel!$H$5,5),"YYYY-MM")</f>
        <v/>
      </c>
      <c r="C48" s="61">
        <f t="array" ref="C48">INDEX(Escenarios!$D$6:$H$6,Panel!$D$5)+INDEX(Escenarios!$D$35:$H$35,Panel!$D$5)+INDEX(Escenarios!$D$36:$H$36,Panel!$D$5)+INDEX(Escenarios!$D$37:$H$37,Panel!$D$5)</f>
        <v/>
      </c>
      <c r="D48" s="189">
        <f t="array" ref="D48">-(INDEX(Escenarios!$D$26:$H$26,Panel!$D$5)+Resultados!$F$39)</f>
        <v/>
      </c>
      <c r="E48" s="189">
        <f>-SUMIFS(Facturas!$K$6:$K$205,Facturas!$O$6:$O$205,$B48)</f>
        <v/>
      </c>
      <c r="F48" s="113" t="n">
        <v>-983</v>
      </c>
      <c r="G48" s="80">
        <f>$G47+$I48</f>
        <v/>
      </c>
      <c r="H48" s="189">
        <f t="array" ref="H48">-(INDEX(Escenarios!$D$13:$H$13,Panel!$D$5)+INDEX(Escenarios!$D$14:$H$14,Panel!$D$5))</f>
        <v/>
      </c>
      <c r="I48" s="80">
        <f>$C48+$D48+$E48+$F48+$H48</f>
        <v/>
      </c>
      <c r="J48" s="190">
        <f>IF($G48&lt;0,ROW()-42,"")</f>
        <v/>
      </c>
      <c r="K48" s="145" t="n"/>
      <c r="L48" s="145" t="n"/>
      <c r="M48" s="1" t="n"/>
      <c r="N48" s="1" t="n"/>
      <c r="O48" s="1" t="n"/>
      <c r="P48" s="1" t="n"/>
      <c r="Q48" s="1" t="n"/>
      <c r="R48" s="1" t="n"/>
      <c r="S48" s="1" t="n"/>
      <c r="T48" s="1" t="n"/>
      <c r="U48" s="1" t="n"/>
      <c r="V48" s="1" t="n"/>
      <c r="W48" s="1" t="n"/>
      <c r="X48" s="1" t="n"/>
      <c r="Y48" s="1" t="n"/>
      <c r="Z48" s="1" t="n"/>
    </row>
    <row r="49" ht="15" customHeight="1" s="311">
      <c r="A49" s="145" t="n"/>
      <c r="B49" s="62">
        <f>TEXT(EDATE(Panel!$H$5,6),"YYYY-MM")</f>
        <v/>
      </c>
      <c r="C49" s="61">
        <f t="array" ref="C49">INDEX(Escenarios!$D$6:$H$6,Panel!$D$5)+INDEX(Escenarios!$D$35:$H$35,Panel!$D$5)+INDEX(Escenarios!$D$36:$H$36,Panel!$D$5)+INDEX(Escenarios!$D$37:$H$37,Panel!$D$5)</f>
        <v/>
      </c>
      <c r="D49" s="189">
        <f t="array" ref="D49">-(INDEX(Escenarios!$D$26:$H$26,Panel!$D$5)+Resultados!$F$39)</f>
        <v/>
      </c>
      <c r="E49" s="189">
        <f>-SUMIFS(Facturas!$K$6:$K$205,Facturas!$O$6:$O$205,$B49)</f>
        <v/>
      </c>
      <c r="F49" s="113" t="n">
        <v>-983</v>
      </c>
      <c r="G49" s="80">
        <f>$G48+$I49</f>
        <v/>
      </c>
      <c r="H49" s="189">
        <f t="array" ref="H49">-(INDEX(Escenarios!$D$13:$H$13,Panel!$D$5)+INDEX(Escenarios!$D$14:$H$14,Panel!$D$5))</f>
        <v/>
      </c>
      <c r="I49" s="80">
        <f>$C49+$D49+$E49+$F49+$H49</f>
        <v/>
      </c>
      <c r="J49" s="190">
        <f>IF($G49&lt;0,ROW()-42,"")</f>
        <v/>
      </c>
      <c r="K49" s="145" t="n"/>
      <c r="L49" s="145" t="n"/>
      <c r="M49" s="1" t="n"/>
      <c r="N49" s="1" t="n"/>
      <c r="O49" s="1" t="n"/>
      <c r="P49" s="1" t="n"/>
      <c r="Q49" s="1" t="n"/>
      <c r="R49" s="1" t="n"/>
      <c r="S49" s="1" t="n"/>
      <c r="T49" s="1" t="n"/>
      <c r="U49" s="1" t="n"/>
      <c r="V49" s="1" t="n"/>
      <c r="W49" s="1" t="n"/>
      <c r="X49" s="1" t="n"/>
      <c r="Y49" s="1" t="n"/>
      <c r="Z49" s="1" t="n"/>
    </row>
    <row r="50" ht="15" customHeight="1" s="311">
      <c r="A50" s="145" t="n"/>
      <c r="B50" s="62">
        <f>TEXT(EDATE(Panel!$H$5,7),"YYYY-MM")</f>
        <v/>
      </c>
      <c r="C50" s="61">
        <f t="array" ref="C50">INDEX(Escenarios!$D$6:$H$6,Panel!$D$5)+INDEX(Escenarios!$D$35:$H$35,Panel!$D$5)+INDEX(Escenarios!$D$36:$H$36,Panel!$D$5)+INDEX(Escenarios!$D$37:$H$37,Panel!$D$5)</f>
        <v/>
      </c>
      <c r="D50" s="189">
        <f t="array" ref="D50">-(INDEX(Escenarios!$D$26:$H$26,Panel!$D$5)+Resultados!$F$39)</f>
        <v/>
      </c>
      <c r="E50" s="189">
        <f>-SUMIFS(Facturas!$K$6:$K$205,Facturas!$O$6:$O$205,$B50)</f>
        <v/>
      </c>
      <c r="F50" s="113" t="n">
        <v>-983</v>
      </c>
      <c r="G50" s="80">
        <f>$G49+$I50</f>
        <v/>
      </c>
      <c r="H50" s="189">
        <f t="array" ref="H50">-(INDEX(Escenarios!$D$13:$H$13,Panel!$D$5)+INDEX(Escenarios!$D$14:$H$14,Panel!$D$5))</f>
        <v/>
      </c>
      <c r="I50" s="80">
        <f>$C50+$D50+$E50+$F50+$H50</f>
        <v/>
      </c>
      <c r="J50" s="190">
        <f>IF($G50&lt;0,ROW()-42,"")</f>
        <v/>
      </c>
      <c r="K50" s="145" t="n"/>
      <c r="L50" s="145" t="n"/>
      <c r="M50" s="1" t="n"/>
      <c r="N50" s="1" t="n"/>
      <c r="O50" s="1" t="n"/>
      <c r="P50" s="1" t="n"/>
      <c r="Q50" s="1" t="n"/>
      <c r="R50" s="1" t="n"/>
      <c r="S50" s="1" t="n"/>
      <c r="T50" s="1" t="n"/>
      <c r="U50" s="1" t="n"/>
      <c r="V50" s="1" t="n"/>
      <c r="W50" s="1" t="n"/>
      <c r="X50" s="1" t="n"/>
      <c r="Y50" s="1" t="n"/>
      <c r="Z50" s="1" t="n"/>
    </row>
    <row r="51" ht="15" customHeight="1" s="311">
      <c r="A51" s="145" t="n"/>
      <c r="B51" s="62">
        <f>TEXT(EDATE(Panel!$H$5,8),"YYYY-MM")</f>
        <v/>
      </c>
      <c r="C51" s="61">
        <f t="array" ref="C51">INDEX(Escenarios!$D$6:$H$6,Panel!$D$5)+INDEX(Escenarios!$D$35:$H$35,Panel!$D$5)+INDEX(Escenarios!$D$36:$H$36,Panel!$D$5)+INDEX(Escenarios!$D$37:$H$37,Panel!$D$5)</f>
        <v/>
      </c>
      <c r="D51" s="189">
        <f t="array" ref="D51">-(INDEX(Escenarios!$D$26:$H$26,Panel!$D$5)+Resultados!$F$39)</f>
        <v/>
      </c>
      <c r="E51" s="189">
        <f>-SUMIFS(Facturas!$K$6:$K$205,Facturas!$O$6:$O$205,$B51)</f>
        <v/>
      </c>
      <c r="F51" s="113" t="n">
        <v>-983</v>
      </c>
      <c r="G51" s="80">
        <f>$G50+$I51</f>
        <v/>
      </c>
      <c r="H51" s="189">
        <f t="array" ref="H51">-(INDEX(Escenarios!$D$13:$H$13,Panel!$D$5)+INDEX(Escenarios!$D$14:$H$14,Panel!$D$5))</f>
        <v/>
      </c>
      <c r="I51" s="80">
        <f>$C51+$D51+$E51+$F51+$H51</f>
        <v/>
      </c>
      <c r="J51" s="190">
        <f>IF($G51&lt;0,ROW()-42,"")</f>
        <v/>
      </c>
      <c r="K51" s="145" t="n"/>
      <c r="L51" s="145" t="n"/>
      <c r="M51" s="1" t="n"/>
      <c r="N51" s="1" t="n"/>
      <c r="O51" s="1" t="n"/>
      <c r="P51" s="1" t="n"/>
      <c r="Q51" s="1" t="n"/>
      <c r="R51" s="1" t="n"/>
      <c r="S51" s="1" t="n"/>
      <c r="T51" s="1" t="n"/>
      <c r="U51" s="1" t="n"/>
      <c r="V51" s="1" t="n"/>
      <c r="W51" s="1" t="n"/>
      <c r="X51" s="1" t="n"/>
      <c r="Y51" s="1" t="n"/>
      <c r="Z51" s="1" t="n"/>
    </row>
    <row r="52" ht="15" customHeight="1" s="311">
      <c r="A52" s="145" t="n"/>
      <c r="B52" s="62">
        <f>TEXT(EDATE(Panel!$H$5,9),"YYYY-MM")</f>
        <v/>
      </c>
      <c r="C52" s="61">
        <f t="array" ref="C52">INDEX(Escenarios!$D$6:$H$6,Panel!$D$5)+INDEX(Escenarios!$D$35:$H$35,Panel!$D$5)+INDEX(Escenarios!$D$36:$H$36,Panel!$D$5)+INDEX(Escenarios!$D$37:$H$37,Panel!$D$5)</f>
        <v/>
      </c>
      <c r="D52" s="189">
        <f t="array" ref="D52">-(INDEX(Escenarios!$D$26:$H$26,Panel!$D$5)+Resultados!$F$39)</f>
        <v/>
      </c>
      <c r="E52" s="189">
        <f>-SUMIFS(Facturas!$K$6:$K$205,Facturas!$O$6:$O$205,$B52)</f>
        <v/>
      </c>
      <c r="F52" s="113" t="n">
        <v>-983</v>
      </c>
      <c r="G52" s="80">
        <f>$G51+$I52</f>
        <v/>
      </c>
      <c r="H52" s="189">
        <f t="array" ref="H52">-(INDEX(Escenarios!$D$13:$H$13,Panel!$D$5)+INDEX(Escenarios!$D$14:$H$14,Panel!$D$5))</f>
        <v/>
      </c>
      <c r="I52" s="80">
        <f>$C52+$D52+$E52+$F52+$H52</f>
        <v/>
      </c>
      <c r="J52" s="190">
        <f>IF($G52&lt;0,ROW()-42,"")</f>
        <v/>
      </c>
      <c r="K52" s="145" t="n"/>
      <c r="L52" s="145" t="n"/>
      <c r="M52" s="1" t="n"/>
      <c r="N52" s="1" t="n"/>
      <c r="O52" s="1" t="n"/>
      <c r="P52" s="1" t="n"/>
      <c r="Q52" s="1" t="n"/>
      <c r="R52" s="1" t="n"/>
      <c r="S52" s="1" t="n"/>
      <c r="T52" s="1" t="n"/>
      <c r="U52" s="1" t="n"/>
      <c r="V52" s="1" t="n"/>
      <c r="W52" s="1" t="n"/>
      <c r="X52" s="1" t="n"/>
      <c r="Y52" s="1" t="n"/>
      <c r="Z52" s="1" t="n"/>
    </row>
    <row r="53" ht="15" customHeight="1" s="311">
      <c r="A53" s="145" t="n"/>
      <c r="B53" s="62">
        <f>TEXT(EDATE(Panel!$H$5,10),"YYYY-MM")</f>
        <v/>
      </c>
      <c r="C53" s="61">
        <f t="array" ref="C53">INDEX(Escenarios!$D$6:$H$6,Panel!$D$5)+INDEX(Escenarios!$D$35:$H$35,Panel!$D$5)+INDEX(Escenarios!$D$36:$H$36,Panel!$D$5)+INDEX(Escenarios!$D$37:$H$37,Panel!$D$5)</f>
        <v/>
      </c>
      <c r="D53" s="189">
        <f t="array" ref="D53">-(INDEX(Escenarios!$D$26:$H$26,Panel!$D$5)+Resultados!$F$39)</f>
        <v/>
      </c>
      <c r="E53" s="189">
        <f>-SUMIFS(Facturas!$K$6:$K$205,Facturas!$O$6:$O$205,$B53)</f>
        <v/>
      </c>
      <c r="F53" s="113" t="n">
        <v>-983</v>
      </c>
      <c r="G53" s="80">
        <f>$G52+$I53</f>
        <v/>
      </c>
      <c r="H53" s="189">
        <f t="array" ref="H53">-(INDEX(Escenarios!$D$13:$H$13,Panel!$D$5)+INDEX(Escenarios!$D$14:$H$14,Panel!$D$5))</f>
        <v/>
      </c>
      <c r="I53" s="80">
        <f>$C53+$D53+$E53+$F53+$H53</f>
        <v/>
      </c>
      <c r="J53" s="190">
        <f>IF($G53&lt;0,ROW()-42,"")</f>
        <v/>
      </c>
      <c r="K53" s="145" t="n"/>
      <c r="L53" s="145" t="n"/>
      <c r="M53" s="1" t="n"/>
      <c r="N53" s="1" t="n"/>
      <c r="O53" s="1" t="n"/>
      <c r="P53" s="1" t="n"/>
      <c r="Q53" s="1" t="n"/>
      <c r="R53" s="1" t="n"/>
      <c r="S53" s="1" t="n"/>
      <c r="T53" s="1" t="n"/>
      <c r="U53" s="1" t="n"/>
      <c r="V53" s="1" t="n"/>
      <c r="W53" s="1" t="n"/>
      <c r="X53" s="1" t="n"/>
      <c r="Y53" s="1" t="n"/>
      <c r="Z53" s="1" t="n"/>
    </row>
    <row r="54" ht="15" customHeight="1" s="311">
      <c r="A54" s="145" t="n"/>
      <c r="B54" s="62">
        <f>TEXT(EDATE(Panel!$H$5,11),"YYYY-MM")</f>
        <v/>
      </c>
      <c r="C54" s="61">
        <f t="array" ref="C54">INDEX(Escenarios!$D$6:$H$6,Panel!$D$5)+INDEX(Escenarios!$D$35:$H$35,Panel!$D$5)+INDEX(Escenarios!$D$36:$H$36,Panel!$D$5)+INDEX(Escenarios!$D$37:$H$37,Panel!$D$5)</f>
        <v/>
      </c>
      <c r="D54" s="189">
        <f t="array" ref="D54">-(INDEX(Escenarios!$D$26:$H$26,Panel!$D$5)+Resultados!$F$39)</f>
        <v/>
      </c>
      <c r="E54" s="189">
        <f>-SUMIFS(Facturas!$K$6:$K$205,Facturas!$O$6:$O$205,$B54)</f>
        <v/>
      </c>
      <c r="F54" s="113" t="n">
        <v>-983</v>
      </c>
      <c r="G54" s="80">
        <f>$G53+$I54</f>
        <v/>
      </c>
      <c r="H54" s="189">
        <f t="array" ref="H54">-(INDEX(Escenarios!$D$13:$H$13,Panel!$D$5)+INDEX(Escenarios!$D$14:$H$14,Panel!$D$5))</f>
        <v/>
      </c>
      <c r="I54" s="80">
        <f>$C54+$D54+$E54+$F54+$H54</f>
        <v/>
      </c>
      <c r="J54" s="190">
        <f>IF($G54&lt;0,ROW()-42,"")</f>
        <v/>
      </c>
      <c r="K54" s="145" t="n"/>
      <c r="L54" s="145" t="n"/>
      <c r="M54" s="1" t="n"/>
      <c r="N54" s="1" t="n"/>
      <c r="O54" s="1" t="n"/>
      <c r="P54" s="1" t="n"/>
      <c r="Q54" s="1" t="n"/>
      <c r="R54" s="1" t="n"/>
      <c r="S54" s="1" t="n"/>
      <c r="T54" s="1" t="n"/>
      <c r="U54" s="1" t="n"/>
      <c r="V54" s="1" t="n"/>
      <c r="W54" s="1" t="n"/>
      <c r="X54" s="1" t="n"/>
      <c r="Y54" s="1" t="n"/>
      <c r="Z54" s="1" t="n"/>
    </row>
    <row r="55" ht="15" customHeight="1" s="311">
      <c r="A55" s="145" t="n"/>
      <c r="B55" s="38" t="inlineStr">
        <is>
          <t>TOTAL 12 MESES</t>
        </is>
      </c>
      <c r="C55" s="68">
        <f>SUM(C$43:C$54)</f>
        <v/>
      </c>
      <c r="D55" s="68">
        <f>SUM(D$43:D$54)</f>
        <v/>
      </c>
      <c r="E55" s="68">
        <f>SUM(E$43:E$54)</f>
        <v/>
      </c>
      <c r="F55" s="68">
        <f>SUM(F$43:F$54)</f>
        <v/>
      </c>
      <c r="G55" s="39" t="n"/>
      <c r="H55" s="68">
        <f>SUM(H$43:H$54)</f>
        <v/>
      </c>
      <c r="I55" s="68">
        <f>SUM(I$43:I$54)</f>
        <v/>
      </c>
      <c r="J55" s="145" t="n"/>
      <c r="K55" s="145" t="n"/>
      <c r="L55" s="145" t="n"/>
      <c r="M55" s="1" t="n"/>
      <c r="N55" s="1" t="n"/>
      <c r="O55" s="1" t="n"/>
      <c r="P55" s="1" t="n"/>
      <c r="Q55" s="1" t="n"/>
      <c r="R55" s="1" t="n"/>
      <c r="S55" s="1" t="n"/>
      <c r="T55" s="1" t="n"/>
      <c r="U55" s="1" t="n"/>
      <c r="V55" s="1" t="n"/>
      <c r="W55" s="1" t="n"/>
      <c r="X55" s="1" t="n"/>
      <c r="Y55" s="1" t="n"/>
      <c r="Z55" s="1" t="n"/>
    </row>
    <row r="56" ht="48" customHeight="1" s="311">
      <c r="A56" s="145" t="n"/>
      <c r="B56" s="145" t="n"/>
      <c r="C56" s="145" t="n"/>
      <c r="D56" s="145" t="n"/>
      <c r="E56" s="145" t="n"/>
      <c r="F56" s="145" t="n"/>
      <c r="G56" s="20" t="inlineStr">
        <is>
          <t>Columna técnica para localizar el primer mes en negativo sin fórmulas matriciales.</t>
        </is>
      </c>
      <c r="K56" s="145" t="n"/>
      <c r="L56" s="145" t="n"/>
      <c r="M56" s="1" t="n"/>
      <c r="N56" s="1" t="n"/>
      <c r="O56" s="1" t="n"/>
      <c r="P56" s="1" t="n"/>
      <c r="Q56" s="1" t="n"/>
      <c r="R56" s="1" t="n"/>
      <c r="S56" s="1" t="n"/>
      <c r="T56" s="1" t="n"/>
      <c r="U56" s="1" t="n"/>
      <c r="V56" s="1" t="n"/>
      <c r="W56" s="1" t="n"/>
      <c r="X56" s="1" t="n"/>
      <c r="Y56" s="1" t="n"/>
      <c r="Z56" s="1" t="n"/>
    </row>
    <row r="57" ht="15" customHeight="1" s="311">
      <c r="A57" s="145" t="n"/>
      <c r="B57" s="23" t="inlineStr">
        <is>
          <t>Saldo mínimo de los 12 meses</t>
        </is>
      </c>
      <c r="C57" s="80">
        <f>MIN($G$43:$G$54)</f>
        <v/>
      </c>
      <c r="D57" s="145" t="n"/>
      <c r="E57" s="145" t="n"/>
      <c r="F57" s="145" t="n"/>
      <c r="G57" s="145" t="n"/>
      <c r="H57" s="145" t="n"/>
      <c r="I57" s="145" t="n"/>
      <c r="J57" s="145" t="n"/>
      <c r="K57" s="145" t="n"/>
      <c r="L57" s="145" t="n"/>
      <c r="M57" s="1" t="n"/>
      <c r="N57" s="1" t="n"/>
      <c r="O57" s="1" t="n"/>
      <c r="P57" s="1" t="n"/>
      <c r="Q57" s="1" t="n"/>
      <c r="R57" s="1" t="n"/>
      <c r="S57" s="1" t="n"/>
      <c r="T57" s="1" t="n"/>
      <c r="U57" s="1" t="n"/>
      <c r="V57" s="1" t="n"/>
      <c r="W57" s="1" t="n"/>
      <c r="X57" s="1" t="n"/>
      <c r="Y57" s="1" t="n"/>
      <c r="Z57" s="1" t="n"/>
    </row>
    <row r="58" ht="15" customHeight="1" s="311">
      <c r="A58" s="145" t="n"/>
      <c r="B58" s="23" t="inlineStr">
        <is>
          <t>Primer mes en negativo</t>
        </is>
      </c>
      <c r="C58" s="62">
        <f t="array" ref="C58">IFERROR(INDEX($B$43:$B$54,MIN($J$43:$J$54)),"Ninguno")</f>
        <v/>
      </c>
      <c r="D58" s="145" t="n"/>
      <c r="E58" s="145" t="n"/>
      <c r="F58" s="145" t="n"/>
      <c r="G58" s="145" t="n"/>
      <c r="H58" s="145" t="n"/>
      <c r="I58" s="145" t="n"/>
      <c r="J58" s="145" t="n"/>
      <c r="K58" s="145" t="n"/>
      <c r="L58" s="145" t="n"/>
      <c r="M58" s="1" t="n"/>
      <c r="N58" s="1" t="n"/>
      <c r="O58" s="1" t="n"/>
      <c r="P58" s="1" t="n"/>
      <c r="Q58" s="1" t="n"/>
      <c r="R58" s="1" t="n"/>
      <c r="S58" s="1" t="n"/>
      <c r="T58" s="1" t="n"/>
      <c r="U58" s="1" t="n"/>
      <c r="V58" s="1" t="n"/>
      <c r="W58" s="1" t="n"/>
      <c r="X58" s="1" t="n"/>
      <c r="Y58" s="1" t="n"/>
      <c r="Z58" s="1" t="n"/>
    </row>
    <row r="59" ht="15" customHeight="1" s="311">
      <c r="A59" s="145" t="n"/>
      <c r="B59" s="23" t="inlineStr">
        <is>
          <t>Diagnóstico</t>
        </is>
      </c>
      <c r="C59" s="394">
        <f>IF($C$57&gt;=0,"✅ La caja aguanta los 12 meses","🔴 Te quedas sin caja: el agujero mayor es de "&amp;TEXT(-$C$57,"#,##0.00")&amp;" €")</f>
        <v/>
      </c>
      <c r="D59" s="313" t="n"/>
      <c r="E59" s="313" t="n"/>
      <c r="F59" s="313" t="n"/>
      <c r="G59" s="145" t="n"/>
      <c r="H59" s="145" t="n"/>
      <c r="I59" s="145" t="n"/>
      <c r="J59" s="145" t="n"/>
      <c r="K59" s="145" t="n"/>
      <c r="L59" s="145" t="n"/>
      <c r="M59" s="1" t="n"/>
      <c r="N59" s="1" t="n"/>
      <c r="O59" s="1" t="n"/>
      <c r="P59" s="1" t="n"/>
      <c r="Q59" s="1" t="n"/>
      <c r="R59" s="1" t="n"/>
      <c r="S59" s="1" t="n"/>
      <c r="T59" s="1" t="n"/>
      <c r="U59" s="1" t="n"/>
      <c r="V59" s="1" t="n"/>
      <c r="W59" s="1" t="n"/>
      <c r="X59" s="1" t="n"/>
      <c r="Y59" s="1" t="n"/>
      <c r="Z59" s="1" t="n"/>
    </row>
    <row r="60" ht="15.75" customHeight="1" s="311">
      <c r="A60" s="145" t="n"/>
      <c r="B60" s="145" t="n"/>
      <c r="C60" s="145" t="n"/>
      <c r="D60" s="145" t="n"/>
      <c r="E60" s="145" t="n"/>
      <c r="F60" s="145" t="n"/>
      <c r="G60" s="145" t="n"/>
      <c r="H60" s="145" t="n"/>
      <c r="I60" s="145" t="n"/>
      <c r="J60" s="145" t="n"/>
      <c r="K60" s="145" t="n"/>
      <c r="L60" s="145" t="n"/>
      <c r="M60" s="1" t="n"/>
      <c r="N60" s="1" t="n"/>
      <c r="O60" s="1" t="n"/>
      <c r="P60" s="1" t="n"/>
      <c r="Q60" s="1" t="n"/>
      <c r="R60" s="1" t="n"/>
      <c r="S60" s="1" t="n"/>
      <c r="T60" s="1" t="n"/>
      <c r="U60" s="1" t="n"/>
      <c r="V60" s="1" t="n"/>
      <c r="W60" s="1" t="n"/>
      <c r="X60" s="1" t="n"/>
      <c r="Y60" s="1" t="n"/>
      <c r="Z60" s="1" t="n"/>
    </row>
    <row r="61" ht="43.5" customHeight="1" s="311">
      <c r="A61" s="145" t="n"/>
      <c r="B61" s="20" t="inlineStr">
        <is>
          <t>Cómo se evita contar dos veces: los gastos personales y los intereses van en la columna C; las facturas que YA has dado de alta salen de la hoja Facturas; los recibos del hogar que todavía no has registrado (983 €/mes: hipoteca 431 + alimentación 345 + telefonía 90 + agua 45 + luz 42 + comunidad 30) van en su propia columna, a cero en julio y agosto porque esos meses ya están cubiertos por facturas reales. Según registres facturas, baja ese −983.</t>
        </is>
      </c>
      <c r="G61" s="145" t="n"/>
      <c r="H61" s="145" t="n"/>
      <c r="I61" s="145" t="n"/>
      <c r="J61" s="145" t="n"/>
      <c r="K61" s="145" t="n"/>
      <c r="L61" s="145" t="n"/>
      <c r="M61" s="1" t="n"/>
      <c r="N61" s="1" t="n"/>
      <c r="O61" s="1" t="n"/>
      <c r="P61" s="1" t="n"/>
      <c r="Q61" s="1" t="n"/>
      <c r="R61" s="1" t="n"/>
      <c r="S61" s="1" t="n"/>
      <c r="T61" s="1" t="n"/>
      <c r="U61" s="1" t="n"/>
      <c r="V61" s="1" t="n"/>
      <c r="W61" s="1" t="n"/>
      <c r="X61" s="1" t="n"/>
      <c r="Y61" s="1" t="n"/>
      <c r="Z61" s="1" t="n"/>
    </row>
    <row r="62" ht="32.25" customHeight="1" s="311">
      <c r="A62" s="145" t="n"/>
      <c r="B62" s="20" t="inlineStr">
        <is>
          <t>El primer mes incluye además todo lo vencido con anterioridad: los atrasos hay que pagarlos alguna vez y es más honesto verlos al principio.</t>
        </is>
      </c>
      <c r="G62" s="145" t="n"/>
      <c r="H62" s="145" t="n"/>
      <c r="I62" s="145" t="n"/>
      <c r="J62" s="145" t="n"/>
      <c r="K62" s="145" t="n"/>
      <c r="L62" s="145" t="n"/>
      <c r="M62" s="1" t="n"/>
      <c r="N62" s="1" t="n"/>
      <c r="O62" s="1" t="n"/>
      <c r="P62" s="1" t="n"/>
      <c r="Q62" s="1" t="n"/>
      <c r="R62" s="1" t="n"/>
      <c r="S62" s="1" t="n"/>
      <c r="T62" s="1" t="n"/>
      <c r="U62" s="1" t="n"/>
      <c r="V62" s="1" t="n"/>
      <c r="W62" s="1" t="n"/>
      <c r="X62" s="1" t="n"/>
      <c r="Y62" s="1" t="n"/>
      <c r="Z62" s="1" t="n"/>
    </row>
    <row r="63" ht="15.75" customHeight="1" s="311">
      <c r="A63" s="145" t="n"/>
      <c r="B63" s="145" t="n"/>
      <c r="C63" s="145" t="n"/>
      <c r="D63" s="145" t="n"/>
      <c r="E63" s="145" t="n"/>
      <c r="F63" s="145" t="n"/>
      <c r="G63" s="145" t="n"/>
      <c r="H63" s="145" t="n"/>
      <c r="I63" s="145" t="n"/>
      <c r="J63" s="145" t="n"/>
      <c r="K63" s="145" t="n"/>
      <c r="L63" s="145" t="n"/>
      <c r="M63" s="1" t="n"/>
      <c r="N63" s="1" t="n"/>
      <c r="O63" s="1" t="n"/>
      <c r="P63" s="1" t="n"/>
      <c r="Q63" s="1" t="n"/>
      <c r="R63" s="1" t="n"/>
      <c r="S63" s="1" t="n"/>
      <c r="T63" s="1" t="n"/>
      <c r="U63" s="1" t="n"/>
      <c r="V63" s="1" t="n"/>
      <c r="W63" s="1" t="n"/>
      <c r="X63" s="1" t="n"/>
      <c r="Y63" s="1" t="n"/>
      <c r="Z63" s="1" t="n"/>
    </row>
    <row r="64" ht="15.75" customHeight="1" s="311">
      <c r="A64" s="145" t="n"/>
      <c r="B64" s="145" t="n"/>
      <c r="C64" s="145" t="n"/>
      <c r="D64" s="145" t="n"/>
      <c r="E64" s="145" t="n"/>
      <c r="F64" s="145" t="n"/>
      <c r="G64" s="145" t="n"/>
      <c r="H64" s="145" t="n"/>
      <c r="I64" s="145" t="n"/>
      <c r="J64" s="145" t="n"/>
      <c r="K64" s="145" t="n"/>
      <c r="L64" s="145" t="n"/>
      <c r="M64" s="1" t="n"/>
      <c r="N64" s="1" t="n"/>
      <c r="O64" s="1" t="n"/>
      <c r="P64" s="1" t="n"/>
      <c r="Q64" s="1" t="n"/>
      <c r="R64" s="1" t="n"/>
      <c r="S64" s="1" t="n"/>
      <c r="T64" s="1" t="n"/>
      <c r="U64" s="1" t="n"/>
      <c r="V64" s="1" t="n"/>
      <c r="W64" s="1" t="n"/>
      <c r="X64" s="1" t="n"/>
      <c r="Y64" s="1" t="n"/>
      <c r="Z64" s="1" t="n"/>
    </row>
    <row r="65" ht="15.75" customHeight="1" s="311">
      <c r="A65" s="145" t="n"/>
      <c r="B65" s="145" t="n"/>
      <c r="C65" s="145" t="n"/>
      <c r="D65" s="145" t="n"/>
      <c r="E65" s="145" t="n"/>
      <c r="F65" s="145" t="n"/>
      <c r="G65" s="145" t="n"/>
      <c r="H65" s="145" t="n"/>
      <c r="I65" s="145" t="n"/>
      <c r="J65" s="145" t="n"/>
      <c r="K65" s="145" t="n"/>
      <c r="L65" s="145" t="n"/>
      <c r="M65" s="1" t="n"/>
      <c r="N65" s="1" t="n"/>
      <c r="O65" s="1" t="n"/>
      <c r="P65" s="1" t="n"/>
      <c r="Q65" s="1" t="n"/>
      <c r="R65" s="1" t="n"/>
      <c r="S65" s="1" t="n"/>
      <c r="T65" s="1" t="n"/>
      <c r="U65" s="1" t="n"/>
      <c r="V65" s="1" t="n"/>
      <c r="W65" s="1" t="n"/>
      <c r="X65" s="1" t="n"/>
      <c r="Y65" s="1" t="n"/>
      <c r="Z65" s="1" t="n"/>
    </row>
    <row r="66" ht="15.75" customHeight="1" s="311">
      <c r="A66" s="145" t="n"/>
      <c r="B66" s="145" t="n"/>
      <c r="C66" s="145" t="n"/>
      <c r="D66" s="145" t="n"/>
      <c r="E66" s="145" t="n"/>
      <c r="F66" s="145" t="n"/>
      <c r="G66" s="145" t="n"/>
      <c r="H66" s="145" t="n"/>
      <c r="I66" s="145" t="n"/>
      <c r="J66" s="145" t="n"/>
      <c r="K66" s="145" t="n"/>
      <c r="L66" s="145" t="n"/>
      <c r="M66" s="1" t="n"/>
      <c r="N66" s="1" t="n"/>
      <c r="O66" s="1" t="n"/>
      <c r="P66" s="1" t="n"/>
      <c r="Q66" s="1" t="n"/>
      <c r="R66" s="1" t="n"/>
      <c r="S66" s="1" t="n"/>
      <c r="T66" s="1" t="n"/>
      <c r="U66" s="1" t="n"/>
      <c r="V66" s="1" t="n"/>
      <c r="W66" s="1" t="n"/>
      <c r="X66" s="1" t="n"/>
      <c r="Y66" s="1" t="n"/>
      <c r="Z66" s="1" t="n"/>
    </row>
    <row r="67" ht="15.75" customHeight="1" s="311">
      <c r="A67" s="145" t="n"/>
      <c r="B67" s="145" t="n"/>
      <c r="C67" s="145" t="n"/>
      <c r="D67" s="145" t="n"/>
      <c r="E67" s="145" t="n"/>
      <c r="F67" s="145" t="n"/>
      <c r="G67" s="145" t="n"/>
      <c r="H67" s="145" t="n"/>
      <c r="I67" s="145" t="n"/>
      <c r="J67" s="145" t="n"/>
      <c r="K67" s="145" t="n"/>
      <c r="L67" s="145" t="n"/>
      <c r="M67" s="1" t="n"/>
      <c r="N67" s="1" t="n"/>
      <c r="O67" s="1" t="n"/>
      <c r="P67" s="1" t="n"/>
      <c r="Q67" s="1" t="n"/>
      <c r="R67" s="1" t="n"/>
      <c r="S67" s="1" t="n"/>
      <c r="T67" s="1" t="n"/>
      <c r="U67" s="1" t="n"/>
      <c r="V67" s="1" t="n"/>
      <c r="W67" s="1" t="n"/>
      <c r="X67" s="1" t="n"/>
      <c r="Y67" s="1" t="n"/>
      <c r="Z67" s="1" t="n"/>
    </row>
    <row r="68" ht="15.75" customHeight="1" s="311">
      <c r="A68" s="145" t="n"/>
      <c r="B68" s="145" t="n"/>
      <c r="C68" s="145" t="n"/>
      <c r="D68" s="145" t="n"/>
      <c r="E68" s="145" t="n"/>
      <c r="F68" s="145" t="n"/>
      <c r="G68" s="145" t="n"/>
      <c r="H68" s="145" t="n"/>
      <c r="I68" s="145" t="n"/>
      <c r="J68" s="145" t="n"/>
      <c r="K68" s="145" t="n"/>
      <c r="L68" s="145" t="n"/>
      <c r="M68" s="1" t="n"/>
      <c r="N68" s="1" t="n"/>
      <c r="O68" s="1" t="n"/>
      <c r="P68" s="1" t="n"/>
      <c r="Q68" s="1" t="n"/>
      <c r="R68" s="1" t="n"/>
      <c r="S68" s="1" t="n"/>
      <c r="T68" s="1" t="n"/>
      <c r="U68" s="1" t="n"/>
      <c r="V68" s="1" t="n"/>
      <c r="W68" s="1" t="n"/>
      <c r="X68" s="1" t="n"/>
      <c r="Y68" s="1" t="n"/>
      <c r="Z68" s="1" t="n"/>
    </row>
    <row r="69" ht="15.75" customHeight="1" s="311">
      <c r="A69" s="145" t="n"/>
      <c r="B69" s="145" t="n"/>
      <c r="C69" s="145" t="n"/>
      <c r="D69" s="145" t="n"/>
      <c r="E69" s="145" t="n"/>
      <c r="F69" s="145" t="n"/>
      <c r="G69" s="145" t="n"/>
      <c r="H69" s="145" t="n"/>
      <c r="I69" s="145" t="n"/>
      <c r="J69" s="145" t="n"/>
      <c r="K69" s="145" t="n"/>
      <c r="L69" s="145" t="n"/>
      <c r="M69" s="1" t="n"/>
      <c r="N69" s="1" t="n"/>
      <c r="O69" s="1" t="n"/>
      <c r="P69" s="1" t="n"/>
      <c r="Q69" s="1" t="n"/>
      <c r="R69" s="1" t="n"/>
      <c r="S69" s="1" t="n"/>
      <c r="T69" s="1" t="n"/>
      <c r="U69" s="1" t="n"/>
      <c r="V69" s="1" t="n"/>
      <c r="W69" s="1" t="n"/>
      <c r="X69" s="1" t="n"/>
      <c r="Y69" s="1" t="n"/>
      <c r="Z69" s="1" t="n"/>
    </row>
    <row r="70" ht="15.75" customHeight="1" s="311">
      <c r="A70" s="145" t="n"/>
      <c r="B70" s="145" t="n"/>
      <c r="C70" s="145" t="n"/>
      <c r="D70" s="145" t="n"/>
      <c r="E70" s="145" t="n"/>
      <c r="F70" s="145" t="n"/>
      <c r="G70" s="145" t="n"/>
      <c r="H70" s="145" t="n"/>
      <c r="I70" s="145" t="n"/>
      <c r="J70" s="145" t="n"/>
      <c r="K70" s="145" t="n"/>
      <c r="L70" s="145" t="n"/>
      <c r="M70" s="1" t="n"/>
      <c r="N70" s="1" t="n"/>
      <c r="O70" s="1" t="n"/>
      <c r="P70" s="1" t="n"/>
      <c r="Q70" s="1" t="n"/>
      <c r="R70" s="1" t="n"/>
      <c r="S70" s="1" t="n"/>
      <c r="T70" s="1" t="n"/>
      <c r="U70" s="1" t="n"/>
      <c r="V70" s="1" t="n"/>
      <c r="W70" s="1" t="n"/>
      <c r="X70" s="1" t="n"/>
      <c r="Y70" s="1" t="n"/>
      <c r="Z70" s="1" t="n"/>
    </row>
    <row r="71" ht="15.75" customHeight="1" s="311">
      <c r="A71" s="145" t="n"/>
      <c r="B71" s="145" t="n"/>
      <c r="C71" s="145" t="n"/>
      <c r="D71" s="145" t="n"/>
      <c r="E71" s="145" t="n"/>
      <c r="F71" s="145" t="n"/>
      <c r="G71" s="145" t="n"/>
      <c r="H71" s="145" t="n"/>
      <c r="I71" s="145" t="n"/>
      <c r="J71" s="145" t="n"/>
      <c r="K71" s="145" t="n"/>
      <c r="L71" s="145" t="n"/>
      <c r="M71" s="1" t="n"/>
      <c r="N71" s="1" t="n"/>
      <c r="O71" s="1" t="n"/>
      <c r="P71" s="1" t="n"/>
      <c r="Q71" s="1" t="n"/>
      <c r="R71" s="1" t="n"/>
      <c r="S71" s="1" t="n"/>
      <c r="T71" s="1" t="n"/>
      <c r="U71" s="1" t="n"/>
      <c r="V71" s="1" t="n"/>
      <c r="W71" s="1" t="n"/>
      <c r="X71" s="1" t="n"/>
      <c r="Y71" s="1" t="n"/>
      <c r="Z71" s="1" t="n"/>
    </row>
    <row r="72" ht="15.75" customHeight="1" s="311">
      <c r="A72" s="145" t="n"/>
      <c r="B72" s="145" t="n"/>
      <c r="C72" s="145" t="n"/>
      <c r="D72" s="145" t="n"/>
      <c r="E72" s="145" t="n"/>
      <c r="F72" s="145" t="n"/>
      <c r="G72" s="145" t="n"/>
      <c r="H72" s="145" t="n"/>
      <c r="I72" s="145" t="n"/>
      <c r="J72" s="145" t="n"/>
      <c r="K72" s="145" t="n"/>
      <c r="L72" s="145" t="n"/>
      <c r="M72" s="1" t="n"/>
      <c r="N72" s="1" t="n"/>
      <c r="O72" s="1" t="n"/>
      <c r="P72" s="1" t="n"/>
      <c r="Q72" s="1" t="n"/>
      <c r="R72" s="1" t="n"/>
      <c r="S72" s="1" t="n"/>
      <c r="T72" s="1" t="n"/>
      <c r="U72" s="1" t="n"/>
      <c r="V72" s="1" t="n"/>
      <c r="W72" s="1" t="n"/>
      <c r="X72" s="1" t="n"/>
      <c r="Y72" s="1" t="n"/>
      <c r="Z72" s="1" t="n"/>
    </row>
    <row r="73" ht="15.75" customHeight="1" s="311">
      <c r="A73" s="145" t="n"/>
      <c r="B73" s="145" t="n"/>
      <c r="C73" s="145" t="n"/>
      <c r="D73" s="145" t="n"/>
      <c r="E73" s="145" t="n"/>
      <c r="F73" s="145" t="n"/>
      <c r="G73" s="145" t="n"/>
      <c r="H73" s="145" t="n"/>
      <c r="I73" s="145" t="n"/>
      <c r="J73" s="145" t="n"/>
      <c r="K73" s="145" t="n"/>
      <c r="L73" s="145" t="n"/>
      <c r="M73" s="1" t="n"/>
      <c r="N73" s="1" t="n"/>
      <c r="O73" s="1" t="n"/>
      <c r="P73" s="1" t="n"/>
      <c r="Q73" s="1" t="n"/>
      <c r="R73" s="1" t="n"/>
      <c r="S73" s="1" t="n"/>
      <c r="T73" s="1" t="n"/>
      <c r="U73" s="1" t="n"/>
      <c r="V73" s="1" t="n"/>
      <c r="W73" s="1" t="n"/>
      <c r="X73" s="1" t="n"/>
      <c r="Y73" s="1" t="n"/>
      <c r="Z73" s="1" t="n"/>
    </row>
    <row r="74" ht="15.75" customHeight="1" s="311">
      <c r="A74" s="145" t="n"/>
      <c r="B74" s="145" t="n"/>
      <c r="C74" s="145" t="n"/>
      <c r="D74" s="145" t="n"/>
      <c r="E74" s="145" t="n"/>
      <c r="F74" s="145" t="n"/>
      <c r="G74" s="145" t="n"/>
      <c r="H74" s="145" t="n"/>
      <c r="I74" s="145" t="n"/>
      <c r="J74" s="145" t="n"/>
      <c r="K74" s="145" t="n"/>
      <c r="L74" s="145" t="n"/>
      <c r="M74" s="1" t="n"/>
      <c r="N74" s="1" t="n"/>
      <c r="O74" s="1" t="n"/>
      <c r="P74" s="1" t="n"/>
      <c r="Q74" s="1" t="n"/>
      <c r="R74" s="1" t="n"/>
      <c r="S74" s="1" t="n"/>
      <c r="T74" s="1" t="n"/>
      <c r="U74" s="1" t="n"/>
      <c r="V74" s="1" t="n"/>
      <c r="W74" s="1" t="n"/>
      <c r="X74" s="1" t="n"/>
      <c r="Y74" s="1" t="n"/>
      <c r="Z74" s="1" t="n"/>
    </row>
    <row r="75" ht="15.75" customHeight="1" s="311">
      <c r="A75" s="145" t="n"/>
      <c r="B75" s="145" t="n"/>
      <c r="C75" s="145" t="n"/>
      <c r="D75" s="145" t="n"/>
      <c r="E75" s="145" t="n"/>
      <c r="F75" s="145" t="n"/>
      <c r="G75" s="145" t="n"/>
      <c r="H75" s="145" t="n"/>
      <c r="I75" s="145" t="n"/>
      <c r="J75" s="145" t="n"/>
      <c r="K75" s="145" t="n"/>
      <c r="L75" s="145" t="n"/>
      <c r="M75" s="1" t="n"/>
      <c r="N75" s="1" t="n"/>
      <c r="O75" s="1" t="n"/>
      <c r="P75" s="1" t="n"/>
      <c r="Q75" s="1" t="n"/>
      <c r="R75" s="1" t="n"/>
      <c r="S75" s="1" t="n"/>
      <c r="T75" s="1" t="n"/>
      <c r="U75" s="1" t="n"/>
      <c r="V75" s="1" t="n"/>
      <c r="W75" s="1" t="n"/>
      <c r="X75" s="1" t="n"/>
      <c r="Y75" s="1" t="n"/>
      <c r="Z75" s="1" t="n"/>
    </row>
    <row r="76" ht="15.75" customHeight="1" s="311">
      <c r="A76" s="145" t="n"/>
      <c r="B76" s="145" t="n"/>
      <c r="C76" s="145" t="n"/>
      <c r="D76" s="145" t="n"/>
      <c r="E76" s="145" t="n"/>
      <c r="F76" s="145" t="n"/>
      <c r="G76" s="145" t="n"/>
      <c r="H76" s="145" t="n"/>
      <c r="I76" s="145" t="n"/>
      <c r="J76" s="145" t="n"/>
      <c r="K76" s="145" t="n"/>
      <c r="L76" s="145" t="n"/>
      <c r="M76" s="1" t="n"/>
      <c r="N76" s="1" t="n"/>
      <c r="O76" s="1" t="n"/>
      <c r="P76" s="1" t="n"/>
      <c r="Q76" s="1" t="n"/>
      <c r="R76" s="1" t="n"/>
      <c r="S76" s="1" t="n"/>
      <c r="T76" s="1" t="n"/>
      <c r="U76" s="1" t="n"/>
      <c r="V76" s="1" t="n"/>
      <c r="W76" s="1" t="n"/>
      <c r="X76" s="1" t="n"/>
      <c r="Y76" s="1" t="n"/>
      <c r="Z76" s="1" t="n"/>
    </row>
    <row r="77" ht="15.75" customHeight="1" s="311">
      <c r="A77" s="145" t="n"/>
      <c r="B77" s="145" t="n"/>
      <c r="C77" s="145" t="n"/>
      <c r="D77" s="145" t="n"/>
      <c r="E77" s="145" t="n"/>
      <c r="F77" s="145" t="n"/>
      <c r="G77" s="145" t="n"/>
      <c r="H77" s="145" t="n"/>
      <c r="I77" s="145" t="n"/>
      <c r="J77" s="145" t="n"/>
      <c r="K77" s="145" t="n"/>
      <c r="L77" s="145" t="n"/>
      <c r="M77" s="1" t="n"/>
      <c r="N77" s="1" t="n"/>
      <c r="O77" s="1" t="n"/>
      <c r="P77" s="1" t="n"/>
      <c r="Q77" s="1" t="n"/>
      <c r="R77" s="1" t="n"/>
      <c r="S77" s="1" t="n"/>
      <c r="T77" s="1" t="n"/>
      <c r="U77" s="1" t="n"/>
      <c r="V77" s="1" t="n"/>
      <c r="W77" s="1" t="n"/>
      <c r="X77" s="1" t="n"/>
      <c r="Y77" s="1" t="n"/>
      <c r="Z77" s="1" t="n"/>
    </row>
    <row r="78" ht="15.75" customHeight="1" s="311">
      <c r="A78" s="145" t="n"/>
      <c r="B78" s="145" t="n"/>
      <c r="C78" s="145" t="n"/>
      <c r="D78" s="145" t="n"/>
      <c r="E78" s="145" t="n"/>
      <c r="F78" s="145" t="n"/>
      <c r="G78" s="145" t="n"/>
      <c r="H78" s="145" t="n"/>
      <c r="I78" s="145" t="n"/>
      <c r="J78" s="145" t="n"/>
      <c r="K78" s="145" t="n"/>
      <c r="L78" s="145" t="n"/>
      <c r="M78" s="1" t="n"/>
      <c r="N78" s="1" t="n"/>
      <c r="O78" s="1" t="n"/>
      <c r="P78" s="1" t="n"/>
      <c r="Q78" s="1" t="n"/>
      <c r="R78" s="1" t="n"/>
      <c r="S78" s="1" t="n"/>
      <c r="T78" s="1" t="n"/>
      <c r="U78" s="1" t="n"/>
      <c r="V78" s="1" t="n"/>
      <c r="W78" s="1" t="n"/>
      <c r="X78" s="1" t="n"/>
      <c r="Y78" s="1" t="n"/>
      <c r="Z78" s="1" t="n"/>
    </row>
    <row r="79" ht="15.75" customHeight="1" s="311">
      <c r="A79" s="145" t="n"/>
      <c r="B79" s="145" t="n"/>
      <c r="C79" s="145" t="n"/>
      <c r="D79" s="145" t="n"/>
      <c r="E79" s="145" t="n"/>
      <c r="F79" s="145" t="n"/>
      <c r="G79" s="145" t="n"/>
      <c r="H79" s="145" t="n"/>
      <c r="I79" s="145" t="n"/>
      <c r="J79" s="145" t="n"/>
      <c r="K79" s="145" t="n"/>
      <c r="L79" s="145" t="n"/>
      <c r="M79" s="1" t="n"/>
      <c r="N79" s="1" t="n"/>
      <c r="O79" s="1" t="n"/>
      <c r="P79" s="1" t="n"/>
      <c r="Q79" s="1" t="n"/>
      <c r="R79" s="1" t="n"/>
      <c r="S79" s="1" t="n"/>
      <c r="T79" s="1" t="n"/>
      <c r="U79" s="1" t="n"/>
      <c r="V79" s="1" t="n"/>
      <c r="W79" s="1" t="n"/>
      <c r="X79" s="1" t="n"/>
      <c r="Y79" s="1" t="n"/>
      <c r="Z79" s="1" t="n"/>
    </row>
    <row r="80" ht="15.75" customHeight="1" s="311">
      <c r="A80" s="145" t="n"/>
      <c r="B80" s="145" t="n"/>
      <c r="C80" s="145" t="n"/>
      <c r="D80" s="145" t="n"/>
      <c r="E80" s="145" t="n"/>
      <c r="F80" s="145" t="n"/>
      <c r="G80" s="145" t="n"/>
      <c r="H80" s="145" t="n"/>
      <c r="I80" s="145" t="n"/>
      <c r="J80" s="145" t="n"/>
      <c r="K80" s="145" t="n"/>
      <c r="L80" s="145" t="n"/>
      <c r="M80" s="1" t="n"/>
      <c r="N80" s="1" t="n"/>
      <c r="O80" s="1" t="n"/>
      <c r="P80" s="1" t="n"/>
      <c r="Q80" s="1" t="n"/>
      <c r="R80" s="1" t="n"/>
      <c r="S80" s="1" t="n"/>
      <c r="T80" s="1" t="n"/>
      <c r="U80" s="1" t="n"/>
      <c r="V80" s="1" t="n"/>
      <c r="W80" s="1" t="n"/>
      <c r="X80" s="1" t="n"/>
      <c r="Y80" s="1" t="n"/>
      <c r="Z80" s="1" t="n"/>
    </row>
    <row r="81" ht="15.75" customHeight="1" s="311">
      <c r="A81" s="145" t="n"/>
      <c r="B81" s="145" t="n"/>
      <c r="C81" s="145" t="n"/>
      <c r="D81" s="145" t="n"/>
      <c r="E81" s="145" t="n"/>
      <c r="F81" s="145" t="n"/>
      <c r="G81" s="145" t="n"/>
      <c r="H81" s="145" t="n"/>
      <c r="I81" s="145" t="n"/>
      <c r="J81" s="145" t="n"/>
      <c r="K81" s="145" t="n"/>
      <c r="L81" s="145" t="n"/>
      <c r="M81" s="1" t="n"/>
      <c r="N81" s="1" t="n"/>
      <c r="O81" s="1" t="n"/>
      <c r="P81" s="1" t="n"/>
      <c r="Q81" s="1" t="n"/>
      <c r="R81" s="1" t="n"/>
      <c r="S81" s="1" t="n"/>
      <c r="T81" s="1" t="n"/>
      <c r="U81" s="1" t="n"/>
      <c r="V81" s="1" t="n"/>
      <c r="W81" s="1" t="n"/>
      <c r="X81" s="1" t="n"/>
      <c r="Y81" s="1" t="n"/>
      <c r="Z81" s="1" t="n"/>
    </row>
    <row r="82" ht="15.75" customHeight="1" s="311">
      <c r="A82" s="145" t="n"/>
      <c r="B82" s="145" t="n"/>
      <c r="C82" s="145" t="n"/>
      <c r="D82" s="145" t="n"/>
      <c r="E82" s="145" t="n"/>
      <c r="F82" s="145" t="n"/>
      <c r="G82" s="145" t="n"/>
      <c r="H82" s="145" t="n"/>
      <c r="I82" s="145" t="n"/>
      <c r="J82" s="145" t="n"/>
      <c r="K82" s="145" t="n"/>
      <c r="L82" s="145" t="n"/>
      <c r="M82" s="1" t="n"/>
      <c r="N82" s="1" t="n"/>
      <c r="O82" s="1" t="n"/>
      <c r="P82" s="1" t="n"/>
      <c r="Q82" s="1" t="n"/>
      <c r="R82" s="1" t="n"/>
      <c r="S82" s="1" t="n"/>
      <c r="T82" s="1" t="n"/>
      <c r="U82" s="1" t="n"/>
      <c r="V82" s="1" t="n"/>
      <c r="W82" s="1" t="n"/>
      <c r="X82" s="1" t="n"/>
      <c r="Y82" s="1" t="n"/>
      <c r="Z82" s="1" t="n"/>
    </row>
    <row r="83" ht="15.75" customHeight="1" s="311">
      <c r="A83" s="145" t="n"/>
      <c r="B83" s="145" t="n"/>
      <c r="C83" s="145" t="n"/>
      <c r="D83" s="145" t="n"/>
      <c r="E83" s="145" t="n"/>
      <c r="F83" s="145" t="n"/>
      <c r="G83" s="145" t="n"/>
      <c r="H83" s="145" t="n"/>
      <c r="I83" s="145" t="n"/>
      <c r="J83" s="145" t="n"/>
      <c r="K83" s="145" t="n"/>
      <c r="L83" s="145" t="n"/>
      <c r="M83" s="1" t="n"/>
      <c r="N83" s="1" t="n"/>
      <c r="O83" s="1" t="n"/>
      <c r="P83" s="1" t="n"/>
      <c r="Q83" s="1" t="n"/>
      <c r="R83" s="1" t="n"/>
      <c r="S83" s="1" t="n"/>
      <c r="T83" s="1" t="n"/>
      <c r="U83" s="1" t="n"/>
      <c r="V83" s="1" t="n"/>
      <c r="W83" s="1" t="n"/>
      <c r="X83" s="1" t="n"/>
      <c r="Y83" s="1" t="n"/>
      <c r="Z83" s="1" t="n"/>
    </row>
    <row r="84" ht="15.75" customHeight="1" s="311">
      <c r="A84" s="145" t="n"/>
      <c r="B84" s="145" t="n"/>
      <c r="C84" s="145" t="n"/>
      <c r="D84" s="145" t="n"/>
      <c r="E84" s="145" t="n"/>
      <c r="F84" s="145" t="n"/>
      <c r="G84" s="145" t="n"/>
      <c r="H84" s="145" t="n"/>
      <c r="I84" s="145" t="n"/>
      <c r="J84" s="145" t="n"/>
      <c r="K84" s="145" t="n"/>
      <c r="L84" s="145" t="n"/>
      <c r="M84" s="1" t="n"/>
      <c r="N84" s="1" t="n"/>
      <c r="O84" s="1" t="n"/>
      <c r="P84" s="1" t="n"/>
      <c r="Q84" s="1" t="n"/>
      <c r="R84" s="1" t="n"/>
      <c r="S84" s="1" t="n"/>
      <c r="T84" s="1" t="n"/>
      <c r="U84" s="1" t="n"/>
      <c r="V84" s="1" t="n"/>
      <c r="W84" s="1" t="n"/>
      <c r="X84" s="1" t="n"/>
      <c r="Y84" s="1" t="n"/>
      <c r="Z84" s="1" t="n"/>
    </row>
    <row r="85" ht="15.75" customHeight="1" s="311">
      <c r="A85" s="145" t="n"/>
      <c r="B85" s="145" t="n"/>
      <c r="C85" s="145" t="n"/>
      <c r="D85" s="145" t="n"/>
      <c r="E85" s="145" t="n"/>
      <c r="F85" s="145" t="n"/>
      <c r="G85" s="145" t="n"/>
      <c r="H85" s="145" t="n"/>
      <c r="I85" s="145" t="n"/>
      <c r="J85" s="145" t="n"/>
      <c r="K85" s="145" t="n"/>
      <c r="L85" s="145" t="n"/>
      <c r="M85" s="1" t="n"/>
      <c r="N85" s="1" t="n"/>
      <c r="O85" s="1" t="n"/>
      <c r="P85" s="1" t="n"/>
      <c r="Q85" s="1" t="n"/>
      <c r="R85" s="1" t="n"/>
      <c r="S85" s="1" t="n"/>
      <c r="T85" s="1" t="n"/>
      <c r="U85" s="1" t="n"/>
      <c r="V85" s="1" t="n"/>
      <c r="W85" s="1" t="n"/>
      <c r="X85" s="1" t="n"/>
      <c r="Y85" s="1" t="n"/>
      <c r="Z85" s="1" t="n"/>
    </row>
    <row r="86" ht="15.75" customHeight="1" s="311">
      <c r="A86" s="145" t="n"/>
      <c r="B86" s="145" t="n"/>
      <c r="C86" s="145" t="n"/>
      <c r="D86" s="145" t="n"/>
      <c r="E86" s="145" t="n"/>
      <c r="F86" s="145" t="n"/>
      <c r="G86" s="145" t="n"/>
      <c r="H86" s="145" t="n"/>
      <c r="I86" s="145" t="n"/>
      <c r="J86" s="145" t="n"/>
      <c r="K86" s="145" t="n"/>
      <c r="L86" s="145" t="n"/>
      <c r="M86" s="1" t="n"/>
      <c r="N86" s="1" t="n"/>
      <c r="O86" s="1" t="n"/>
      <c r="P86" s="1" t="n"/>
      <c r="Q86" s="1" t="n"/>
      <c r="R86" s="1" t="n"/>
      <c r="S86" s="1" t="n"/>
      <c r="T86" s="1" t="n"/>
      <c r="U86" s="1" t="n"/>
      <c r="V86" s="1" t="n"/>
      <c r="W86" s="1" t="n"/>
      <c r="X86" s="1" t="n"/>
      <c r="Y86" s="1" t="n"/>
      <c r="Z86" s="1" t="n"/>
    </row>
    <row r="87" ht="15.75" customHeight="1" s="311">
      <c r="A87" s="145" t="n"/>
      <c r="B87" s="145" t="n"/>
      <c r="C87" s="145" t="n"/>
      <c r="D87" s="145" t="n"/>
      <c r="E87" s="145" t="n"/>
      <c r="F87" s="145" t="n"/>
      <c r="G87" s="145" t="n"/>
      <c r="H87" s="145" t="n"/>
      <c r="I87" s="145" t="n"/>
      <c r="J87" s="145" t="n"/>
      <c r="K87" s="145" t="n"/>
      <c r="L87" s="145" t="n"/>
      <c r="M87" s="1" t="n"/>
      <c r="N87" s="1" t="n"/>
      <c r="O87" s="1" t="n"/>
      <c r="P87" s="1" t="n"/>
      <c r="Q87" s="1" t="n"/>
      <c r="R87" s="1" t="n"/>
      <c r="S87" s="1" t="n"/>
      <c r="T87" s="1" t="n"/>
      <c r="U87" s="1" t="n"/>
      <c r="V87" s="1" t="n"/>
      <c r="W87" s="1" t="n"/>
      <c r="X87" s="1" t="n"/>
      <c r="Y87" s="1" t="n"/>
      <c r="Z87" s="1" t="n"/>
    </row>
    <row r="88" ht="15.75" customHeight="1" s="311">
      <c r="A88" s="145" t="n"/>
      <c r="B88" s="145" t="n"/>
      <c r="C88" s="145" t="n"/>
      <c r="D88" s="145" t="n"/>
      <c r="E88" s="145" t="n"/>
      <c r="F88" s="145" t="n"/>
      <c r="G88" s="145" t="n"/>
      <c r="H88" s="145" t="n"/>
      <c r="I88" s="145" t="n"/>
      <c r="J88" s="145" t="n"/>
      <c r="K88" s="145" t="n"/>
      <c r="L88" s="145" t="n"/>
      <c r="M88" s="1" t="n"/>
      <c r="N88" s="1" t="n"/>
      <c r="O88" s="1" t="n"/>
      <c r="P88" s="1" t="n"/>
      <c r="Q88" s="1" t="n"/>
      <c r="R88" s="1" t="n"/>
      <c r="S88" s="1" t="n"/>
      <c r="T88" s="1" t="n"/>
      <c r="U88" s="1" t="n"/>
      <c r="V88" s="1" t="n"/>
      <c r="W88" s="1" t="n"/>
      <c r="X88" s="1" t="n"/>
      <c r="Y88" s="1" t="n"/>
      <c r="Z88" s="1" t="n"/>
    </row>
    <row r="89" ht="15.75" customHeight="1" s="311">
      <c r="A89" s="145" t="n"/>
      <c r="B89" s="145" t="n"/>
      <c r="C89" s="145" t="n"/>
      <c r="D89" s="145" t="n"/>
      <c r="E89" s="145" t="n"/>
      <c r="F89" s="145" t="n"/>
      <c r="G89" s="145" t="n"/>
      <c r="H89" s="145" t="n"/>
      <c r="I89" s="145" t="n"/>
      <c r="J89" s="145" t="n"/>
      <c r="K89" s="145" t="n"/>
      <c r="L89" s="145" t="n"/>
      <c r="M89" s="1" t="n"/>
      <c r="N89" s="1" t="n"/>
      <c r="O89" s="1" t="n"/>
      <c r="P89" s="1" t="n"/>
      <c r="Q89" s="1" t="n"/>
      <c r="R89" s="1" t="n"/>
      <c r="S89" s="1" t="n"/>
      <c r="T89" s="1" t="n"/>
      <c r="U89" s="1" t="n"/>
      <c r="V89" s="1" t="n"/>
      <c r="W89" s="1" t="n"/>
      <c r="X89" s="1" t="n"/>
      <c r="Y89" s="1" t="n"/>
      <c r="Z89" s="1" t="n"/>
    </row>
    <row r="90" ht="15.75" customHeight="1" s="311">
      <c r="A90" s="145" t="n"/>
      <c r="B90" s="145" t="n"/>
      <c r="C90" s="145" t="n"/>
      <c r="D90" s="145" t="n"/>
      <c r="E90" s="145" t="n"/>
      <c r="F90" s="145" t="n"/>
      <c r="G90" s="145" t="n"/>
      <c r="H90" s="145" t="n"/>
      <c r="I90" s="145" t="n"/>
      <c r="J90" s="145" t="n"/>
      <c r="K90" s="145" t="n"/>
      <c r="L90" s="145" t="n"/>
      <c r="M90" s="1" t="n"/>
      <c r="N90" s="1" t="n"/>
      <c r="O90" s="1" t="n"/>
      <c r="P90" s="1" t="n"/>
      <c r="Q90" s="1" t="n"/>
      <c r="R90" s="1" t="n"/>
      <c r="S90" s="1" t="n"/>
      <c r="T90" s="1" t="n"/>
      <c r="U90" s="1" t="n"/>
      <c r="V90" s="1" t="n"/>
      <c r="W90" s="1" t="n"/>
      <c r="X90" s="1" t="n"/>
      <c r="Y90" s="1" t="n"/>
      <c r="Z90" s="1" t="n"/>
    </row>
    <row r="91" ht="15.75" customHeight="1" s="311">
      <c r="A91" s="145" t="n"/>
      <c r="B91" s="145" t="n"/>
      <c r="C91" s="145" t="n"/>
      <c r="D91" s="145" t="n"/>
      <c r="E91" s="145" t="n"/>
      <c r="F91" s="145" t="n"/>
      <c r="G91" s="145" t="n"/>
      <c r="H91" s="145" t="n"/>
      <c r="I91" s="145" t="n"/>
      <c r="J91" s="145" t="n"/>
      <c r="K91" s="145" t="n"/>
      <c r="L91" s="145" t="n"/>
      <c r="M91" s="1" t="n"/>
      <c r="N91" s="1" t="n"/>
      <c r="O91" s="1" t="n"/>
      <c r="P91" s="1" t="n"/>
      <c r="Q91" s="1" t="n"/>
      <c r="R91" s="1" t="n"/>
      <c r="S91" s="1" t="n"/>
      <c r="T91" s="1" t="n"/>
      <c r="U91" s="1" t="n"/>
      <c r="V91" s="1" t="n"/>
      <c r="W91" s="1" t="n"/>
      <c r="X91" s="1" t="n"/>
      <c r="Y91" s="1" t="n"/>
      <c r="Z91" s="1" t="n"/>
    </row>
    <row r="92" ht="15.75" customHeight="1" s="311">
      <c r="A92" s="145" t="n"/>
      <c r="B92" s="145" t="n"/>
      <c r="C92" s="145" t="n"/>
      <c r="D92" s="145" t="n"/>
      <c r="E92" s="145" t="n"/>
      <c r="F92" s="145" t="n"/>
      <c r="G92" s="145" t="n"/>
      <c r="H92" s="145" t="n"/>
      <c r="I92" s="145" t="n"/>
      <c r="J92" s="145" t="n"/>
      <c r="K92" s="145" t="n"/>
      <c r="L92" s="145" t="n"/>
      <c r="M92" s="1" t="n"/>
      <c r="N92" s="1" t="n"/>
      <c r="O92" s="1" t="n"/>
      <c r="P92" s="1" t="n"/>
      <c r="Q92" s="1" t="n"/>
      <c r="R92" s="1" t="n"/>
      <c r="S92" s="1" t="n"/>
      <c r="T92" s="1" t="n"/>
      <c r="U92" s="1" t="n"/>
      <c r="V92" s="1" t="n"/>
      <c r="W92" s="1" t="n"/>
      <c r="X92" s="1" t="n"/>
      <c r="Y92" s="1" t="n"/>
      <c r="Z92" s="1" t="n"/>
    </row>
    <row r="93" ht="15.75" customHeight="1" s="311">
      <c r="A93" s="145" t="n"/>
      <c r="B93" s="145" t="n"/>
      <c r="C93" s="145" t="n"/>
      <c r="D93" s="145" t="n"/>
      <c r="E93" s="145" t="n"/>
      <c r="F93" s="145" t="n"/>
      <c r="G93" s="145" t="n"/>
      <c r="H93" s="145" t="n"/>
      <c r="I93" s="145" t="n"/>
      <c r="J93" s="145" t="n"/>
      <c r="K93" s="145" t="n"/>
      <c r="L93" s="145" t="n"/>
      <c r="M93" s="1" t="n"/>
      <c r="N93" s="1" t="n"/>
      <c r="O93" s="1" t="n"/>
      <c r="P93" s="1" t="n"/>
      <c r="Q93" s="1" t="n"/>
      <c r="R93" s="1" t="n"/>
      <c r="S93" s="1" t="n"/>
      <c r="T93" s="1" t="n"/>
      <c r="U93" s="1" t="n"/>
      <c r="V93" s="1" t="n"/>
      <c r="W93" s="1" t="n"/>
      <c r="X93" s="1" t="n"/>
      <c r="Y93" s="1" t="n"/>
      <c r="Z93" s="1" t="n"/>
    </row>
    <row r="94" ht="15.75" customHeight="1" s="311">
      <c r="A94" s="145" t="n"/>
      <c r="B94" s="145" t="n"/>
      <c r="C94" s="145" t="n"/>
      <c r="D94" s="145" t="n"/>
      <c r="E94" s="145" t="n"/>
      <c r="F94" s="145" t="n"/>
      <c r="G94" s="145" t="n"/>
      <c r="H94" s="145" t="n"/>
      <c r="I94" s="145" t="n"/>
      <c r="J94" s="145" t="n"/>
      <c r="K94" s="145" t="n"/>
      <c r="L94" s="145" t="n"/>
      <c r="M94" s="1" t="n"/>
      <c r="N94" s="1" t="n"/>
      <c r="O94" s="1" t="n"/>
      <c r="P94" s="1" t="n"/>
      <c r="Q94" s="1" t="n"/>
      <c r="R94" s="1" t="n"/>
      <c r="S94" s="1" t="n"/>
      <c r="T94" s="1" t="n"/>
      <c r="U94" s="1" t="n"/>
      <c r="V94" s="1" t="n"/>
      <c r="W94" s="1" t="n"/>
      <c r="X94" s="1" t="n"/>
      <c r="Y94" s="1" t="n"/>
      <c r="Z94" s="1" t="n"/>
    </row>
    <row r="95" ht="15.75" customHeight="1" s="311">
      <c r="A95" s="145" t="n"/>
      <c r="B95" s="145" t="n"/>
      <c r="C95" s="145" t="n"/>
      <c r="D95" s="145" t="n"/>
      <c r="E95" s="145" t="n"/>
      <c r="F95" s="145" t="n"/>
      <c r="G95" s="145" t="n"/>
      <c r="H95" s="145" t="n"/>
      <c r="I95" s="145" t="n"/>
      <c r="J95" s="145" t="n"/>
      <c r="K95" s="145" t="n"/>
      <c r="L95" s="145" t="n"/>
      <c r="M95" s="1" t="n"/>
      <c r="N95" s="1" t="n"/>
      <c r="O95" s="1" t="n"/>
      <c r="P95" s="1" t="n"/>
      <c r="Q95" s="1" t="n"/>
      <c r="R95" s="1" t="n"/>
      <c r="S95" s="1" t="n"/>
      <c r="T95" s="1" t="n"/>
      <c r="U95" s="1" t="n"/>
      <c r="V95" s="1" t="n"/>
      <c r="W95" s="1" t="n"/>
      <c r="X95" s="1" t="n"/>
      <c r="Y95" s="1" t="n"/>
      <c r="Z95" s="1" t="n"/>
    </row>
    <row r="96" ht="15.75" customHeight="1" s="311">
      <c r="A96" s="145" t="n"/>
      <c r="B96" s="145" t="n"/>
      <c r="C96" s="145" t="n"/>
      <c r="D96" s="145" t="n"/>
      <c r="E96" s="145" t="n"/>
      <c r="F96" s="145" t="n"/>
      <c r="G96" s="145" t="n"/>
      <c r="H96" s="145" t="n"/>
      <c r="I96" s="145" t="n"/>
      <c r="J96" s="145" t="n"/>
      <c r="K96" s="145" t="n"/>
      <c r="L96" s="145" t="n"/>
      <c r="M96" s="1" t="n"/>
      <c r="N96" s="1" t="n"/>
      <c r="O96" s="1" t="n"/>
      <c r="P96" s="1" t="n"/>
      <c r="Q96" s="1" t="n"/>
      <c r="R96" s="1" t="n"/>
      <c r="S96" s="1" t="n"/>
      <c r="T96" s="1" t="n"/>
      <c r="U96" s="1" t="n"/>
      <c r="V96" s="1" t="n"/>
      <c r="W96" s="1" t="n"/>
      <c r="X96" s="1" t="n"/>
      <c r="Y96" s="1" t="n"/>
      <c r="Z96" s="1" t="n"/>
    </row>
    <row r="97" ht="15.75" customHeight="1" s="311">
      <c r="A97" s="145" t="n"/>
      <c r="B97" s="145" t="n"/>
      <c r="C97" s="145" t="n"/>
      <c r="D97" s="145" t="n"/>
      <c r="E97" s="145" t="n"/>
      <c r="F97" s="145" t="n"/>
      <c r="G97" s="145" t="n"/>
      <c r="H97" s="145" t="n"/>
      <c r="I97" s="145" t="n"/>
      <c r="J97" s="145" t="n"/>
      <c r="K97" s="145" t="n"/>
      <c r="L97" s="145" t="n"/>
      <c r="M97" s="1" t="n"/>
      <c r="N97" s="1" t="n"/>
      <c r="O97" s="1" t="n"/>
      <c r="P97" s="1" t="n"/>
      <c r="Q97" s="1" t="n"/>
      <c r="R97" s="1" t="n"/>
      <c r="S97" s="1" t="n"/>
      <c r="T97" s="1" t="n"/>
      <c r="U97" s="1" t="n"/>
      <c r="V97" s="1" t="n"/>
      <c r="W97" s="1" t="n"/>
      <c r="X97" s="1" t="n"/>
      <c r="Y97" s="1" t="n"/>
      <c r="Z97" s="1" t="n"/>
    </row>
    <row r="98" ht="15.75" customHeight="1" s="311">
      <c r="A98" s="145" t="n"/>
      <c r="B98" s="145" t="n"/>
      <c r="C98" s="145" t="n"/>
      <c r="D98" s="145" t="n"/>
      <c r="E98" s="145" t="n"/>
      <c r="F98" s="145" t="n"/>
      <c r="G98" s="145" t="n"/>
      <c r="H98" s="145" t="n"/>
      <c r="I98" s="145" t="n"/>
      <c r="J98" s="145" t="n"/>
      <c r="K98" s="145" t="n"/>
      <c r="L98" s="145" t="n"/>
      <c r="M98" s="1" t="n"/>
      <c r="N98" s="1" t="n"/>
      <c r="O98" s="1" t="n"/>
      <c r="P98" s="1" t="n"/>
      <c r="Q98" s="1" t="n"/>
      <c r="R98" s="1" t="n"/>
      <c r="S98" s="1" t="n"/>
      <c r="T98" s="1" t="n"/>
      <c r="U98" s="1" t="n"/>
      <c r="V98" s="1" t="n"/>
      <c r="W98" s="1" t="n"/>
      <c r="X98" s="1" t="n"/>
      <c r="Y98" s="1" t="n"/>
      <c r="Z98" s="1" t="n"/>
    </row>
    <row r="99" ht="15.75" customHeight="1" s="311">
      <c r="A99" s="145" t="n"/>
      <c r="B99" s="145" t="n"/>
      <c r="C99" s="145" t="n"/>
      <c r="D99" s="145" t="n"/>
      <c r="E99" s="145" t="n"/>
      <c r="F99" s="145" t="n"/>
      <c r="G99" s="145" t="n"/>
      <c r="H99" s="145" t="n"/>
      <c r="I99" s="145" t="n"/>
      <c r="J99" s="145" t="n"/>
      <c r="K99" s="145" t="n"/>
      <c r="L99" s="145" t="n"/>
      <c r="M99" s="1" t="n"/>
      <c r="N99" s="1" t="n"/>
      <c r="O99" s="1" t="n"/>
      <c r="P99" s="1" t="n"/>
      <c r="Q99" s="1" t="n"/>
      <c r="R99" s="1" t="n"/>
      <c r="S99" s="1" t="n"/>
      <c r="T99" s="1" t="n"/>
      <c r="U99" s="1" t="n"/>
      <c r="V99" s="1" t="n"/>
      <c r="W99" s="1" t="n"/>
      <c r="X99" s="1" t="n"/>
      <c r="Y99" s="1" t="n"/>
      <c r="Z99" s="1" t="n"/>
    </row>
    <row r="100" ht="15.75" customHeight="1" s="311">
      <c r="A100" s="145" t="n"/>
      <c r="B100" s="145" t="n"/>
      <c r="C100" s="145" t="n"/>
      <c r="D100" s="145" t="n"/>
      <c r="E100" s="145" t="n"/>
      <c r="F100" s="145" t="n"/>
      <c r="G100" s="145" t="n"/>
      <c r="H100" s="145" t="n"/>
      <c r="I100" s="145" t="n"/>
      <c r="J100" s="145" t="n"/>
      <c r="K100" s="145" t="n"/>
      <c r="L100" s="145" t="n"/>
      <c r="M100" s="1" t="n"/>
      <c r="N100" s="1" t="n"/>
      <c r="O100" s="1" t="n"/>
      <c r="P100" s="1" t="n"/>
      <c r="Q100" s="1" t="n"/>
      <c r="R100" s="1" t="n"/>
      <c r="S100" s="1" t="n"/>
      <c r="T100" s="1" t="n"/>
      <c r="U100" s="1" t="n"/>
      <c r="V100" s="1" t="n"/>
      <c r="W100" s="1" t="n"/>
      <c r="X100" s="1" t="n"/>
      <c r="Y100" s="1" t="n"/>
      <c r="Z100" s="1" t="n"/>
    </row>
    <row r="101" ht="15.75" customHeight="1" s="311">
      <c r="A101" s="145" t="n"/>
      <c r="B101" s="145" t="n"/>
      <c r="C101" s="145" t="n"/>
      <c r="D101" s="145" t="n"/>
      <c r="E101" s="145" t="n"/>
      <c r="F101" s="145" t="n"/>
      <c r="G101" s="145" t="n"/>
      <c r="H101" s="145" t="n"/>
      <c r="I101" s="145" t="n"/>
      <c r="J101" s="145" t="n"/>
      <c r="K101" s="145" t="n"/>
      <c r="L101" s="145" t="n"/>
      <c r="M101" s="1" t="n"/>
      <c r="N101" s="1" t="n"/>
      <c r="O101" s="1" t="n"/>
      <c r="P101" s="1" t="n"/>
      <c r="Q101" s="1" t="n"/>
      <c r="R101" s="1" t="n"/>
      <c r="S101" s="1" t="n"/>
      <c r="T101" s="1" t="n"/>
      <c r="U101" s="1" t="n"/>
      <c r="V101" s="1" t="n"/>
      <c r="W101" s="1" t="n"/>
      <c r="X101" s="1" t="n"/>
      <c r="Y101" s="1" t="n"/>
      <c r="Z101" s="1" t="n"/>
    </row>
    <row r="102" ht="15.75" customHeight="1" s="311">
      <c r="A102" s="145" t="n"/>
      <c r="B102" s="145" t="n"/>
      <c r="C102" s="145" t="n"/>
      <c r="D102" s="145" t="n"/>
      <c r="E102" s="145" t="n"/>
      <c r="F102" s="145" t="n"/>
      <c r="G102" s="145" t="n"/>
      <c r="H102" s="145" t="n"/>
      <c r="I102" s="145" t="n"/>
      <c r="J102" s="145" t="n"/>
      <c r="K102" s="145" t="n"/>
      <c r="L102" s="145" t="n"/>
      <c r="M102" s="1" t="n"/>
      <c r="N102" s="1" t="n"/>
      <c r="O102" s="1" t="n"/>
      <c r="P102" s="1" t="n"/>
      <c r="Q102" s="1" t="n"/>
      <c r="R102" s="1" t="n"/>
      <c r="S102" s="1" t="n"/>
      <c r="T102" s="1" t="n"/>
      <c r="U102" s="1" t="n"/>
      <c r="V102" s="1" t="n"/>
      <c r="W102" s="1" t="n"/>
      <c r="X102" s="1" t="n"/>
      <c r="Y102" s="1" t="n"/>
      <c r="Z102" s="1" t="n"/>
    </row>
    <row r="103" ht="15.75" customHeight="1" s="311">
      <c r="A103" s="145" t="n"/>
      <c r="B103" s="145" t="n"/>
      <c r="C103" s="145" t="n"/>
      <c r="D103" s="145" t="n"/>
      <c r="E103" s="145" t="n"/>
      <c r="F103" s="145" t="n"/>
      <c r="G103" s="145" t="n"/>
      <c r="H103" s="145" t="n"/>
      <c r="I103" s="145" t="n"/>
      <c r="J103" s="145" t="n"/>
      <c r="K103" s="145" t="n"/>
      <c r="L103" s="145" t="n"/>
      <c r="M103" s="1" t="n"/>
      <c r="N103" s="1" t="n"/>
      <c r="O103" s="1" t="n"/>
      <c r="P103" s="1" t="n"/>
      <c r="Q103" s="1" t="n"/>
      <c r="R103" s="1" t="n"/>
      <c r="S103" s="1" t="n"/>
      <c r="T103" s="1" t="n"/>
      <c r="U103" s="1" t="n"/>
      <c r="V103" s="1" t="n"/>
      <c r="W103" s="1" t="n"/>
      <c r="X103" s="1" t="n"/>
      <c r="Y103" s="1" t="n"/>
      <c r="Z103" s="1" t="n"/>
    </row>
    <row r="104" ht="15.75" customHeight="1" s="311">
      <c r="A104" s="145" t="n"/>
      <c r="B104" s="145" t="n"/>
      <c r="C104" s="145" t="n"/>
      <c r="D104" s="145" t="n"/>
      <c r="E104" s="145" t="n"/>
      <c r="F104" s="145" t="n"/>
      <c r="G104" s="145" t="n"/>
      <c r="H104" s="145" t="n"/>
      <c r="I104" s="145" t="n"/>
      <c r="J104" s="145" t="n"/>
      <c r="K104" s="145" t="n"/>
      <c r="L104" s="145" t="n"/>
      <c r="M104" s="1" t="n"/>
      <c r="N104" s="1" t="n"/>
      <c r="O104" s="1" t="n"/>
      <c r="P104" s="1" t="n"/>
      <c r="Q104" s="1" t="n"/>
      <c r="R104" s="1" t="n"/>
      <c r="S104" s="1" t="n"/>
      <c r="T104" s="1" t="n"/>
      <c r="U104" s="1" t="n"/>
      <c r="V104" s="1" t="n"/>
      <c r="W104" s="1" t="n"/>
      <c r="X104" s="1" t="n"/>
      <c r="Y104" s="1" t="n"/>
      <c r="Z104" s="1" t="n"/>
    </row>
    <row r="105" ht="15.75" customHeight="1" s="311">
      <c r="A105" s="145" t="n"/>
      <c r="B105" s="145" t="n"/>
      <c r="C105" s="145" t="n"/>
      <c r="D105" s="145" t="n"/>
      <c r="E105" s="145" t="n"/>
      <c r="F105" s="145" t="n"/>
      <c r="G105" s="145" t="n"/>
      <c r="H105" s="145" t="n"/>
      <c r="I105" s="145" t="n"/>
      <c r="J105" s="145" t="n"/>
      <c r="K105" s="145" t="n"/>
      <c r="L105" s="145" t="n"/>
      <c r="M105" s="1" t="n"/>
      <c r="N105" s="1" t="n"/>
      <c r="O105" s="1" t="n"/>
      <c r="P105" s="1" t="n"/>
      <c r="Q105" s="1" t="n"/>
      <c r="R105" s="1" t="n"/>
      <c r="S105" s="1" t="n"/>
      <c r="T105" s="1" t="n"/>
      <c r="U105" s="1" t="n"/>
      <c r="V105" s="1" t="n"/>
      <c r="W105" s="1" t="n"/>
      <c r="X105" s="1" t="n"/>
      <c r="Y105" s="1" t="n"/>
      <c r="Z105" s="1" t="n"/>
    </row>
    <row r="106" ht="15.75" customHeight="1" s="311">
      <c r="A106" s="145" t="n"/>
      <c r="B106" s="145" t="n"/>
      <c r="C106" s="145" t="n"/>
      <c r="D106" s="145" t="n"/>
      <c r="E106" s="145" t="n"/>
      <c r="F106" s="145" t="n"/>
      <c r="G106" s="145" t="n"/>
      <c r="H106" s="145" t="n"/>
      <c r="I106" s="145" t="n"/>
      <c r="J106" s="145" t="n"/>
      <c r="K106" s="145" t="n"/>
      <c r="L106" s="145" t="n"/>
      <c r="M106" s="1" t="n"/>
      <c r="N106" s="1" t="n"/>
      <c r="O106" s="1" t="n"/>
      <c r="P106" s="1" t="n"/>
      <c r="Q106" s="1" t="n"/>
      <c r="R106" s="1" t="n"/>
      <c r="S106" s="1" t="n"/>
      <c r="T106" s="1" t="n"/>
      <c r="U106" s="1" t="n"/>
      <c r="V106" s="1" t="n"/>
      <c r="W106" s="1" t="n"/>
      <c r="X106" s="1" t="n"/>
      <c r="Y106" s="1" t="n"/>
      <c r="Z106" s="1" t="n"/>
    </row>
    <row r="107" ht="15.75" customHeight="1" s="311">
      <c r="A107" s="145" t="n"/>
      <c r="B107" s="145" t="n"/>
      <c r="C107" s="145" t="n"/>
      <c r="D107" s="145" t="n"/>
      <c r="E107" s="145" t="n"/>
      <c r="F107" s="145" t="n"/>
      <c r="G107" s="145" t="n"/>
      <c r="H107" s="145" t="n"/>
      <c r="I107" s="145" t="n"/>
      <c r="J107" s="145" t="n"/>
      <c r="K107" s="145" t="n"/>
      <c r="L107" s="145" t="n"/>
      <c r="M107" s="1" t="n"/>
      <c r="N107" s="1" t="n"/>
      <c r="O107" s="1" t="n"/>
      <c r="P107" s="1" t="n"/>
      <c r="Q107" s="1" t="n"/>
      <c r="R107" s="1" t="n"/>
      <c r="S107" s="1" t="n"/>
      <c r="T107" s="1" t="n"/>
      <c r="U107" s="1" t="n"/>
      <c r="V107" s="1" t="n"/>
      <c r="W107" s="1" t="n"/>
      <c r="X107" s="1" t="n"/>
      <c r="Y107" s="1" t="n"/>
      <c r="Z107" s="1" t="n"/>
    </row>
    <row r="108" ht="15.75" customHeight="1" s="311">
      <c r="A108" s="145" t="n"/>
      <c r="B108" s="145" t="n"/>
      <c r="C108" s="145" t="n"/>
      <c r="D108" s="145" t="n"/>
      <c r="E108" s="145" t="n"/>
      <c r="F108" s="145" t="n"/>
      <c r="G108" s="145" t="n"/>
      <c r="H108" s="145" t="n"/>
      <c r="I108" s="145" t="n"/>
      <c r="J108" s="145" t="n"/>
      <c r="K108" s="145" t="n"/>
      <c r="L108" s="145" t="n"/>
      <c r="M108" s="1" t="n"/>
      <c r="N108" s="1" t="n"/>
      <c r="O108" s="1" t="n"/>
      <c r="P108" s="1" t="n"/>
      <c r="Q108" s="1" t="n"/>
      <c r="R108" s="1" t="n"/>
      <c r="S108" s="1" t="n"/>
      <c r="T108" s="1" t="n"/>
      <c r="U108" s="1" t="n"/>
      <c r="V108" s="1" t="n"/>
      <c r="W108" s="1" t="n"/>
      <c r="X108" s="1" t="n"/>
      <c r="Y108" s="1" t="n"/>
      <c r="Z108" s="1" t="n"/>
    </row>
    <row r="109" ht="15.75" customHeight="1" s="311">
      <c r="A109" s="145" t="n"/>
      <c r="B109" s="145" t="n"/>
      <c r="C109" s="145" t="n"/>
      <c r="D109" s="145" t="n"/>
      <c r="E109" s="145" t="n"/>
      <c r="F109" s="145" t="n"/>
      <c r="G109" s="145" t="n"/>
      <c r="H109" s="145" t="n"/>
      <c r="I109" s="145" t="n"/>
      <c r="J109" s="145" t="n"/>
      <c r="K109" s="145" t="n"/>
      <c r="L109" s="145" t="n"/>
      <c r="M109" s="1" t="n"/>
      <c r="N109" s="1" t="n"/>
      <c r="O109" s="1" t="n"/>
      <c r="P109" s="1" t="n"/>
      <c r="Q109" s="1" t="n"/>
      <c r="R109" s="1" t="n"/>
      <c r="S109" s="1" t="n"/>
      <c r="T109" s="1" t="n"/>
      <c r="U109" s="1" t="n"/>
      <c r="V109" s="1" t="n"/>
      <c r="W109" s="1" t="n"/>
      <c r="X109" s="1" t="n"/>
      <c r="Y109" s="1" t="n"/>
      <c r="Z109" s="1" t="n"/>
    </row>
    <row r="110" ht="15.75" customHeight="1" s="311">
      <c r="A110" s="145" t="n"/>
      <c r="B110" s="145" t="n"/>
      <c r="C110" s="145" t="n"/>
      <c r="D110" s="145" t="n"/>
      <c r="E110" s="145" t="n"/>
      <c r="F110" s="145" t="n"/>
      <c r="G110" s="145" t="n"/>
      <c r="H110" s="145" t="n"/>
      <c r="I110" s="145" t="n"/>
      <c r="J110" s="145" t="n"/>
      <c r="K110" s="145" t="n"/>
      <c r="L110" s="145" t="n"/>
      <c r="M110" s="1" t="n"/>
      <c r="N110" s="1" t="n"/>
      <c r="O110" s="1" t="n"/>
      <c r="P110" s="1" t="n"/>
      <c r="Q110" s="1" t="n"/>
      <c r="R110" s="1" t="n"/>
      <c r="S110" s="1" t="n"/>
      <c r="T110" s="1" t="n"/>
      <c r="U110" s="1" t="n"/>
      <c r="V110" s="1" t="n"/>
      <c r="W110" s="1" t="n"/>
      <c r="X110" s="1" t="n"/>
      <c r="Y110" s="1" t="n"/>
      <c r="Z110" s="1" t="n"/>
    </row>
    <row r="111" ht="15.75" customHeight="1" s="311">
      <c r="A111" s="145" t="n"/>
      <c r="B111" s="145" t="n"/>
      <c r="C111" s="145" t="n"/>
      <c r="D111" s="145" t="n"/>
      <c r="E111" s="145" t="n"/>
      <c r="F111" s="145" t="n"/>
      <c r="G111" s="145" t="n"/>
      <c r="H111" s="145" t="n"/>
      <c r="I111" s="145" t="n"/>
      <c r="J111" s="145" t="n"/>
      <c r="K111" s="145" t="n"/>
      <c r="L111" s="145" t="n"/>
      <c r="M111" s="1" t="n"/>
      <c r="N111" s="1" t="n"/>
      <c r="O111" s="1" t="n"/>
      <c r="P111" s="1" t="n"/>
      <c r="Q111" s="1" t="n"/>
      <c r="R111" s="1" t="n"/>
      <c r="S111" s="1" t="n"/>
      <c r="T111" s="1" t="n"/>
      <c r="U111" s="1" t="n"/>
      <c r="V111" s="1" t="n"/>
      <c r="W111" s="1" t="n"/>
      <c r="X111" s="1" t="n"/>
      <c r="Y111" s="1" t="n"/>
      <c r="Z111" s="1" t="n"/>
    </row>
    <row r="112" ht="15.75" customHeight="1" s="311">
      <c r="A112" s="145" t="n"/>
      <c r="B112" s="145" t="n"/>
      <c r="C112" s="145" t="n"/>
      <c r="D112" s="145" t="n"/>
      <c r="E112" s="145" t="n"/>
      <c r="F112" s="145" t="n"/>
      <c r="G112" s="145" t="n"/>
      <c r="H112" s="145" t="n"/>
      <c r="I112" s="145" t="n"/>
      <c r="J112" s="145" t="n"/>
      <c r="K112" s="145" t="n"/>
      <c r="L112" s="145" t="n"/>
      <c r="M112" s="1" t="n"/>
      <c r="N112" s="1" t="n"/>
      <c r="O112" s="1" t="n"/>
      <c r="P112" s="1" t="n"/>
      <c r="Q112" s="1" t="n"/>
      <c r="R112" s="1" t="n"/>
      <c r="S112" s="1" t="n"/>
      <c r="T112" s="1" t="n"/>
      <c r="U112" s="1" t="n"/>
      <c r="V112" s="1" t="n"/>
      <c r="W112" s="1" t="n"/>
      <c r="X112" s="1" t="n"/>
      <c r="Y112" s="1" t="n"/>
      <c r="Z112" s="1" t="n"/>
    </row>
    <row r="113" ht="15.75" customHeight="1" s="311">
      <c r="A113" s="145" t="n"/>
      <c r="B113" s="145" t="n"/>
      <c r="C113" s="145" t="n"/>
      <c r="D113" s="145" t="n"/>
      <c r="E113" s="145" t="n"/>
      <c r="F113" s="145" t="n"/>
      <c r="G113" s="145" t="n"/>
      <c r="H113" s="145" t="n"/>
      <c r="I113" s="145" t="n"/>
      <c r="J113" s="145" t="n"/>
      <c r="K113" s="145" t="n"/>
      <c r="L113" s="145" t="n"/>
      <c r="M113" s="1" t="n"/>
      <c r="N113" s="1" t="n"/>
      <c r="O113" s="1" t="n"/>
      <c r="P113" s="1" t="n"/>
      <c r="Q113" s="1" t="n"/>
      <c r="R113" s="1" t="n"/>
      <c r="S113" s="1" t="n"/>
      <c r="T113" s="1" t="n"/>
      <c r="U113" s="1" t="n"/>
      <c r="V113" s="1" t="n"/>
      <c r="W113" s="1" t="n"/>
      <c r="X113" s="1" t="n"/>
      <c r="Y113" s="1" t="n"/>
      <c r="Z113" s="1" t="n"/>
    </row>
    <row r="114" ht="15.75" customHeight="1" s="311">
      <c r="A114" s="145" t="n"/>
      <c r="B114" s="145" t="n"/>
      <c r="C114" s="145" t="n"/>
      <c r="D114" s="145" t="n"/>
      <c r="E114" s="145" t="n"/>
      <c r="F114" s="145" t="n"/>
      <c r="G114" s="145" t="n"/>
      <c r="H114" s="145" t="n"/>
      <c r="I114" s="145" t="n"/>
      <c r="J114" s="145" t="n"/>
      <c r="K114" s="145" t="n"/>
      <c r="L114" s="145" t="n"/>
      <c r="M114" s="1" t="n"/>
      <c r="N114" s="1" t="n"/>
      <c r="O114" s="1" t="n"/>
      <c r="P114" s="1" t="n"/>
      <c r="Q114" s="1" t="n"/>
      <c r="R114" s="1" t="n"/>
      <c r="S114" s="1" t="n"/>
      <c r="T114" s="1" t="n"/>
      <c r="U114" s="1" t="n"/>
      <c r="V114" s="1" t="n"/>
      <c r="W114" s="1" t="n"/>
      <c r="X114" s="1" t="n"/>
      <c r="Y114" s="1" t="n"/>
      <c r="Z114" s="1" t="n"/>
    </row>
    <row r="115" ht="15.75" customHeight="1" s="311">
      <c r="A115" s="145" t="n"/>
      <c r="B115" s="145" t="n"/>
      <c r="C115" s="145" t="n"/>
      <c r="D115" s="145" t="n"/>
      <c r="E115" s="145" t="n"/>
      <c r="F115" s="145" t="n"/>
      <c r="G115" s="145" t="n"/>
      <c r="H115" s="145" t="n"/>
      <c r="I115" s="145" t="n"/>
      <c r="J115" s="145" t="n"/>
      <c r="K115" s="145" t="n"/>
      <c r="L115" s="145" t="n"/>
      <c r="M115" s="1" t="n"/>
      <c r="N115" s="1" t="n"/>
      <c r="O115" s="1" t="n"/>
      <c r="P115" s="1" t="n"/>
      <c r="Q115" s="1" t="n"/>
      <c r="R115" s="1" t="n"/>
      <c r="S115" s="1" t="n"/>
      <c r="T115" s="1" t="n"/>
      <c r="U115" s="1" t="n"/>
      <c r="V115" s="1" t="n"/>
      <c r="W115" s="1" t="n"/>
      <c r="X115" s="1" t="n"/>
      <c r="Y115" s="1" t="n"/>
      <c r="Z115" s="1" t="n"/>
    </row>
    <row r="116" ht="15.75" customHeight="1" s="311">
      <c r="A116" s="145" t="n"/>
      <c r="B116" s="145" t="n"/>
      <c r="C116" s="145" t="n"/>
      <c r="D116" s="145" t="n"/>
      <c r="E116" s="145" t="n"/>
      <c r="F116" s="145" t="n"/>
      <c r="G116" s="145" t="n"/>
      <c r="H116" s="145" t="n"/>
      <c r="I116" s="145" t="n"/>
      <c r="J116" s="145" t="n"/>
      <c r="K116" s="145" t="n"/>
      <c r="L116" s="145" t="n"/>
      <c r="M116" s="1" t="n"/>
      <c r="N116" s="1" t="n"/>
      <c r="O116" s="1" t="n"/>
      <c r="P116" s="1" t="n"/>
      <c r="Q116" s="1" t="n"/>
      <c r="R116" s="1" t="n"/>
      <c r="S116" s="1" t="n"/>
      <c r="T116" s="1" t="n"/>
      <c r="U116" s="1" t="n"/>
      <c r="V116" s="1" t="n"/>
      <c r="W116" s="1" t="n"/>
      <c r="X116" s="1" t="n"/>
      <c r="Y116" s="1" t="n"/>
      <c r="Z116" s="1" t="n"/>
    </row>
    <row r="117" ht="15.75" customHeight="1" s="311">
      <c r="A117" s="145" t="n"/>
      <c r="B117" s="145" t="n"/>
      <c r="C117" s="145" t="n"/>
      <c r="D117" s="145" t="n"/>
      <c r="E117" s="145" t="n"/>
      <c r="F117" s="145" t="n"/>
      <c r="G117" s="145" t="n"/>
      <c r="H117" s="145" t="n"/>
      <c r="I117" s="145" t="n"/>
      <c r="J117" s="145" t="n"/>
      <c r="K117" s="145" t="n"/>
      <c r="L117" s="145" t="n"/>
      <c r="M117" s="1" t="n"/>
      <c r="N117" s="1" t="n"/>
      <c r="O117" s="1" t="n"/>
      <c r="P117" s="1" t="n"/>
      <c r="Q117" s="1" t="n"/>
      <c r="R117" s="1" t="n"/>
      <c r="S117" s="1" t="n"/>
      <c r="T117" s="1" t="n"/>
      <c r="U117" s="1" t="n"/>
      <c r="V117" s="1" t="n"/>
      <c r="W117" s="1" t="n"/>
      <c r="X117" s="1" t="n"/>
      <c r="Y117" s="1" t="n"/>
      <c r="Z117" s="1" t="n"/>
    </row>
    <row r="118" ht="15.75" customHeight="1" s="311">
      <c r="A118" s="145" t="n"/>
      <c r="B118" s="145" t="n"/>
      <c r="C118" s="145" t="n"/>
      <c r="D118" s="145" t="n"/>
      <c r="E118" s="145" t="n"/>
      <c r="F118" s="145" t="n"/>
      <c r="G118" s="145" t="n"/>
      <c r="H118" s="145" t="n"/>
      <c r="I118" s="145" t="n"/>
      <c r="J118" s="145" t="n"/>
      <c r="K118" s="145" t="n"/>
      <c r="L118" s="145" t="n"/>
      <c r="M118" s="1" t="n"/>
      <c r="N118" s="1" t="n"/>
      <c r="O118" s="1" t="n"/>
      <c r="P118" s="1" t="n"/>
      <c r="Q118" s="1" t="n"/>
      <c r="R118" s="1" t="n"/>
      <c r="S118" s="1" t="n"/>
      <c r="T118" s="1" t="n"/>
      <c r="U118" s="1" t="n"/>
      <c r="V118" s="1" t="n"/>
      <c r="W118" s="1" t="n"/>
      <c r="X118" s="1" t="n"/>
      <c r="Y118" s="1" t="n"/>
      <c r="Z118" s="1" t="n"/>
    </row>
    <row r="119" ht="15.75" customHeight="1" s="311">
      <c r="A119" s="145" t="n"/>
      <c r="B119" s="145" t="n"/>
      <c r="C119" s="145" t="n"/>
      <c r="D119" s="145" t="n"/>
      <c r="E119" s="145" t="n"/>
      <c r="F119" s="145" t="n"/>
      <c r="G119" s="145" t="n"/>
      <c r="H119" s="145" t="n"/>
      <c r="I119" s="145" t="n"/>
      <c r="J119" s="145" t="n"/>
      <c r="K119" s="145" t="n"/>
      <c r="L119" s="145" t="n"/>
      <c r="M119" s="1" t="n"/>
      <c r="N119" s="1" t="n"/>
      <c r="O119" s="1" t="n"/>
      <c r="P119" s="1" t="n"/>
      <c r="Q119" s="1" t="n"/>
      <c r="R119" s="1" t="n"/>
      <c r="S119" s="1" t="n"/>
      <c r="T119" s="1" t="n"/>
      <c r="U119" s="1" t="n"/>
      <c r="V119" s="1" t="n"/>
      <c r="W119" s="1" t="n"/>
      <c r="X119" s="1" t="n"/>
      <c r="Y119" s="1" t="n"/>
      <c r="Z119" s="1" t="n"/>
    </row>
    <row r="120" ht="15.75" customHeight="1" s="311">
      <c r="A120" s="145" t="n"/>
      <c r="B120" s="145" t="n"/>
      <c r="C120" s="145" t="n"/>
      <c r="D120" s="145" t="n"/>
      <c r="E120" s="145" t="n"/>
      <c r="F120" s="145" t="n"/>
      <c r="G120" s="145" t="n"/>
      <c r="H120" s="145" t="n"/>
      <c r="I120" s="145" t="n"/>
      <c r="J120" s="145" t="n"/>
      <c r="K120" s="145" t="n"/>
      <c r="L120" s="145" t="n"/>
      <c r="M120" s="1" t="n"/>
      <c r="N120" s="1" t="n"/>
      <c r="O120" s="1" t="n"/>
      <c r="P120" s="1" t="n"/>
      <c r="Q120" s="1" t="n"/>
      <c r="R120" s="1" t="n"/>
      <c r="S120" s="1" t="n"/>
      <c r="T120" s="1" t="n"/>
      <c r="U120" s="1" t="n"/>
      <c r="V120" s="1" t="n"/>
      <c r="W120" s="1" t="n"/>
      <c r="X120" s="1" t="n"/>
      <c r="Y120" s="1" t="n"/>
      <c r="Z120" s="1" t="n"/>
    </row>
    <row r="121" ht="15.75" customHeight="1" s="311">
      <c r="A121" s="145" t="n"/>
      <c r="B121" s="145" t="n"/>
      <c r="C121" s="145" t="n"/>
      <c r="D121" s="145" t="n"/>
      <c r="E121" s="145" t="n"/>
      <c r="F121" s="145" t="n"/>
      <c r="G121" s="145" t="n"/>
      <c r="H121" s="145" t="n"/>
      <c r="I121" s="145" t="n"/>
      <c r="J121" s="145" t="n"/>
      <c r="K121" s="145" t="n"/>
      <c r="L121" s="145" t="n"/>
      <c r="M121" s="1" t="n"/>
      <c r="N121" s="1" t="n"/>
      <c r="O121" s="1" t="n"/>
      <c r="P121" s="1" t="n"/>
      <c r="Q121" s="1" t="n"/>
      <c r="R121" s="1" t="n"/>
      <c r="S121" s="1" t="n"/>
      <c r="T121" s="1" t="n"/>
      <c r="U121" s="1" t="n"/>
      <c r="V121" s="1" t="n"/>
      <c r="W121" s="1" t="n"/>
      <c r="X121" s="1" t="n"/>
      <c r="Y121" s="1" t="n"/>
      <c r="Z121" s="1" t="n"/>
    </row>
    <row r="122" ht="15.75" customHeight="1" s="311">
      <c r="A122" s="145" t="n"/>
      <c r="B122" s="145" t="n"/>
      <c r="C122" s="145" t="n"/>
      <c r="D122" s="145" t="n"/>
      <c r="E122" s="145" t="n"/>
      <c r="F122" s="145" t="n"/>
      <c r="G122" s="145" t="n"/>
      <c r="H122" s="145" t="n"/>
      <c r="I122" s="145" t="n"/>
      <c r="J122" s="145" t="n"/>
      <c r="K122" s="145" t="n"/>
      <c r="L122" s="145" t="n"/>
      <c r="M122" s="1" t="n"/>
      <c r="N122" s="1" t="n"/>
      <c r="O122" s="1" t="n"/>
      <c r="P122" s="1" t="n"/>
      <c r="Q122" s="1" t="n"/>
      <c r="R122" s="1" t="n"/>
      <c r="S122" s="1" t="n"/>
      <c r="T122" s="1" t="n"/>
      <c r="U122" s="1" t="n"/>
      <c r="V122" s="1" t="n"/>
      <c r="W122" s="1" t="n"/>
      <c r="X122" s="1" t="n"/>
      <c r="Y122" s="1" t="n"/>
      <c r="Z122" s="1" t="n"/>
    </row>
    <row r="123" ht="15.75" customHeight="1" s="311">
      <c r="A123" s="145" t="n"/>
      <c r="B123" s="145" t="n"/>
      <c r="C123" s="145" t="n"/>
      <c r="D123" s="145" t="n"/>
      <c r="E123" s="145" t="n"/>
      <c r="F123" s="145" t="n"/>
      <c r="G123" s="145" t="n"/>
      <c r="H123" s="145" t="n"/>
      <c r="I123" s="145" t="n"/>
      <c r="J123" s="145" t="n"/>
      <c r="K123" s="145" t="n"/>
      <c r="L123" s="145" t="n"/>
      <c r="M123" s="1" t="n"/>
      <c r="N123" s="1" t="n"/>
      <c r="O123" s="1" t="n"/>
      <c r="P123" s="1" t="n"/>
      <c r="Q123" s="1" t="n"/>
      <c r="R123" s="1" t="n"/>
      <c r="S123" s="1" t="n"/>
      <c r="T123" s="1" t="n"/>
      <c r="U123" s="1" t="n"/>
      <c r="V123" s="1" t="n"/>
      <c r="W123" s="1" t="n"/>
      <c r="X123" s="1" t="n"/>
      <c r="Y123" s="1" t="n"/>
      <c r="Z123" s="1" t="n"/>
    </row>
    <row r="124" ht="15.75" customHeight="1" s="311">
      <c r="A124" s="145" t="n"/>
      <c r="B124" s="145" t="n"/>
      <c r="C124" s="145" t="n"/>
      <c r="D124" s="145" t="n"/>
      <c r="E124" s="145" t="n"/>
      <c r="F124" s="145" t="n"/>
      <c r="G124" s="145" t="n"/>
      <c r="H124" s="145" t="n"/>
      <c r="I124" s="145" t="n"/>
      <c r="J124" s="145" t="n"/>
      <c r="K124" s="145" t="n"/>
      <c r="L124" s="145" t="n"/>
      <c r="M124" s="1" t="n"/>
      <c r="N124" s="1" t="n"/>
      <c r="O124" s="1" t="n"/>
      <c r="P124" s="1" t="n"/>
      <c r="Q124" s="1" t="n"/>
      <c r="R124" s="1" t="n"/>
      <c r="S124" s="1" t="n"/>
      <c r="T124" s="1" t="n"/>
      <c r="U124" s="1" t="n"/>
      <c r="V124" s="1" t="n"/>
      <c r="W124" s="1" t="n"/>
      <c r="X124" s="1" t="n"/>
      <c r="Y124" s="1" t="n"/>
      <c r="Z124" s="1" t="n"/>
    </row>
    <row r="125" ht="15.75" customHeight="1" s="311">
      <c r="A125" s="145" t="n"/>
      <c r="B125" s="145" t="n"/>
      <c r="C125" s="145" t="n"/>
      <c r="D125" s="145" t="n"/>
      <c r="E125" s="145" t="n"/>
      <c r="F125" s="145" t="n"/>
      <c r="G125" s="145" t="n"/>
      <c r="H125" s="145" t="n"/>
      <c r="I125" s="145" t="n"/>
      <c r="J125" s="145" t="n"/>
      <c r="K125" s="145" t="n"/>
      <c r="L125" s="145" t="n"/>
      <c r="M125" s="1" t="n"/>
      <c r="N125" s="1" t="n"/>
      <c r="O125" s="1" t="n"/>
      <c r="P125" s="1" t="n"/>
      <c r="Q125" s="1" t="n"/>
      <c r="R125" s="1" t="n"/>
      <c r="S125" s="1" t="n"/>
      <c r="T125" s="1" t="n"/>
      <c r="U125" s="1" t="n"/>
      <c r="V125" s="1" t="n"/>
      <c r="W125" s="1" t="n"/>
      <c r="X125" s="1" t="n"/>
      <c r="Y125" s="1" t="n"/>
      <c r="Z125" s="1" t="n"/>
    </row>
    <row r="126" ht="15.75" customHeight="1" s="311">
      <c r="A126" s="145" t="n"/>
      <c r="B126" s="145" t="n"/>
      <c r="C126" s="145" t="n"/>
      <c r="D126" s="145" t="n"/>
      <c r="E126" s="145" t="n"/>
      <c r="F126" s="145" t="n"/>
      <c r="G126" s="145" t="n"/>
      <c r="H126" s="145" t="n"/>
      <c r="I126" s="145" t="n"/>
      <c r="J126" s="145" t="n"/>
      <c r="K126" s="145" t="n"/>
      <c r="L126" s="145" t="n"/>
      <c r="M126" s="1" t="n"/>
      <c r="N126" s="1" t="n"/>
      <c r="O126" s="1" t="n"/>
      <c r="P126" s="1" t="n"/>
      <c r="Q126" s="1" t="n"/>
      <c r="R126" s="1" t="n"/>
      <c r="S126" s="1" t="n"/>
      <c r="T126" s="1" t="n"/>
      <c r="U126" s="1" t="n"/>
      <c r="V126" s="1" t="n"/>
      <c r="W126" s="1" t="n"/>
      <c r="X126" s="1" t="n"/>
      <c r="Y126" s="1" t="n"/>
      <c r="Z126" s="1" t="n"/>
    </row>
    <row r="127" ht="15.75" customHeight="1" s="311">
      <c r="A127" s="145" t="n"/>
      <c r="B127" s="145" t="n"/>
      <c r="C127" s="145" t="n"/>
      <c r="D127" s="145" t="n"/>
      <c r="E127" s="145" t="n"/>
      <c r="F127" s="145" t="n"/>
      <c r="G127" s="145" t="n"/>
      <c r="H127" s="145" t="n"/>
      <c r="I127" s="145" t="n"/>
      <c r="J127" s="145" t="n"/>
      <c r="K127" s="145" t="n"/>
      <c r="L127" s="145" t="n"/>
      <c r="M127" s="1" t="n"/>
      <c r="N127" s="1" t="n"/>
      <c r="O127" s="1" t="n"/>
      <c r="P127" s="1" t="n"/>
      <c r="Q127" s="1" t="n"/>
      <c r="R127" s="1" t="n"/>
      <c r="S127" s="1" t="n"/>
      <c r="T127" s="1" t="n"/>
      <c r="U127" s="1" t="n"/>
      <c r="V127" s="1" t="n"/>
      <c r="W127" s="1" t="n"/>
      <c r="X127" s="1" t="n"/>
      <c r="Y127" s="1" t="n"/>
      <c r="Z127" s="1" t="n"/>
    </row>
    <row r="128" ht="15.75" customHeight="1" s="311">
      <c r="A128" s="145" t="n"/>
      <c r="B128" s="145" t="n"/>
      <c r="C128" s="145" t="n"/>
      <c r="D128" s="145" t="n"/>
      <c r="E128" s="145" t="n"/>
      <c r="F128" s="145" t="n"/>
      <c r="G128" s="145" t="n"/>
      <c r="H128" s="145" t="n"/>
      <c r="I128" s="145" t="n"/>
      <c r="J128" s="145" t="n"/>
      <c r="K128" s="145" t="n"/>
      <c r="L128" s="145" t="n"/>
      <c r="M128" s="1" t="n"/>
      <c r="N128" s="1" t="n"/>
      <c r="O128" s="1" t="n"/>
      <c r="P128" s="1" t="n"/>
      <c r="Q128" s="1" t="n"/>
      <c r="R128" s="1" t="n"/>
      <c r="S128" s="1" t="n"/>
      <c r="T128" s="1" t="n"/>
      <c r="U128" s="1" t="n"/>
      <c r="V128" s="1" t="n"/>
      <c r="W128" s="1" t="n"/>
      <c r="X128" s="1" t="n"/>
      <c r="Y128" s="1" t="n"/>
      <c r="Z128" s="1" t="n"/>
    </row>
    <row r="129" ht="15.75" customHeight="1" s="311">
      <c r="A129" s="145" t="n"/>
      <c r="B129" s="145" t="n"/>
      <c r="C129" s="145" t="n"/>
      <c r="D129" s="145" t="n"/>
      <c r="E129" s="145" t="n"/>
      <c r="F129" s="145" t="n"/>
      <c r="G129" s="145" t="n"/>
      <c r="H129" s="145" t="n"/>
      <c r="I129" s="145" t="n"/>
      <c r="J129" s="145" t="n"/>
      <c r="K129" s="145" t="n"/>
      <c r="L129" s="145" t="n"/>
      <c r="M129" s="1" t="n"/>
      <c r="N129" s="1" t="n"/>
      <c r="O129" s="1" t="n"/>
      <c r="P129" s="1" t="n"/>
      <c r="Q129" s="1" t="n"/>
      <c r="R129" s="1" t="n"/>
      <c r="S129" s="1" t="n"/>
      <c r="T129" s="1" t="n"/>
      <c r="U129" s="1" t="n"/>
      <c r="V129" s="1" t="n"/>
      <c r="W129" s="1" t="n"/>
      <c r="X129" s="1" t="n"/>
      <c r="Y129" s="1" t="n"/>
      <c r="Z129" s="1" t="n"/>
    </row>
    <row r="130" ht="15.75" customHeight="1" s="311">
      <c r="A130" s="145" t="n"/>
      <c r="B130" s="145" t="n"/>
      <c r="C130" s="145" t="n"/>
      <c r="D130" s="145" t="n"/>
      <c r="E130" s="145" t="n"/>
      <c r="F130" s="145" t="n"/>
      <c r="G130" s="145" t="n"/>
      <c r="H130" s="145" t="n"/>
      <c r="I130" s="145" t="n"/>
      <c r="J130" s="145" t="n"/>
      <c r="K130" s="145" t="n"/>
      <c r="L130" s="145" t="n"/>
      <c r="M130" s="1" t="n"/>
      <c r="N130" s="1" t="n"/>
      <c r="O130" s="1" t="n"/>
      <c r="P130" s="1" t="n"/>
      <c r="Q130" s="1" t="n"/>
      <c r="R130" s="1" t="n"/>
      <c r="S130" s="1" t="n"/>
      <c r="T130" s="1" t="n"/>
      <c r="U130" s="1" t="n"/>
      <c r="V130" s="1" t="n"/>
      <c r="W130" s="1" t="n"/>
      <c r="X130" s="1" t="n"/>
      <c r="Y130" s="1" t="n"/>
      <c r="Z130" s="1" t="n"/>
    </row>
    <row r="131" ht="15.75" customHeight="1" s="311">
      <c r="A131" s="145" t="n"/>
      <c r="B131" s="145" t="n"/>
      <c r="C131" s="145" t="n"/>
      <c r="D131" s="145" t="n"/>
      <c r="E131" s="145" t="n"/>
      <c r="F131" s="145" t="n"/>
      <c r="G131" s="145" t="n"/>
      <c r="H131" s="145" t="n"/>
      <c r="I131" s="145" t="n"/>
      <c r="J131" s="145" t="n"/>
      <c r="K131" s="145" t="n"/>
      <c r="L131" s="145" t="n"/>
      <c r="M131" s="1" t="n"/>
      <c r="N131" s="1" t="n"/>
      <c r="O131" s="1" t="n"/>
      <c r="P131" s="1" t="n"/>
      <c r="Q131" s="1" t="n"/>
      <c r="R131" s="1" t="n"/>
      <c r="S131" s="1" t="n"/>
      <c r="T131" s="1" t="n"/>
      <c r="U131" s="1" t="n"/>
      <c r="V131" s="1" t="n"/>
      <c r="W131" s="1" t="n"/>
      <c r="X131" s="1" t="n"/>
      <c r="Y131" s="1" t="n"/>
      <c r="Z131" s="1" t="n"/>
    </row>
    <row r="132" ht="15.75" customHeight="1" s="311">
      <c r="A132" s="145" t="n"/>
      <c r="B132" s="145" t="n"/>
      <c r="C132" s="145" t="n"/>
      <c r="D132" s="145" t="n"/>
      <c r="E132" s="145" t="n"/>
      <c r="F132" s="145" t="n"/>
      <c r="G132" s="145" t="n"/>
      <c r="H132" s="145" t="n"/>
      <c r="I132" s="145" t="n"/>
      <c r="J132" s="145" t="n"/>
      <c r="K132" s="145" t="n"/>
      <c r="L132" s="145" t="n"/>
      <c r="M132" s="1" t="n"/>
      <c r="N132" s="1" t="n"/>
      <c r="O132" s="1" t="n"/>
      <c r="P132" s="1" t="n"/>
      <c r="Q132" s="1" t="n"/>
      <c r="R132" s="1" t="n"/>
      <c r="S132" s="1" t="n"/>
      <c r="T132" s="1" t="n"/>
      <c r="U132" s="1" t="n"/>
      <c r="V132" s="1" t="n"/>
      <c r="W132" s="1" t="n"/>
      <c r="X132" s="1" t="n"/>
      <c r="Y132" s="1" t="n"/>
      <c r="Z132" s="1" t="n"/>
    </row>
    <row r="133" ht="15.75" customHeight="1" s="311">
      <c r="A133" s="145" t="n"/>
      <c r="B133" s="145" t="n"/>
      <c r="C133" s="145" t="n"/>
      <c r="D133" s="145" t="n"/>
      <c r="E133" s="145" t="n"/>
      <c r="F133" s="145" t="n"/>
      <c r="G133" s="145" t="n"/>
      <c r="H133" s="145" t="n"/>
      <c r="I133" s="145" t="n"/>
      <c r="J133" s="145" t="n"/>
      <c r="K133" s="145" t="n"/>
      <c r="L133" s="145" t="n"/>
      <c r="M133" s="1" t="n"/>
      <c r="N133" s="1" t="n"/>
      <c r="O133" s="1" t="n"/>
      <c r="P133" s="1" t="n"/>
      <c r="Q133" s="1" t="n"/>
      <c r="R133" s="1" t="n"/>
      <c r="S133" s="1" t="n"/>
      <c r="T133" s="1" t="n"/>
      <c r="U133" s="1" t="n"/>
      <c r="V133" s="1" t="n"/>
      <c r="W133" s="1" t="n"/>
      <c r="X133" s="1" t="n"/>
      <c r="Y133" s="1" t="n"/>
      <c r="Z133" s="1" t="n"/>
    </row>
    <row r="134" ht="15.75" customHeight="1" s="311">
      <c r="A134" s="145" t="n"/>
      <c r="B134" s="145" t="n"/>
      <c r="C134" s="145" t="n"/>
      <c r="D134" s="145" t="n"/>
      <c r="E134" s="145" t="n"/>
      <c r="F134" s="145" t="n"/>
      <c r="G134" s="145" t="n"/>
      <c r="H134" s="145" t="n"/>
      <c r="I134" s="145" t="n"/>
      <c r="J134" s="145" t="n"/>
      <c r="K134" s="145" t="n"/>
      <c r="L134" s="145" t="n"/>
      <c r="M134" s="1" t="n"/>
      <c r="N134" s="1" t="n"/>
      <c r="O134" s="1" t="n"/>
      <c r="P134" s="1" t="n"/>
      <c r="Q134" s="1" t="n"/>
      <c r="R134" s="1" t="n"/>
      <c r="S134" s="1" t="n"/>
      <c r="T134" s="1" t="n"/>
      <c r="U134" s="1" t="n"/>
      <c r="V134" s="1" t="n"/>
      <c r="W134" s="1" t="n"/>
      <c r="X134" s="1" t="n"/>
      <c r="Y134" s="1" t="n"/>
      <c r="Z134" s="1" t="n"/>
    </row>
    <row r="135" ht="15.75" customHeight="1" s="311">
      <c r="A135" s="145" t="n"/>
      <c r="B135" s="145" t="n"/>
      <c r="C135" s="145" t="n"/>
      <c r="D135" s="145" t="n"/>
      <c r="E135" s="145" t="n"/>
      <c r="F135" s="145" t="n"/>
      <c r="G135" s="145" t="n"/>
      <c r="H135" s="145" t="n"/>
      <c r="I135" s="145" t="n"/>
      <c r="J135" s="145" t="n"/>
      <c r="K135" s="145" t="n"/>
      <c r="L135" s="145" t="n"/>
      <c r="M135" s="1" t="n"/>
      <c r="N135" s="1" t="n"/>
      <c r="O135" s="1" t="n"/>
      <c r="P135" s="1" t="n"/>
      <c r="Q135" s="1" t="n"/>
      <c r="R135" s="1" t="n"/>
      <c r="S135" s="1" t="n"/>
      <c r="T135" s="1" t="n"/>
      <c r="U135" s="1" t="n"/>
      <c r="V135" s="1" t="n"/>
      <c r="W135" s="1" t="n"/>
      <c r="X135" s="1" t="n"/>
      <c r="Y135" s="1" t="n"/>
      <c r="Z135" s="1" t="n"/>
    </row>
    <row r="136" ht="15.75" customHeight="1" s="311">
      <c r="A136" s="145" t="n"/>
      <c r="B136" s="145" t="n"/>
      <c r="C136" s="145" t="n"/>
      <c r="D136" s="145" t="n"/>
      <c r="E136" s="145" t="n"/>
      <c r="F136" s="145" t="n"/>
      <c r="G136" s="145" t="n"/>
      <c r="H136" s="145" t="n"/>
      <c r="I136" s="145" t="n"/>
      <c r="J136" s="145" t="n"/>
      <c r="K136" s="145" t="n"/>
      <c r="L136" s="145" t="n"/>
      <c r="M136" s="1" t="n"/>
      <c r="N136" s="1" t="n"/>
      <c r="O136" s="1" t="n"/>
      <c r="P136" s="1" t="n"/>
      <c r="Q136" s="1" t="n"/>
      <c r="R136" s="1" t="n"/>
      <c r="S136" s="1" t="n"/>
      <c r="T136" s="1" t="n"/>
      <c r="U136" s="1" t="n"/>
      <c r="V136" s="1" t="n"/>
      <c r="W136" s="1" t="n"/>
      <c r="X136" s="1" t="n"/>
      <c r="Y136" s="1" t="n"/>
      <c r="Z136" s="1" t="n"/>
    </row>
    <row r="137" ht="15.75" customHeight="1" s="311">
      <c r="A137" s="145" t="n"/>
      <c r="B137" s="145" t="n"/>
      <c r="C137" s="145" t="n"/>
      <c r="D137" s="145" t="n"/>
      <c r="E137" s="145" t="n"/>
      <c r="F137" s="145" t="n"/>
      <c r="G137" s="145" t="n"/>
      <c r="H137" s="145" t="n"/>
      <c r="I137" s="145" t="n"/>
      <c r="J137" s="145" t="n"/>
      <c r="K137" s="145" t="n"/>
      <c r="L137" s="145" t="n"/>
      <c r="M137" s="1" t="n"/>
      <c r="N137" s="1" t="n"/>
      <c r="O137" s="1" t="n"/>
      <c r="P137" s="1" t="n"/>
      <c r="Q137" s="1" t="n"/>
      <c r="R137" s="1" t="n"/>
      <c r="S137" s="1" t="n"/>
      <c r="T137" s="1" t="n"/>
      <c r="U137" s="1" t="n"/>
      <c r="V137" s="1" t="n"/>
      <c r="W137" s="1" t="n"/>
      <c r="X137" s="1" t="n"/>
      <c r="Y137" s="1" t="n"/>
      <c r="Z137" s="1" t="n"/>
    </row>
    <row r="138" ht="15.75" customHeight="1" s="311">
      <c r="A138" s="145" t="n"/>
      <c r="B138" s="145" t="n"/>
      <c r="C138" s="145" t="n"/>
      <c r="D138" s="145" t="n"/>
      <c r="E138" s="145" t="n"/>
      <c r="F138" s="145" t="n"/>
      <c r="G138" s="145" t="n"/>
      <c r="H138" s="145" t="n"/>
      <c r="I138" s="145" t="n"/>
      <c r="J138" s="145" t="n"/>
      <c r="K138" s="145" t="n"/>
      <c r="L138" s="145" t="n"/>
      <c r="M138" s="1" t="n"/>
      <c r="N138" s="1" t="n"/>
      <c r="O138" s="1" t="n"/>
      <c r="P138" s="1" t="n"/>
      <c r="Q138" s="1" t="n"/>
      <c r="R138" s="1" t="n"/>
      <c r="S138" s="1" t="n"/>
      <c r="T138" s="1" t="n"/>
      <c r="U138" s="1" t="n"/>
      <c r="V138" s="1" t="n"/>
      <c r="W138" s="1" t="n"/>
      <c r="X138" s="1" t="n"/>
      <c r="Y138" s="1" t="n"/>
      <c r="Z138" s="1" t="n"/>
    </row>
    <row r="139" ht="15.75" customHeight="1" s="311">
      <c r="A139" s="145" t="n"/>
      <c r="B139" s="145" t="n"/>
      <c r="C139" s="145" t="n"/>
      <c r="D139" s="145" t="n"/>
      <c r="E139" s="145" t="n"/>
      <c r="F139" s="145" t="n"/>
      <c r="G139" s="145" t="n"/>
      <c r="H139" s="145" t="n"/>
      <c r="I139" s="145" t="n"/>
      <c r="J139" s="145" t="n"/>
      <c r="K139" s="145" t="n"/>
      <c r="L139" s="145" t="n"/>
      <c r="M139" s="1" t="n"/>
      <c r="N139" s="1" t="n"/>
      <c r="O139" s="1" t="n"/>
      <c r="P139" s="1" t="n"/>
      <c r="Q139" s="1" t="n"/>
      <c r="R139" s="1" t="n"/>
      <c r="S139" s="1" t="n"/>
      <c r="T139" s="1" t="n"/>
      <c r="U139" s="1" t="n"/>
      <c r="V139" s="1" t="n"/>
      <c r="W139" s="1" t="n"/>
      <c r="X139" s="1" t="n"/>
      <c r="Y139" s="1" t="n"/>
      <c r="Z139" s="1" t="n"/>
    </row>
    <row r="140" ht="15.75" customHeight="1" s="311">
      <c r="A140" s="145" t="n"/>
      <c r="B140" s="145" t="n"/>
      <c r="C140" s="145" t="n"/>
      <c r="D140" s="145" t="n"/>
      <c r="E140" s="145" t="n"/>
      <c r="F140" s="145" t="n"/>
      <c r="G140" s="145" t="n"/>
      <c r="H140" s="145" t="n"/>
      <c r="I140" s="145" t="n"/>
      <c r="J140" s="145" t="n"/>
      <c r="K140" s="145" t="n"/>
      <c r="L140" s="145" t="n"/>
      <c r="M140" s="1" t="n"/>
      <c r="N140" s="1" t="n"/>
      <c r="O140" s="1" t="n"/>
      <c r="P140" s="1" t="n"/>
      <c r="Q140" s="1" t="n"/>
      <c r="R140" s="1" t="n"/>
      <c r="S140" s="1" t="n"/>
      <c r="T140" s="1" t="n"/>
      <c r="U140" s="1" t="n"/>
      <c r="V140" s="1" t="n"/>
      <c r="W140" s="1" t="n"/>
      <c r="X140" s="1" t="n"/>
      <c r="Y140" s="1" t="n"/>
      <c r="Z140" s="1" t="n"/>
    </row>
    <row r="141" ht="15.75" customHeight="1" s="311">
      <c r="A141" s="145" t="n"/>
      <c r="B141" s="145" t="n"/>
      <c r="C141" s="145" t="n"/>
      <c r="D141" s="145" t="n"/>
      <c r="E141" s="145" t="n"/>
      <c r="F141" s="145" t="n"/>
      <c r="G141" s="145" t="n"/>
      <c r="H141" s="145" t="n"/>
      <c r="I141" s="145" t="n"/>
      <c r="J141" s="145" t="n"/>
      <c r="K141" s="145" t="n"/>
      <c r="L141" s="145" t="n"/>
      <c r="M141" s="1" t="n"/>
      <c r="N141" s="1" t="n"/>
      <c r="O141" s="1" t="n"/>
      <c r="P141" s="1" t="n"/>
      <c r="Q141" s="1" t="n"/>
      <c r="R141" s="1" t="n"/>
      <c r="S141" s="1" t="n"/>
      <c r="T141" s="1" t="n"/>
      <c r="U141" s="1" t="n"/>
      <c r="V141" s="1" t="n"/>
      <c r="W141" s="1" t="n"/>
      <c r="X141" s="1" t="n"/>
      <c r="Y141" s="1" t="n"/>
      <c r="Z141" s="1" t="n"/>
    </row>
    <row r="142" ht="15.75" customHeight="1" s="311">
      <c r="A142" s="145" t="n"/>
      <c r="B142" s="145" t="n"/>
      <c r="C142" s="145" t="n"/>
      <c r="D142" s="145" t="n"/>
      <c r="E142" s="145" t="n"/>
      <c r="F142" s="145" t="n"/>
      <c r="G142" s="145" t="n"/>
      <c r="H142" s="145" t="n"/>
      <c r="I142" s="145" t="n"/>
      <c r="J142" s="145" t="n"/>
      <c r="K142" s="145" t="n"/>
      <c r="L142" s="145" t="n"/>
      <c r="M142" s="1" t="n"/>
      <c r="N142" s="1" t="n"/>
      <c r="O142" s="1" t="n"/>
      <c r="P142" s="1" t="n"/>
      <c r="Q142" s="1" t="n"/>
      <c r="R142" s="1" t="n"/>
      <c r="S142" s="1" t="n"/>
      <c r="T142" s="1" t="n"/>
      <c r="U142" s="1" t="n"/>
      <c r="V142" s="1" t="n"/>
      <c r="W142" s="1" t="n"/>
      <c r="X142" s="1" t="n"/>
      <c r="Y142" s="1" t="n"/>
      <c r="Z142" s="1" t="n"/>
    </row>
    <row r="143" ht="15.75" customHeight="1" s="311">
      <c r="A143" s="145" t="n"/>
      <c r="B143" s="145" t="n"/>
      <c r="C143" s="145" t="n"/>
      <c r="D143" s="145" t="n"/>
      <c r="E143" s="145" t="n"/>
      <c r="F143" s="145" t="n"/>
      <c r="G143" s="145" t="n"/>
      <c r="H143" s="145" t="n"/>
      <c r="I143" s="145" t="n"/>
      <c r="J143" s="145" t="n"/>
      <c r="K143" s="145" t="n"/>
      <c r="L143" s="145" t="n"/>
      <c r="M143" s="1" t="n"/>
      <c r="N143" s="1" t="n"/>
      <c r="O143" s="1" t="n"/>
      <c r="P143" s="1" t="n"/>
      <c r="Q143" s="1" t="n"/>
      <c r="R143" s="1" t="n"/>
      <c r="S143" s="1" t="n"/>
      <c r="T143" s="1" t="n"/>
      <c r="U143" s="1" t="n"/>
      <c r="V143" s="1" t="n"/>
      <c r="W143" s="1" t="n"/>
      <c r="X143" s="1" t="n"/>
      <c r="Y143" s="1" t="n"/>
      <c r="Z143" s="1" t="n"/>
    </row>
    <row r="144" ht="15.75" customHeight="1" s="311">
      <c r="A144" s="145" t="n"/>
      <c r="B144" s="145" t="n"/>
      <c r="C144" s="145" t="n"/>
      <c r="D144" s="145" t="n"/>
      <c r="E144" s="145" t="n"/>
      <c r="F144" s="145" t="n"/>
      <c r="G144" s="145" t="n"/>
      <c r="H144" s="145" t="n"/>
      <c r="I144" s="145" t="n"/>
      <c r="J144" s="145" t="n"/>
      <c r="K144" s="145" t="n"/>
      <c r="L144" s="145" t="n"/>
      <c r="M144" s="1" t="n"/>
      <c r="N144" s="1" t="n"/>
      <c r="O144" s="1" t="n"/>
      <c r="P144" s="1" t="n"/>
      <c r="Q144" s="1" t="n"/>
      <c r="R144" s="1" t="n"/>
      <c r="S144" s="1" t="n"/>
      <c r="T144" s="1" t="n"/>
      <c r="U144" s="1" t="n"/>
      <c r="V144" s="1" t="n"/>
      <c r="W144" s="1" t="n"/>
      <c r="X144" s="1" t="n"/>
      <c r="Y144" s="1" t="n"/>
      <c r="Z144" s="1" t="n"/>
    </row>
    <row r="145" ht="15.75" customHeight="1" s="311">
      <c r="A145" s="145" t="n"/>
      <c r="B145" s="145" t="n"/>
      <c r="C145" s="145" t="n"/>
      <c r="D145" s="145" t="n"/>
      <c r="E145" s="145" t="n"/>
      <c r="F145" s="145" t="n"/>
      <c r="G145" s="145" t="n"/>
      <c r="H145" s="145" t="n"/>
      <c r="I145" s="145" t="n"/>
      <c r="J145" s="145" t="n"/>
      <c r="K145" s="145" t="n"/>
      <c r="L145" s="145" t="n"/>
      <c r="M145" s="1" t="n"/>
      <c r="N145" s="1" t="n"/>
      <c r="O145" s="1" t="n"/>
      <c r="P145" s="1" t="n"/>
      <c r="Q145" s="1" t="n"/>
      <c r="R145" s="1" t="n"/>
      <c r="S145" s="1" t="n"/>
      <c r="T145" s="1" t="n"/>
      <c r="U145" s="1" t="n"/>
      <c r="V145" s="1" t="n"/>
      <c r="W145" s="1" t="n"/>
      <c r="X145" s="1" t="n"/>
      <c r="Y145" s="1" t="n"/>
      <c r="Z145" s="1" t="n"/>
    </row>
    <row r="146" ht="15.75" customHeight="1" s="311">
      <c r="A146" s="145" t="n"/>
      <c r="B146" s="145" t="n"/>
      <c r="C146" s="145" t="n"/>
      <c r="D146" s="145" t="n"/>
      <c r="E146" s="145" t="n"/>
      <c r="F146" s="145" t="n"/>
      <c r="G146" s="145" t="n"/>
      <c r="H146" s="145" t="n"/>
      <c r="I146" s="145" t="n"/>
      <c r="J146" s="145" t="n"/>
      <c r="K146" s="145" t="n"/>
      <c r="L146" s="145" t="n"/>
      <c r="M146" s="1" t="n"/>
      <c r="N146" s="1" t="n"/>
      <c r="O146" s="1" t="n"/>
      <c r="P146" s="1" t="n"/>
      <c r="Q146" s="1" t="n"/>
      <c r="R146" s="1" t="n"/>
      <c r="S146" s="1" t="n"/>
      <c r="T146" s="1" t="n"/>
      <c r="U146" s="1" t="n"/>
      <c r="V146" s="1" t="n"/>
      <c r="W146" s="1" t="n"/>
      <c r="X146" s="1" t="n"/>
      <c r="Y146" s="1" t="n"/>
      <c r="Z146" s="1" t="n"/>
    </row>
    <row r="147" ht="15.75" customHeight="1" s="311">
      <c r="A147" s="145" t="n"/>
      <c r="B147" s="145" t="n"/>
      <c r="C147" s="145" t="n"/>
      <c r="D147" s="145" t="n"/>
      <c r="E147" s="145" t="n"/>
      <c r="F147" s="145" t="n"/>
      <c r="G147" s="145" t="n"/>
      <c r="H147" s="145" t="n"/>
      <c r="I147" s="145" t="n"/>
      <c r="J147" s="145" t="n"/>
      <c r="K147" s="145" t="n"/>
      <c r="L147" s="145" t="n"/>
      <c r="M147" s="1" t="n"/>
      <c r="N147" s="1" t="n"/>
      <c r="O147" s="1" t="n"/>
      <c r="P147" s="1" t="n"/>
      <c r="Q147" s="1" t="n"/>
      <c r="R147" s="1" t="n"/>
      <c r="S147" s="1" t="n"/>
      <c r="T147" s="1" t="n"/>
      <c r="U147" s="1" t="n"/>
      <c r="V147" s="1" t="n"/>
      <c r="W147" s="1" t="n"/>
      <c r="X147" s="1" t="n"/>
      <c r="Y147" s="1" t="n"/>
      <c r="Z147" s="1" t="n"/>
    </row>
    <row r="148" ht="15.75" customHeight="1" s="311">
      <c r="A148" s="145" t="n"/>
      <c r="B148" s="145" t="n"/>
      <c r="C148" s="145" t="n"/>
      <c r="D148" s="145" t="n"/>
      <c r="E148" s="145" t="n"/>
      <c r="F148" s="145" t="n"/>
      <c r="G148" s="145" t="n"/>
      <c r="H148" s="145" t="n"/>
      <c r="I148" s="145" t="n"/>
      <c r="J148" s="145" t="n"/>
      <c r="K148" s="145" t="n"/>
      <c r="L148" s="145" t="n"/>
      <c r="M148" s="1" t="n"/>
      <c r="N148" s="1" t="n"/>
      <c r="O148" s="1" t="n"/>
      <c r="P148" s="1" t="n"/>
      <c r="Q148" s="1" t="n"/>
      <c r="R148" s="1" t="n"/>
      <c r="S148" s="1" t="n"/>
      <c r="T148" s="1" t="n"/>
      <c r="U148" s="1" t="n"/>
      <c r="V148" s="1" t="n"/>
      <c r="W148" s="1" t="n"/>
      <c r="X148" s="1" t="n"/>
      <c r="Y148" s="1" t="n"/>
      <c r="Z148" s="1" t="n"/>
    </row>
    <row r="149" ht="15.75" customHeight="1" s="311">
      <c r="A149" s="145" t="n"/>
      <c r="B149" s="145" t="n"/>
      <c r="C149" s="145" t="n"/>
      <c r="D149" s="145" t="n"/>
      <c r="E149" s="145" t="n"/>
      <c r="F149" s="145" t="n"/>
      <c r="G149" s="145" t="n"/>
      <c r="H149" s="145" t="n"/>
      <c r="I149" s="145" t="n"/>
      <c r="J149" s="145" t="n"/>
      <c r="K149" s="145" t="n"/>
      <c r="L149" s="145" t="n"/>
      <c r="M149" s="1" t="n"/>
      <c r="N149" s="1" t="n"/>
      <c r="O149" s="1" t="n"/>
      <c r="P149" s="1" t="n"/>
      <c r="Q149" s="1" t="n"/>
      <c r="R149" s="1" t="n"/>
      <c r="S149" s="1" t="n"/>
      <c r="T149" s="1" t="n"/>
      <c r="U149" s="1" t="n"/>
      <c r="V149" s="1" t="n"/>
      <c r="W149" s="1" t="n"/>
      <c r="X149" s="1" t="n"/>
      <c r="Y149" s="1" t="n"/>
      <c r="Z149" s="1" t="n"/>
    </row>
    <row r="150" ht="15.75" customHeight="1" s="311">
      <c r="A150" s="145" t="n"/>
      <c r="B150" s="145" t="n"/>
      <c r="C150" s="145" t="n"/>
      <c r="D150" s="145" t="n"/>
      <c r="E150" s="145" t="n"/>
      <c r="F150" s="145" t="n"/>
      <c r="G150" s="145" t="n"/>
      <c r="H150" s="145" t="n"/>
      <c r="I150" s="145" t="n"/>
      <c r="J150" s="145" t="n"/>
      <c r="K150" s="145" t="n"/>
      <c r="L150" s="145" t="n"/>
      <c r="M150" s="1" t="n"/>
      <c r="N150" s="1" t="n"/>
      <c r="O150" s="1" t="n"/>
      <c r="P150" s="1" t="n"/>
      <c r="Q150" s="1" t="n"/>
      <c r="R150" s="1" t="n"/>
      <c r="S150" s="1" t="n"/>
      <c r="T150" s="1" t="n"/>
      <c r="U150" s="1" t="n"/>
      <c r="V150" s="1" t="n"/>
      <c r="W150" s="1" t="n"/>
      <c r="X150" s="1" t="n"/>
      <c r="Y150" s="1" t="n"/>
      <c r="Z150" s="1" t="n"/>
    </row>
    <row r="151" ht="15.75" customHeight="1" s="311">
      <c r="A151" s="145" t="n"/>
      <c r="B151" s="145" t="n"/>
      <c r="C151" s="145" t="n"/>
      <c r="D151" s="145" t="n"/>
      <c r="E151" s="145" t="n"/>
      <c r="F151" s="145" t="n"/>
      <c r="G151" s="145" t="n"/>
      <c r="H151" s="145" t="n"/>
      <c r="I151" s="145" t="n"/>
      <c r="J151" s="145" t="n"/>
      <c r="K151" s="145" t="n"/>
      <c r="L151" s="145" t="n"/>
      <c r="M151" s="1" t="n"/>
      <c r="N151" s="1" t="n"/>
      <c r="O151" s="1" t="n"/>
      <c r="P151" s="1" t="n"/>
      <c r="Q151" s="1" t="n"/>
      <c r="R151" s="1" t="n"/>
      <c r="S151" s="1" t="n"/>
      <c r="T151" s="1" t="n"/>
      <c r="U151" s="1" t="n"/>
      <c r="V151" s="1" t="n"/>
      <c r="W151" s="1" t="n"/>
      <c r="X151" s="1" t="n"/>
      <c r="Y151" s="1" t="n"/>
      <c r="Z151" s="1" t="n"/>
    </row>
    <row r="152" ht="15.75" customHeight="1" s="311">
      <c r="A152" s="145" t="n"/>
      <c r="B152" s="145" t="n"/>
      <c r="C152" s="145" t="n"/>
      <c r="D152" s="145" t="n"/>
      <c r="E152" s="145" t="n"/>
      <c r="F152" s="145" t="n"/>
      <c r="G152" s="145" t="n"/>
      <c r="H152" s="145" t="n"/>
      <c r="I152" s="145" t="n"/>
      <c r="J152" s="145" t="n"/>
      <c r="K152" s="145" t="n"/>
      <c r="L152" s="145" t="n"/>
      <c r="M152" s="1" t="n"/>
      <c r="N152" s="1" t="n"/>
      <c r="O152" s="1" t="n"/>
      <c r="P152" s="1" t="n"/>
      <c r="Q152" s="1" t="n"/>
      <c r="R152" s="1" t="n"/>
      <c r="S152" s="1" t="n"/>
      <c r="T152" s="1" t="n"/>
      <c r="U152" s="1" t="n"/>
      <c r="V152" s="1" t="n"/>
      <c r="W152" s="1" t="n"/>
      <c r="X152" s="1" t="n"/>
      <c r="Y152" s="1" t="n"/>
      <c r="Z152" s="1" t="n"/>
    </row>
    <row r="153" ht="15.75" customHeight="1" s="311">
      <c r="A153" s="145" t="n"/>
      <c r="B153" s="145" t="n"/>
      <c r="C153" s="145" t="n"/>
      <c r="D153" s="145" t="n"/>
      <c r="E153" s="145" t="n"/>
      <c r="F153" s="145" t="n"/>
      <c r="G153" s="145" t="n"/>
      <c r="H153" s="145" t="n"/>
      <c r="I153" s="145" t="n"/>
      <c r="J153" s="145" t="n"/>
      <c r="K153" s="145" t="n"/>
      <c r="L153" s="145" t="n"/>
      <c r="M153" s="1" t="n"/>
      <c r="N153" s="1" t="n"/>
      <c r="O153" s="1" t="n"/>
      <c r="P153" s="1" t="n"/>
      <c r="Q153" s="1" t="n"/>
      <c r="R153" s="1" t="n"/>
      <c r="S153" s="1" t="n"/>
      <c r="T153" s="1" t="n"/>
      <c r="U153" s="1" t="n"/>
      <c r="V153" s="1" t="n"/>
      <c r="W153" s="1" t="n"/>
      <c r="X153" s="1" t="n"/>
      <c r="Y153" s="1" t="n"/>
      <c r="Z153" s="1" t="n"/>
    </row>
    <row r="154" ht="15.75" customHeight="1" s="311">
      <c r="A154" s="145" t="n"/>
      <c r="B154" s="145" t="n"/>
      <c r="C154" s="145" t="n"/>
      <c r="D154" s="145" t="n"/>
      <c r="E154" s="145" t="n"/>
      <c r="F154" s="145" t="n"/>
      <c r="G154" s="145" t="n"/>
      <c r="H154" s="145" t="n"/>
      <c r="I154" s="145" t="n"/>
      <c r="J154" s="145" t="n"/>
      <c r="K154" s="145" t="n"/>
      <c r="L154" s="145" t="n"/>
      <c r="M154" s="1" t="n"/>
      <c r="N154" s="1" t="n"/>
      <c r="O154" s="1" t="n"/>
      <c r="P154" s="1" t="n"/>
      <c r="Q154" s="1" t="n"/>
      <c r="R154" s="1" t="n"/>
      <c r="S154" s="1" t="n"/>
      <c r="T154" s="1" t="n"/>
      <c r="U154" s="1" t="n"/>
      <c r="V154" s="1" t="n"/>
      <c r="W154" s="1" t="n"/>
      <c r="X154" s="1" t="n"/>
      <c r="Y154" s="1" t="n"/>
      <c r="Z154" s="1" t="n"/>
    </row>
    <row r="155" ht="15.75" customHeight="1" s="311">
      <c r="A155" s="145" t="n"/>
      <c r="B155" s="145" t="n"/>
      <c r="C155" s="145" t="n"/>
      <c r="D155" s="145" t="n"/>
      <c r="E155" s="145" t="n"/>
      <c r="F155" s="145" t="n"/>
      <c r="G155" s="145" t="n"/>
      <c r="H155" s="145" t="n"/>
      <c r="I155" s="145" t="n"/>
      <c r="J155" s="145" t="n"/>
      <c r="K155" s="145" t="n"/>
      <c r="L155" s="145" t="n"/>
      <c r="M155" s="1" t="n"/>
      <c r="N155" s="1" t="n"/>
      <c r="O155" s="1" t="n"/>
      <c r="P155" s="1" t="n"/>
      <c r="Q155" s="1" t="n"/>
      <c r="R155" s="1" t="n"/>
      <c r="S155" s="1" t="n"/>
      <c r="T155" s="1" t="n"/>
      <c r="U155" s="1" t="n"/>
      <c r="V155" s="1" t="n"/>
      <c r="W155" s="1" t="n"/>
      <c r="X155" s="1" t="n"/>
      <c r="Y155" s="1" t="n"/>
      <c r="Z155" s="1" t="n"/>
    </row>
    <row r="156" ht="15.75" customHeight="1" s="311">
      <c r="A156" s="145" t="n"/>
      <c r="B156" s="145" t="n"/>
      <c r="C156" s="145" t="n"/>
      <c r="D156" s="145" t="n"/>
      <c r="E156" s="145" t="n"/>
      <c r="F156" s="145" t="n"/>
      <c r="G156" s="145" t="n"/>
      <c r="H156" s="145" t="n"/>
      <c r="I156" s="145" t="n"/>
      <c r="J156" s="145" t="n"/>
      <c r="K156" s="145" t="n"/>
      <c r="L156" s="145" t="n"/>
      <c r="M156" s="1" t="n"/>
      <c r="N156" s="1" t="n"/>
      <c r="O156" s="1" t="n"/>
      <c r="P156" s="1" t="n"/>
      <c r="Q156" s="1" t="n"/>
      <c r="R156" s="1" t="n"/>
      <c r="S156" s="1" t="n"/>
      <c r="T156" s="1" t="n"/>
      <c r="U156" s="1" t="n"/>
      <c r="V156" s="1" t="n"/>
      <c r="W156" s="1" t="n"/>
      <c r="X156" s="1" t="n"/>
      <c r="Y156" s="1" t="n"/>
      <c r="Z156" s="1" t="n"/>
    </row>
    <row r="157" ht="15.75" customHeight="1" s="311">
      <c r="A157" s="145" t="n"/>
      <c r="B157" s="145" t="n"/>
      <c r="C157" s="145" t="n"/>
      <c r="D157" s="145" t="n"/>
      <c r="E157" s="145" t="n"/>
      <c r="F157" s="145" t="n"/>
      <c r="G157" s="145" t="n"/>
      <c r="H157" s="145" t="n"/>
      <c r="I157" s="145" t="n"/>
      <c r="J157" s="145" t="n"/>
      <c r="K157" s="145" t="n"/>
      <c r="L157" s="145" t="n"/>
      <c r="M157" s="1" t="n"/>
      <c r="N157" s="1" t="n"/>
      <c r="O157" s="1" t="n"/>
      <c r="P157" s="1" t="n"/>
      <c r="Q157" s="1" t="n"/>
      <c r="R157" s="1" t="n"/>
      <c r="S157" s="1" t="n"/>
      <c r="T157" s="1" t="n"/>
      <c r="U157" s="1" t="n"/>
      <c r="V157" s="1" t="n"/>
      <c r="W157" s="1" t="n"/>
      <c r="X157" s="1" t="n"/>
      <c r="Y157" s="1" t="n"/>
      <c r="Z157" s="1" t="n"/>
    </row>
    <row r="158" ht="15.75" customHeight="1" s="311">
      <c r="A158" s="145" t="n"/>
      <c r="B158" s="145" t="n"/>
      <c r="C158" s="145" t="n"/>
      <c r="D158" s="145" t="n"/>
      <c r="E158" s="145" t="n"/>
      <c r="F158" s="145" t="n"/>
      <c r="G158" s="145" t="n"/>
      <c r="H158" s="145" t="n"/>
      <c r="I158" s="145" t="n"/>
      <c r="J158" s="145" t="n"/>
      <c r="K158" s="145" t="n"/>
      <c r="L158" s="145" t="n"/>
      <c r="M158" s="1" t="n"/>
      <c r="N158" s="1" t="n"/>
      <c r="O158" s="1" t="n"/>
      <c r="P158" s="1" t="n"/>
      <c r="Q158" s="1" t="n"/>
      <c r="R158" s="1" t="n"/>
      <c r="S158" s="1" t="n"/>
      <c r="T158" s="1" t="n"/>
      <c r="U158" s="1" t="n"/>
      <c r="V158" s="1" t="n"/>
      <c r="W158" s="1" t="n"/>
      <c r="X158" s="1" t="n"/>
      <c r="Y158" s="1" t="n"/>
      <c r="Z158" s="1" t="n"/>
    </row>
    <row r="159" ht="15.75" customHeight="1" s="311">
      <c r="A159" s="145" t="n"/>
      <c r="B159" s="145" t="n"/>
      <c r="C159" s="145" t="n"/>
      <c r="D159" s="145" t="n"/>
      <c r="E159" s="145" t="n"/>
      <c r="F159" s="145" t="n"/>
      <c r="G159" s="145" t="n"/>
      <c r="H159" s="145" t="n"/>
      <c r="I159" s="145" t="n"/>
      <c r="J159" s="145" t="n"/>
      <c r="K159" s="145" t="n"/>
      <c r="L159" s="145" t="n"/>
      <c r="M159" s="1" t="n"/>
      <c r="N159" s="1" t="n"/>
      <c r="O159" s="1" t="n"/>
      <c r="P159" s="1" t="n"/>
      <c r="Q159" s="1" t="n"/>
      <c r="R159" s="1" t="n"/>
      <c r="S159" s="1" t="n"/>
      <c r="T159" s="1" t="n"/>
      <c r="U159" s="1" t="n"/>
      <c r="V159" s="1" t="n"/>
      <c r="W159" s="1" t="n"/>
      <c r="X159" s="1" t="n"/>
      <c r="Y159" s="1" t="n"/>
      <c r="Z159" s="1" t="n"/>
    </row>
    <row r="160" ht="15.75" customHeight="1" s="311">
      <c r="A160" s="145" t="n"/>
      <c r="B160" s="145" t="n"/>
      <c r="C160" s="145" t="n"/>
      <c r="D160" s="145" t="n"/>
      <c r="E160" s="145" t="n"/>
      <c r="F160" s="145" t="n"/>
      <c r="G160" s="145" t="n"/>
      <c r="H160" s="145" t="n"/>
      <c r="I160" s="145" t="n"/>
      <c r="J160" s="145" t="n"/>
      <c r="K160" s="145" t="n"/>
      <c r="L160" s="145" t="n"/>
      <c r="M160" s="1" t="n"/>
      <c r="N160" s="1" t="n"/>
      <c r="O160" s="1" t="n"/>
      <c r="P160" s="1" t="n"/>
      <c r="Q160" s="1" t="n"/>
      <c r="R160" s="1" t="n"/>
      <c r="S160" s="1" t="n"/>
      <c r="T160" s="1" t="n"/>
      <c r="U160" s="1" t="n"/>
      <c r="V160" s="1" t="n"/>
      <c r="W160" s="1" t="n"/>
      <c r="X160" s="1" t="n"/>
      <c r="Y160" s="1" t="n"/>
      <c r="Z160" s="1" t="n"/>
    </row>
    <row r="161" ht="15.75" customHeight="1" s="311">
      <c r="A161" s="145" t="n"/>
      <c r="B161" s="145" t="n"/>
      <c r="C161" s="145" t="n"/>
      <c r="D161" s="145" t="n"/>
      <c r="E161" s="145" t="n"/>
      <c r="F161" s="145" t="n"/>
      <c r="G161" s="145" t="n"/>
      <c r="H161" s="145" t="n"/>
      <c r="I161" s="145" t="n"/>
      <c r="J161" s="145" t="n"/>
      <c r="K161" s="145" t="n"/>
      <c r="L161" s="145" t="n"/>
      <c r="M161" s="1" t="n"/>
      <c r="N161" s="1" t="n"/>
      <c r="O161" s="1" t="n"/>
      <c r="P161" s="1" t="n"/>
      <c r="Q161" s="1" t="n"/>
      <c r="R161" s="1" t="n"/>
      <c r="S161" s="1" t="n"/>
      <c r="T161" s="1" t="n"/>
      <c r="U161" s="1" t="n"/>
      <c r="V161" s="1" t="n"/>
      <c r="W161" s="1" t="n"/>
      <c r="X161" s="1" t="n"/>
      <c r="Y161" s="1" t="n"/>
      <c r="Z161" s="1" t="n"/>
    </row>
    <row r="162" ht="15.75" customHeight="1" s="311">
      <c r="A162" s="145" t="n"/>
      <c r="B162" s="145" t="n"/>
      <c r="C162" s="145" t="n"/>
      <c r="D162" s="145" t="n"/>
      <c r="E162" s="145" t="n"/>
      <c r="F162" s="145" t="n"/>
      <c r="G162" s="145" t="n"/>
      <c r="H162" s="145" t="n"/>
      <c r="I162" s="145" t="n"/>
      <c r="J162" s="145" t="n"/>
      <c r="K162" s="145" t="n"/>
      <c r="L162" s="145" t="n"/>
      <c r="M162" s="1" t="n"/>
      <c r="N162" s="1" t="n"/>
      <c r="O162" s="1" t="n"/>
      <c r="P162" s="1" t="n"/>
      <c r="Q162" s="1" t="n"/>
      <c r="R162" s="1" t="n"/>
      <c r="S162" s="1" t="n"/>
      <c r="T162" s="1" t="n"/>
      <c r="U162" s="1" t="n"/>
      <c r="V162" s="1" t="n"/>
      <c r="W162" s="1" t="n"/>
      <c r="X162" s="1" t="n"/>
      <c r="Y162" s="1" t="n"/>
      <c r="Z162" s="1" t="n"/>
    </row>
    <row r="163" ht="15.75" customHeight="1" s="311">
      <c r="A163" s="145" t="n"/>
      <c r="B163" s="145" t="n"/>
      <c r="C163" s="145" t="n"/>
      <c r="D163" s="145" t="n"/>
      <c r="E163" s="145" t="n"/>
      <c r="F163" s="145" t="n"/>
      <c r="G163" s="145" t="n"/>
      <c r="H163" s="145" t="n"/>
      <c r="I163" s="145" t="n"/>
      <c r="J163" s="145" t="n"/>
      <c r="K163" s="145" t="n"/>
      <c r="L163" s="145" t="n"/>
      <c r="M163" s="1" t="n"/>
      <c r="N163" s="1" t="n"/>
      <c r="O163" s="1" t="n"/>
      <c r="P163" s="1" t="n"/>
      <c r="Q163" s="1" t="n"/>
      <c r="R163" s="1" t="n"/>
      <c r="S163" s="1" t="n"/>
      <c r="T163" s="1" t="n"/>
      <c r="U163" s="1" t="n"/>
      <c r="V163" s="1" t="n"/>
      <c r="W163" s="1" t="n"/>
      <c r="X163" s="1" t="n"/>
      <c r="Y163" s="1" t="n"/>
      <c r="Z163" s="1" t="n"/>
    </row>
    <row r="164" ht="15.75" customHeight="1" s="311">
      <c r="A164" s="145" t="n"/>
      <c r="B164" s="145" t="n"/>
      <c r="C164" s="145" t="n"/>
      <c r="D164" s="145" t="n"/>
      <c r="E164" s="145" t="n"/>
      <c r="F164" s="145" t="n"/>
      <c r="G164" s="145" t="n"/>
      <c r="H164" s="145" t="n"/>
      <c r="I164" s="145" t="n"/>
      <c r="J164" s="145" t="n"/>
      <c r="K164" s="145" t="n"/>
      <c r="L164" s="145" t="n"/>
      <c r="M164" s="1" t="n"/>
      <c r="N164" s="1" t="n"/>
      <c r="O164" s="1" t="n"/>
      <c r="P164" s="1" t="n"/>
      <c r="Q164" s="1" t="n"/>
      <c r="R164" s="1" t="n"/>
      <c r="S164" s="1" t="n"/>
      <c r="T164" s="1" t="n"/>
      <c r="U164" s="1" t="n"/>
      <c r="V164" s="1" t="n"/>
      <c r="W164" s="1" t="n"/>
      <c r="X164" s="1" t="n"/>
      <c r="Y164" s="1" t="n"/>
      <c r="Z164" s="1" t="n"/>
    </row>
    <row r="165" ht="15.75" customHeight="1" s="311">
      <c r="A165" s="145" t="n"/>
      <c r="B165" s="145" t="n"/>
      <c r="C165" s="145" t="n"/>
      <c r="D165" s="145" t="n"/>
      <c r="E165" s="145" t="n"/>
      <c r="F165" s="145" t="n"/>
      <c r="G165" s="145" t="n"/>
      <c r="H165" s="145" t="n"/>
      <c r="I165" s="145" t="n"/>
      <c r="J165" s="145" t="n"/>
      <c r="K165" s="145" t="n"/>
      <c r="L165" s="145" t="n"/>
      <c r="M165" s="1" t="n"/>
      <c r="N165" s="1" t="n"/>
      <c r="O165" s="1" t="n"/>
      <c r="P165" s="1" t="n"/>
      <c r="Q165" s="1" t="n"/>
      <c r="R165" s="1" t="n"/>
      <c r="S165" s="1" t="n"/>
      <c r="T165" s="1" t="n"/>
      <c r="U165" s="1" t="n"/>
      <c r="V165" s="1" t="n"/>
      <c r="W165" s="1" t="n"/>
      <c r="X165" s="1" t="n"/>
      <c r="Y165" s="1" t="n"/>
      <c r="Z165" s="1" t="n"/>
    </row>
    <row r="166" ht="15.75" customHeight="1" s="311">
      <c r="A166" s="145" t="n"/>
      <c r="B166" s="145" t="n"/>
      <c r="C166" s="145" t="n"/>
      <c r="D166" s="145" t="n"/>
      <c r="E166" s="145" t="n"/>
      <c r="F166" s="145" t="n"/>
      <c r="G166" s="145" t="n"/>
      <c r="H166" s="145" t="n"/>
      <c r="I166" s="145" t="n"/>
      <c r="J166" s="145" t="n"/>
      <c r="K166" s="145" t="n"/>
      <c r="L166" s="145" t="n"/>
      <c r="M166" s="1" t="n"/>
      <c r="N166" s="1" t="n"/>
      <c r="O166" s="1" t="n"/>
      <c r="P166" s="1" t="n"/>
      <c r="Q166" s="1" t="n"/>
      <c r="R166" s="1" t="n"/>
      <c r="S166" s="1" t="n"/>
      <c r="T166" s="1" t="n"/>
      <c r="U166" s="1" t="n"/>
      <c r="V166" s="1" t="n"/>
      <c r="W166" s="1" t="n"/>
      <c r="X166" s="1" t="n"/>
      <c r="Y166" s="1" t="n"/>
      <c r="Z166" s="1" t="n"/>
    </row>
    <row r="167" ht="15.75" customHeight="1" s="311">
      <c r="A167" s="145" t="n"/>
      <c r="B167" s="145" t="n"/>
      <c r="C167" s="145" t="n"/>
      <c r="D167" s="145" t="n"/>
      <c r="E167" s="145" t="n"/>
      <c r="F167" s="145" t="n"/>
      <c r="G167" s="145" t="n"/>
      <c r="H167" s="145" t="n"/>
      <c r="I167" s="145" t="n"/>
      <c r="J167" s="145" t="n"/>
      <c r="K167" s="145" t="n"/>
      <c r="L167" s="145" t="n"/>
      <c r="M167" s="1" t="n"/>
      <c r="N167" s="1" t="n"/>
      <c r="O167" s="1" t="n"/>
      <c r="P167" s="1" t="n"/>
      <c r="Q167" s="1" t="n"/>
      <c r="R167" s="1" t="n"/>
      <c r="S167" s="1" t="n"/>
      <c r="T167" s="1" t="n"/>
      <c r="U167" s="1" t="n"/>
      <c r="V167" s="1" t="n"/>
      <c r="W167" s="1" t="n"/>
      <c r="X167" s="1" t="n"/>
      <c r="Y167" s="1" t="n"/>
      <c r="Z167" s="1" t="n"/>
    </row>
    <row r="168" ht="15.75" customHeight="1" s="311">
      <c r="A168" s="145" t="n"/>
      <c r="B168" s="145" t="n"/>
      <c r="C168" s="145" t="n"/>
      <c r="D168" s="145" t="n"/>
      <c r="E168" s="145" t="n"/>
      <c r="F168" s="145" t="n"/>
      <c r="G168" s="145" t="n"/>
      <c r="H168" s="145" t="n"/>
      <c r="I168" s="145" t="n"/>
      <c r="J168" s="145" t="n"/>
      <c r="K168" s="145" t="n"/>
      <c r="L168" s="145" t="n"/>
      <c r="M168" s="1" t="n"/>
      <c r="N168" s="1" t="n"/>
      <c r="O168" s="1" t="n"/>
      <c r="P168" s="1" t="n"/>
      <c r="Q168" s="1" t="n"/>
      <c r="R168" s="1" t="n"/>
      <c r="S168" s="1" t="n"/>
      <c r="T168" s="1" t="n"/>
      <c r="U168" s="1" t="n"/>
      <c r="V168" s="1" t="n"/>
      <c r="W168" s="1" t="n"/>
      <c r="X168" s="1" t="n"/>
      <c r="Y168" s="1" t="n"/>
      <c r="Z168" s="1" t="n"/>
    </row>
    <row r="169" ht="15.75" customHeight="1" s="311">
      <c r="A169" s="145" t="n"/>
      <c r="B169" s="145" t="n"/>
      <c r="C169" s="145" t="n"/>
      <c r="D169" s="145" t="n"/>
      <c r="E169" s="145" t="n"/>
      <c r="F169" s="145" t="n"/>
      <c r="G169" s="145" t="n"/>
      <c r="H169" s="145" t="n"/>
      <c r="I169" s="145" t="n"/>
      <c r="J169" s="145" t="n"/>
      <c r="K169" s="145" t="n"/>
      <c r="L169" s="145" t="n"/>
      <c r="M169" s="1" t="n"/>
      <c r="N169" s="1" t="n"/>
      <c r="O169" s="1" t="n"/>
      <c r="P169" s="1" t="n"/>
      <c r="Q169" s="1" t="n"/>
      <c r="R169" s="1" t="n"/>
      <c r="S169" s="1" t="n"/>
      <c r="T169" s="1" t="n"/>
      <c r="U169" s="1" t="n"/>
      <c r="V169" s="1" t="n"/>
      <c r="W169" s="1" t="n"/>
      <c r="X169" s="1" t="n"/>
      <c r="Y169" s="1" t="n"/>
      <c r="Z169" s="1" t="n"/>
    </row>
    <row r="170" ht="15.75" customHeight="1" s="311">
      <c r="A170" s="145" t="n"/>
      <c r="B170" s="145" t="n"/>
      <c r="C170" s="145" t="n"/>
      <c r="D170" s="145" t="n"/>
      <c r="E170" s="145" t="n"/>
      <c r="F170" s="145" t="n"/>
      <c r="G170" s="145" t="n"/>
      <c r="H170" s="145" t="n"/>
      <c r="I170" s="145" t="n"/>
      <c r="J170" s="145" t="n"/>
      <c r="K170" s="145" t="n"/>
      <c r="L170" s="145" t="n"/>
      <c r="M170" s="1" t="n"/>
      <c r="N170" s="1" t="n"/>
      <c r="O170" s="1" t="n"/>
      <c r="P170" s="1" t="n"/>
      <c r="Q170" s="1" t="n"/>
      <c r="R170" s="1" t="n"/>
      <c r="S170" s="1" t="n"/>
      <c r="T170" s="1" t="n"/>
      <c r="U170" s="1" t="n"/>
      <c r="V170" s="1" t="n"/>
      <c r="W170" s="1" t="n"/>
      <c r="X170" s="1" t="n"/>
      <c r="Y170" s="1" t="n"/>
      <c r="Z170" s="1" t="n"/>
    </row>
    <row r="171" ht="15.75" customHeight="1" s="311">
      <c r="A171" s="145" t="n"/>
      <c r="B171" s="145" t="n"/>
      <c r="C171" s="145" t="n"/>
      <c r="D171" s="145" t="n"/>
      <c r="E171" s="145" t="n"/>
      <c r="F171" s="145" t="n"/>
      <c r="G171" s="145" t="n"/>
      <c r="H171" s="145" t="n"/>
      <c r="I171" s="145" t="n"/>
      <c r="J171" s="145" t="n"/>
      <c r="K171" s="145" t="n"/>
      <c r="L171" s="145" t="n"/>
      <c r="M171" s="1" t="n"/>
      <c r="N171" s="1" t="n"/>
      <c r="O171" s="1" t="n"/>
      <c r="P171" s="1" t="n"/>
      <c r="Q171" s="1" t="n"/>
      <c r="R171" s="1" t="n"/>
      <c r="S171" s="1" t="n"/>
      <c r="T171" s="1" t="n"/>
      <c r="U171" s="1" t="n"/>
      <c r="V171" s="1" t="n"/>
      <c r="W171" s="1" t="n"/>
      <c r="X171" s="1" t="n"/>
      <c r="Y171" s="1" t="n"/>
      <c r="Z171" s="1" t="n"/>
    </row>
    <row r="172" ht="15.75" customHeight="1" s="311">
      <c r="A172" s="145" t="n"/>
      <c r="B172" s="145" t="n"/>
      <c r="C172" s="145" t="n"/>
      <c r="D172" s="145" t="n"/>
      <c r="E172" s="145" t="n"/>
      <c r="F172" s="145" t="n"/>
      <c r="G172" s="145" t="n"/>
      <c r="H172" s="145" t="n"/>
      <c r="I172" s="145" t="n"/>
      <c r="J172" s="145" t="n"/>
      <c r="K172" s="145" t="n"/>
      <c r="L172" s="145" t="n"/>
      <c r="M172" s="1" t="n"/>
      <c r="N172" s="1" t="n"/>
      <c r="O172" s="1" t="n"/>
      <c r="P172" s="1" t="n"/>
      <c r="Q172" s="1" t="n"/>
      <c r="R172" s="1" t="n"/>
      <c r="S172" s="1" t="n"/>
      <c r="T172" s="1" t="n"/>
      <c r="U172" s="1" t="n"/>
      <c r="V172" s="1" t="n"/>
      <c r="W172" s="1" t="n"/>
      <c r="X172" s="1" t="n"/>
      <c r="Y172" s="1" t="n"/>
      <c r="Z172" s="1" t="n"/>
    </row>
    <row r="173" ht="15.75" customHeight="1" s="311">
      <c r="A173" s="145" t="n"/>
      <c r="B173" s="145" t="n"/>
      <c r="C173" s="145" t="n"/>
      <c r="D173" s="145" t="n"/>
      <c r="E173" s="145" t="n"/>
      <c r="F173" s="145" t="n"/>
      <c r="G173" s="145" t="n"/>
      <c r="H173" s="145" t="n"/>
      <c r="I173" s="145" t="n"/>
      <c r="J173" s="145" t="n"/>
      <c r="K173" s="145" t="n"/>
      <c r="L173" s="145" t="n"/>
      <c r="M173" s="1" t="n"/>
      <c r="N173" s="1" t="n"/>
      <c r="O173" s="1" t="n"/>
      <c r="P173" s="1" t="n"/>
      <c r="Q173" s="1" t="n"/>
      <c r="R173" s="1" t="n"/>
      <c r="S173" s="1" t="n"/>
      <c r="T173" s="1" t="n"/>
      <c r="U173" s="1" t="n"/>
      <c r="V173" s="1" t="n"/>
      <c r="W173" s="1" t="n"/>
      <c r="X173" s="1" t="n"/>
      <c r="Y173" s="1" t="n"/>
      <c r="Z173" s="1" t="n"/>
    </row>
    <row r="174" ht="15.75" customHeight="1" s="311">
      <c r="A174" s="145" t="n"/>
      <c r="B174" s="145" t="n"/>
      <c r="C174" s="145" t="n"/>
      <c r="D174" s="145" t="n"/>
      <c r="E174" s="145" t="n"/>
      <c r="F174" s="145" t="n"/>
      <c r="G174" s="145" t="n"/>
      <c r="H174" s="145" t="n"/>
      <c r="I174" s="145" t="n"/>
      <c r="J174" s="145" t="n"/>
      <c r="K174" s="145" t="n"/>
      <c r="L174" s="145" t="n"/>
      <c r="M174" s="1" t="n"/>
      <c r="N174" s="1" t="n"/>
      <c r="O174" s="1" t="n"/>
      <c r="P174" s="1" t="n"/>
      <c r="Q174" s="1" t="n"/>
      <c r="R174" s="1" t="n"/>
      <c r="S174" s="1" t="n"/>
      <c r="T174" s="1" t="n"/>
      <c r="U174" s="1" t="n"/>
      <c r="V174" s="1" t="n"/>
      <c r="W174" s="1" t="n"/>
      <c r="X174" s="1" t="n"/>
      <c r="Y174" s="1" t="n"/>
      <c r="Z174" s="1" t="n"/>
    </row>
    <row r="175" ht="15.75" customHeight="1" s="311">
      <c r="A175" s="145" t="n"/>
      <c r="B175" s="145" t="n"/>
      <c r="C175" s="145" t="n"/>
      <c r="D175" s="145" t="n"/>
      <c r="E175" s="145" t="n"/>
      <c r="F175" s="145" t="n"/>
      <c r="G175" s="145" t="n"/>
      <c r="H175" s="145" t="n"/>
      <c r="I175" s="145" t="n"/>
      <c r="J175" s="145" t="n"/>
      <c r="K175" s="145" t="n"/>
      <c r="L175" s="145" t="n"/>
      <c r="M175" s="1" t="n"/>
      <c r="N175" s="1" t="n"/>
      <c r="O175" s="1" t="n"/>
      <c r="P175" s="1" t="n"/>
      <c r="Q175" s="1" t="n"/>
      <c r="R175" s="1" t="n"/>
      <c r="S175" s="1" t="n"/>
      <c r="T175" s="1" t="n"/>
      <c r="U175" s="1" t="n"/>
      <c r="V175" s="1" t="n"/>
      <c r="W175" s="1" t="n"/>
      <c r="X175" s="1" t="n"/>
      <c r="Y175" s="1" t="n"/>
      <c r="Z175" s="1" t="n"/>
    </row>
    <row r="176" ht="15.75" customHeight="1" s="311">
      <c r="A176" s="145" t="n"/>
      <c r="B176" s="145" t="n"/>
      <c r="C176" s="145" t="n"/>
      <c r="D176" s="145" t="n"/>
      <c r="E176" s="145" t="n"/>
      <c r="F176" s="145" t="n"/>
      <c r="G176" s="145" t="n"/>
      <c r="H176" s="145" t="n"/>
      <c r="I176" s="145" t="n"/>
      <c r="J176" s="145" t="n"/>
      <c r="K176" s="145" t="n"/>
      <c r="L176" s="145" t="n"/>
      <c r="M176" s="1" t="n"/>
      <c r="N176" s="1" t="n"/>
      <c r="O176" s="1" t="n"/>
      <c r="P176" s="1" t="n"/>
      <c r="Q176" s="1" t="n"/>
      <c r="R176" s="1" t="n"/>
      <c r="S176" s="1" t="n"/>
      <c r="T176" s="1" t="n"/>
      <c r="U176" s="1" t="n"/>
      <c r="V176" s="1" t="n"/>
      <c r="W176" s="1" t="n"/>
      <c r="X176" s="1" t="n"/>
      <c r="Y176" s="1" t="n"/>
      <c r="Z176" s="1" t="n"/>
    </row>
    <row r="177" ht="15.75" customHeight="1" s="311">
      <c r="A177" s="145" t="n"/>
      <c r="B177" s="145" t="n"/>
      <c r="C177" s="145" t="n"/>
      <c r="D177" s="145" t="n"/>
      <c r="E177" s="145" t="n"/>
      <c r="F177" s="145" t="n"/>
      <c r="G177" s="145" t="n"/>
      <c r="H177" s="145" t="n"/>
      <c r="I177" s="145" t="n"/>
      <c r="J177" s="145" t="n"/>
      <c r="K177" s="145" t="n"/>
      <c r="L177" s="145" t="n"/>
      <c r="M177" s="1" t="n"/>
      <c r="N177" s="1" t="n"/>
      <c r="O177" s="1" t="n"/>
      <c r="P177" s="1" t="n"/>
      <c r="Q177" s="1" t="n"/>
      <c r="R177" s="1" t="n"/>
      <c r="S177" s="1" t="n"/>
      <c r="T177" s="1" t="n"/>
      <c r="U177" s="1" t="n"/>
      <c r="V177" s="1" t="n"/>
      <c r="W177" s="1" t="n"/>
      <c r="X177" s="1" t="n"/>
      <c r="Y177" s="1" t="n"/>
      <c r="Z177" s="1" t="n"/>
    </row>
    <row r="178" ht="15.75" customHeight="1" s="311">
      <c r="A178" s="145" t="n"/>
      <c r="B178" s="145" t="n"/>
      <c r="C178" s="145" t="n"/>
      <c r="D178" s="145" t="n"/>
      <c r="E178" s="145" t="n"/>
      <c r="F178" s="145" t="n"/>
      <c r="G178" s="145" t="n"/>
      <c r="H178" s="145" t="n"/>
      <c r="I178" s="145" t="n"/>
      <c r="J178" s="145" t="n"/>
      <c r="K178" s="145" t="n"/>
      <c r="L178" s="145" t="n"/>
      <c r="M178" s="1" t="n"/>
      <c r="N178" s="1" t="n"/>
      <c r="O178" s="1" t="n"/>
      <c r="P178" s="1" t="n"/>
      <c r="Q178" s="1" t="n"/>
      <c r="R178" s="1" t="n"/>
      <c r="S178" s="1" t="n"/>
      <c r="T178" s="1" t="n"/>
      <c r="U178" s="1" t="n"/>
      <c r="V178" s="1" t="n"/>
      <c r="W178" s="1" t="n"/>
      <c r="X178" s="1" t="n"/>
      <c r="Y178" s="1" t="n"/>
      <c r="Z178" s="1" t="n"/>
    </row>
    <row r="179" ht="15.75" customHeight="1" s="311">
      <c r="A179" s="145" t="n"/>
      <c r="B179" s="145" t="n"/>
      <c r="C179" s="145" t="n"/>
      <c r="D179" s="145" t="n"/>
      <c r="E179" s="145" t="n"/>
      <c r="F179" s="145" t="n"/>
      <c r="G179" s="145" t="n"/>
      <c r="H179" s="145" t="n"/>
      <c r="I179" s="145" t="n"/>
      <c r="J179" s="145" t="n"/>
      <c r="K179" s="145" t="n"/>
      <c r="L179" s="145" t="n"/>
      <c r="M179" s="1" t="n"/>
      <c r="N179" s="1" t="n"/>
      <c r="O179" s="1" t="n"/>
      <c r="P179" s="1" t="n"/>
      <c r="Q179" s="1" t="n"/>
      <c r="R179" s="1" t="n"/>
      <c r="S179" s="1" t="n"/>
      <c r="T179" s="1" t="n"/>
      <c r="U179" s="1" t="n"/>
      <c r="V179" s="1" t="n"/>
      <c r="W179" s="1" t="n"/>
      <c r="X179" s="1" t="n"/>
      <c r="Y179" s="1" t="n"/>
      <c r="Z179" s="1" t="n"/>
    </row>
    <row r="180" ht="15.75" customHeight="1" s="311">
      <c r="A180" s="145" t="n"/>
      <c r="B180" s="145" t="n"/>
      <c r="C180" s="145" t="n"/>
      <c r="D180" s="145" t="n"/>
      <c r="E180" s="145" t="n"/>
      <c r="F180" s="145" t="n"/>
      <c r="G180" s="145" t="n"/>
      <c r="H180" s="145" t="n"/>
      <c r="I180" s="145" t="n"/>
      <c r="J180" s="145" t="n"/>
      <c r="K180" s="145" t="n"/>
      <c r="L180" s="145" t="n"/>
      <c r="M180" s="1" t="n"/>
      <c r="N180" s="1" t="n"/>
      <c r="O180" s="1" t="n"/>
      <c r="P180" s="1" t="n"/>
      <c r="Q180" s="1" t="n"/>
      <c r="R180" s="1" t="n"/>
      <c r="S180" s="1" t="n"/>
      <c r="T180" s="1" t="n"/>
      <c r="U180" s="1" t="n"/>
      <c r="V180" s="1" t="n"/>
      <c r="W180" s="1" t="n"/>
      <c r="X180" s="1" t="n"/>
      <c r="Y180" s="1" t="n"/>
      <c r="Z180" s="1" t="n"/>
    </row>
    <row r="181" ht="15.75" customHeight="1" s="311">
      <c r="A181" s="145" t="n"/>
      <c r="B181" s="145" t="n"/>
      <c r="C181" s="145" t="n"/>
      <c r="D181" s="145" t="n"/>
      <c r="E181" s="145" t="n"/>
      <c r="F181" s="145" t="n"/>
      <c r="G181" s="145" t="n"/>
      <c r="H181" s="145" t="n"/>
      <c r="I181" s="145" t="n"/>
      <c r="J181" s="145" t="n"/>
      <c r="K181" s="145" t="n"/>
      <c r="L181" s="145" t="n"/>
      <c r="M181" s="1" t="n"/>
      <c r="N181" s="1" t="n"/>
      <c r="O181" s="1" t="n"/>
      <c r="P181" s="1" t="n"/>
      <c r="Q181" s="1" t="n"/>
      <c r="R181" s="1" t="n"/>
      <c r="S181" s="1" t="n"/>
      <c r="T181" s="1" t="n"/>
      <c r="U181" s="1" t="n"/>
      <c r="V181" s="1" t="n"/>
      <c r="W181" s="1" t="n"/>
      <c r="X181" s="1" t="n"/>
      <c r="Y181" s="1" t="n"/>
      <c r="Z181" s="1" t="n"/>
    </row>
    <row r="182" ht="15.75" customHeight="1" s="311">
      <c r="A182" s="145" t="n"/>
      <c r="B182" s="145" t="n"/>
      <c r="C182" s="145" t="n"/>
      <c r="D182" s="145" t="n"/>
      <c r="E182" s="145" t="n"/>
      <c r="F182" s="145" t="n"/>
      <c r="G182" s="145" t="n"/>
      <c r="H182" s="145" t="n"/>
      <c r="I182" s="145" t="n"/>
      <c r="J182" s="145" t="n"/>
      <c r="K182" s="145" t="n"/>
      <c r="L182" s="145" t="n"/>
      <c r="M182" s="1" t="n"/>
      <c r="N182" s="1" t="n"/>
      <c r="O182" s="1" t="n"/>
      <c r="P182" s="1" t="n"/>
      <c r="Q182" s="1" t="n"/>
      <c r="R182" s="1" t="n"/>
      <c r="S182" s="1" t="n"/>
      <c r="T182" s="1" t="n"/>
      <c r="U182" s="1" t="n"/>
      <c r="V182" s="1" t="n"/>
      <c r="W182" s="1" t="n"/>
      <c r="X182" s="1" t="n"/>
      <c r="Y182" s="1" t="n"/>
      <c r="Z182" s="1" t="n"/>
    </row>
    <row r="183" ht="15.75" customHeight="1" s="311">
      <c r="A183" s="145" t="n"/>
      <c r="B183" s="145" t="n"/>
      <c r="C183" s="145" t="n"/>
      <c r="D183" s="145" t="n"/>
      <c r="E183" s="145" t="n"/>
      <c r="F183" s="145" t="n"/>
      <c r="G183" s="145" t="n"/>
      <c r="H183" s="145" t="n"/>
      <c r="I183" s="145" t="n"/>
      <c r="J183" s="145" t="n"/>
      <c r="K183" s="145" t="n"/>
      <c r="L183" s="145" t="n"/>
      <c r="M183" s="1" t="n"/>
      <c r="N183" s="1" t="n"/>
      <c r="O183" s="1" t="n"/>
      <c r="P183" s="1" t="n"/>
      <c r="Q183" s="1" t="n"/>
      <c r="R183" s="1" t="n"/>
      <c r="S183" s="1" t="n"/>
      <c r="T183" s="1" t="n"/>
      <c r="U183" s="1" t="n"/>
      <c r="V183" s="1" t="n"/>
      <c r="W183" s="1" t="n"/>
      <c r="X183" s="1" t="n"/>
      <c r="Y183" s="1" t="n"/>
      <c r="Z183" s="1" t="n"/>
    </row>
    <row r="184" ht="15.75" customHeight="1" s="311">
      <c r="A184" s="145" t="n"/>
      <c r="B184" s="145" t="n"/>
      <c r="C184" s="145" t="n"/>
      <c r="D184" s="145" t="n"/>
      <c r="E184" s="145" t="n"/>
      <c r="F184" s="145" t="n"/>
      <c r="G184" s="145" t="n"/>
      <c r="H184" s="145" t="n"/>
      <c r="I184" s="145" t="n"/>
      <c r="J184" s="145" t="n"/>
      <c r="K184" s="145" t="n"/>
      <c r="L184" s="145" t="n"/>
      <c r="M184" s="1" t="n"/>
      <c r="N184" s="1" t="n"/>
      <c r="O184" s="1" t="n"/>
      <c r="P184" s="1" t="n"/>
      <c r="Q184" s="1" t="n"/>
      <c r="R184" s="1" t="n"/>
      <c r="S184" s="1" t="n"/>
      <c r="T184" s="1" t="n"/>
      <c r="U184" s="1" t="n"/>
      <c r="V184" s="1" t="n"/>
      <c r="W184" s="1" t="n"/>
      <c r="X184" s="1" t="n"/>
      <c r="Y184" s="1" t="n"/>
      <c r="Z184" s="1" t="n"/>
    </row>
    <row r="185" ht="15.75" customHeight="1" s="311">
      <c r="A185" s="145" t="n"/>
      <c r="B185" s="145" t="n"/>
      <c r="C185" s="145" t="n"/>
      <c r="D185" s="145" t="n"/>
      <c r="E185" s="145" t="n"/>
      <c r="F185" s="145" t="n"/>
      <c r="G185" s="145" t="n"/>
      <c r="H185" s="145" t="n"/>
      <c r="I185" s="145" t="n"/>
      <c r="J185" s="145" t="n"/>
      <c r="K185" s="145" t="n"/>
      <c r="L185" s="145" t="n"/>
      <c r="M185" s="1" t="n"/>
      <c r="N185" s="1" t="n"/>
      <c r="O185" s="1" t="n"/>
      <c r="P185" s="1" t="n"/>
      <c r="Q185" s="1" t="n"/>
      <c r="R185" s="1" t="n"/>
      <c r="S185" s="1" t="n"/>
      <c r="T185" s="1" t="n"/>
      <c r="U185" s="1" t="n"/>
      <c r="V185" s="1" t="n"/>
      <c r="W185" s="1" t="n"/>
      <c r="X185" s="1" t="n"/>
      <c r="Y185" s="1" t="n"/>
      <c r="Z185" s="1" t="n"/>
    </row>
    <row r="186" ht="15.75" customHeight="1" s="311">
      <c r="A186" s="145" t="n"/>
      <c r="B186" s="145" t="n"/>
      <c r="C186" s="145" t="n"/>
      <c r="D186" s="145" t="n"/>
      <c r="E186" s="145" t="n"/>
      <c r="F186" s="145" t="n"/>
      <c r="G186" s="145" t="n"/>
      <c r="H186" s="145" t="n"/>
      <c r="I186" s="145" t="n"/>
      <c r="J186" s="145" t="n"/>
      <c r="K186" s="145" t="n"/>
      <c r="L186" s="145" t="n"/>
      <c r="M186" s="1" t="n"/>
      <c r="N186" s="1" t="n"/>
      <c r="O186" s="1" t="n"/>
      <c r="P186" s="1" t="n"/>
      <c r="Q186" s="1" t="n"/>
      <c r="R186" s="1" t="n"/>
      <c r="S186" s="1" t="n"/>
      <c r="T186" s="1" t="n"/>
      <c r="U186" s="1" t="n"/>
      <c r="V186" s="1" t="n"/>
      <c r="W186" s="1" t="n"/>
      <c r="X186" s="1" t="n"/>
      <c r="Y186" s="1" t="n"/>
      <c r="Z186" s="1" t="n"/>
    </row>
    <row r="187" ht="15.75" customHeight="1" s="311">
      <c r="A187" s="145" t="n"/>
      <c r="B187" s="145" t="n"/>
      <c r="C187" s="145" t="n"/>
      <c r="D187" s="145" t="n"/>
      <c r="E187" s="145" t="n"/>
      <c r="F187" s="145" t="n"/>
      <c r="G187" s="145" t="n"/>
      <c r="H187" s="145" t="n"/>
      <c r="I187" s="145" t="n"/>
      <c r="J187" s="145" t="n"/>
      <c r="K187" s="145" t="n"/>
      <c r="L187" s="145" t="n"/>
      <c r="M187" s="1" t="n"/>
      <c r="N187" s="1" t="n"/>
      <c r="O187" s="1" t="n"/>
      <c r="P187" s="1" t="n"/>
      <c r="Q187" s="1" t="n"/>
      <c r="R187" s="1" t="n"/>
      <c r="S187" s="1" t="n"/>
      <c r="T187" s="1" t="n"/>
      <c r="U187" s="1" t="n"/>
      <c r="V187" s="1" t="n"/>
      <c r="W187" s="1" t="n"/>
      <c r="X187" s="1" t="n"/>
      <c r="Y187" s="1" t="n"/>
      <c r="Z187" s="1" t="n"/>
    </row>
    <row r="188" ht="15.75" customHeight="1" s="311">
      <c r="A188" s="145" t="n"/>
      <c r="B188" s="145" t="n"/>
      <c r="C188" s="145" t="n"/>
      <c r="D188" s="145" t="n"/>
      <c r="E188" s="145" t="n"/>
      <c r="F188" s="145" t="n"/>
      <c r="G188" s="145" t="n"/>
      <c r="H188" s="145" t="n"/>
      <c r="I188" s="145" t="n"/>
      <c r="J188" s="145" t="n"/>
      <c r="K188" s="145" t="n"/>
      <c r="L188" s="145" t="n"/>
      <c r="M188" s="1" t="n"/>
      <c r="N188" s="1" t="n"/>
      <c r="O188" s="1" t="n"/>
      <c r="P188" s="1" t="n"/>
      <c r="Q188" s="1" t="n"/>
      <c r="R188" s="1" t="n"/>
      <c r="S188" s="1" t="n"/>
      <c r="T188" s="1" t="n"/>
      <c r="U188" s="1" t="n"/>
      <c r="V188" s="1" t="n"/>
      <c r="W188" s="1" t="n"/>
      <c r="X188" s="1" t="n"/>
      <c r="Y188" s="1" t="n"/>
      <c r="Z188" s="1" t="n"/>
    </row>
    <row r="189" ht="15.75" customHeight="1" s="311">
      <c r="A189" s="145" t="n"/>
      <c r="B189" s="145" t="n"/>
      <c r="C189" s="145" t="n"/>
      <c r="D189" s="145" t="n"/>
      <c r="E189" s="145" t="n"/>
      <c r="F189" s="145" t="n"/>
      <c r="G189" s="145" t="n"/>
      <c r="H189" s="145" t="n"/>
      <c r="I189" s="145" t="n"/>
      <c r="J189" s="145" t="n"/>
      <c r="K189" s="145" t="n"/>
      <c r="L189" s="145" t="n"/>
      <c r="M189" s="1" t="n"/>
      <c r="N189" s="1" t="n"/>
      <c r="O189" s="1" t="n"/>
      <c r="P189" s="1" t="n"/>
      <c r="Q189" s="1" t="n"/>
      <c r="R189" s="1" t="n"/>
      <c r="S189" s="1" t="n"/>
      <c r="T189" s="1" t="n"/>
      <c r="U189" s="1" t="n"/>
      <c r="V189" s="1" t="n"/>
      <c r="W189" s="1" t="n"/>
      <c r="X189" s="1" t="n"/>
      <c r="Y189" s="1" t="n"/>
      <c r="Z189" s="1" t="n"/>
    </row>
    <row r="190" ht="15.75" customHeight="1" s="311">
      <c r="A190" s="145" t="n"/>
      <c r="B190" s="145" t="n"/>
      <c r="C190" s="145" t="n"/>
      <c r="D190" s="145" t="n"/>
      <c r="E190" s="145" t="n"/>
      <c r="F190" s="145" t="n"/>
      <c r="G190" s="145" t="n"/>
      <c r="H190" s="145" t="n"/>
      <c r="I190" s="145" t="n"/>
      <c r="J190" s="145" t="n"/>
      <c r="K190" s="145" t="n"/>
      <c r="L190" s="145" t="n"/>
      <c r="M190" s="1" t="n"/>
      <c r="N190" s="1" t="n"/>
      <c r="O190" s="1" t="n"/>
      <c r="P190" s="1" t="n"/>
      <c r="Q190" s="1" t="n"/>
      <c r="R190" s="1" t="n"/>
      <c r="S190" s="1" t="n"/>
      <c r="T190" s="1" t="n"/>
      <c r="U190" s="1" t="n"/>
      <c r="V190" s="1" t="n"/>
      <c r="W190" s="1" t="n"/>
      <c r="X190" s="1" t="n"/>
      <c r="Y190" s="1" t="n"/>
      <c r="Z190" s="1" t="n"/>
    </row>
    <row r="191" ht="15.75" customHeight="1" s="311">
      <c r="A191" s="145" t="n"/>
      <c r="B191" s="145" t="n"/>
      <c r="C191" s="145" t="n"/>
      <c r="D191" s="145" t="n"/>
      <c r="E191" s="145" t="n"/>
      <c r="F191" s="145" t="n"/>
      <c r="G191" s="145" t="n"/>
      <c r="H191" s="145" t="n"/>
      <c r="I191" s="145" t="n"/>
      <c r="J191" s="145" t="n"/>
      <c r="K191" s="145" t="n"/>
      <c r="L191" s="145" t="n"/>
      <c r="M191" s="1" t="n"/>
      <c r="N191" s="1" t="n"/>
      <c r="O191" s="1" t="n"/>
      <c r="P191" s="1" t="n"/>
      <c r="Q191" s="1" t="n"/>
      <c r="R191" s="1" t="n"/>
      <c r="S191" s="1" t="n"/>
      <c r="T191" s="1" t="n"/>
      <c r="U191" s="1" t="n"/>
      <c r="V191" s="1" t="n"/>
      <c r="W191" s="1" t="n"/>
      <c r="X191" s="1" t="n"/>
      <c r="Y191" s="1" t="n"/>
      <c r="Z191" s="1" t="n"/>
    </row>
    <row r="192" ht="15.75" customHeight="1" s="311">
      <c r="A192" s="145" t="n"/>
      <c r="B192" s="145" t="n"/>
      <c r="C192" s="145" t="n"/>
      <c r="D192" s="145" t="n"/>
      <c r="E192" s="145" t="n"/>
      <c r="F192" s="145" t="n"/>
      <c r="G192" s="145" t="n"/>
      <c r="H192" s="145" t="n"/>
      <c r="I192" s="145" t="n"/>
      <c r="J192" s="145" t="n"/>
      <c r="K192" s="145" t="n"/>
      <c r="L192" s="145" t="n"/>
      <c r="M192" s="1" t="n"/>
      <c r="N192" s="1" t="n"/>
      <c r="O192" s="1" t="n"/>
      <c r="P192" s="1" t="n"/>
      <c r="Q192" s="1" t="n"/>
      <c r="R192" s="1" t="n"/>
      <c r="S192" s="1" t="n"/>
      <c r="T192" s="1" t="n"/>
      <c r="U192" s="1" t="n"/>
      <c r="V192" s="1" t="n"/>
      <c r="W192" s="1" t="n"/>
      <c r="X192" s="1" t="n"/>
      <c r="Y192" s="1" t="n"/>
      <c r="Z192" s="1" t="n"/>
    </row>
    <row r="193" ht="15.75" customHeight="1" s="311">
      <c r="A193" s="145" t="n"/>
      <c r="B193" s="145" t="n"/>
      <c r="C193" s="145" t="n"/>
      <c r="D193" s="145" t="n"/>
      <c r="E193" s="145" t="n"/>
      <c r="F193" s="145" t="n"/>
      <c r="G193" s="145" t="n"/>
      <c r="H193" s="145" t="n"/>
      <c r="I193" s="145" t="n"/>
      <c r="J193" s="145" t="n"/>
      <c r="K193" s="145" t="n"/>
      <c r="L193" s="145" t="n"/>
      <c r="M193" s="1" t="n"/>
      <c r="N193" s="1" t="n"/>
      <c r="O193" s="1" t="n"/>
      <c r="P193" s="1" t="n"/>
      <c r="Q193" s="1" t="n"/>
      <c r="R193" s="1" t="n"/>
      <c r="S193" s="1" t="n"/>
      <c r="T193" s="1" t="n"/>
      <c r="U193" s="1" t="n"/>
      <c r="V193" s="1" t="n"/>
      <c r="W193" s="1" t="n"/>
      <c r="X193" s="1" t="n"/>
      <c r="Y193" s="1" t="n"/>
      <c r="Z193" s="1" t="n"/>
    </row>
    <row r="194" ht="15.75" customHeight="1" s="311">
      <c r="A194" s="145" t="n"/>
      <c r="B194" s="145" t="n"/>
      <c r="C194" s="145" t="n"/>
      <c r="D194" s="145" t="n"/>
      <c r="E194" s="145" t="n"/>
      <c r="F194" s="145" t="n"/>
      <c r="G194" s="145" t="n"/>
      <c r="H194" s="145" t="n"/>
      <c r="I194" s="145" t="n"/>
      <c r="J194" s="145" t="n"/>
      <c r="K194" s="145" t="n"/>
      <c r="L194" s="145" t="n"/>
      <c r="M194" s="1" t="n"/>
      <c r="N194" s="1" t="n"/>
      <c r="O194" s="1" t="n"/>
      <c r="P194" s="1" t="n"/>
      <c r="Q194" s="1" t="n"/>
      <c r="R194" s="1" t="n"/>
      <c r="S194" s="1" t="n"/>
      <c r="T194" s="1" t="n"/>
      <c r="U194" s="1" t="n"/>
      <c r="V194" s="1" t="n"/>
      <c r="W194" s="1" t="n"/>
      <c r="X194" s="1" t="n"/>
      <c r="Y194" s="1" t="n"/>
      <c r="Z194" s="1" t="n"/>
    </row>
    <row r="195" ht="15.75" customHeight="1" s="311">
      <c r="A195" s="145" t="n"/>
      <c r="B195" s="145" t="n"/>
      <c r="C195" s="145" t="n"/>
      <c r="D195" s="145" t="n"/>
      <c r="E195" s="145" t="n"/>
      <c r="F195" s="145" t="n"/>
      <c r="G195" s="145" t="n"/>
      <c r="H195" s="145" t="n"/>
      <c r="I195" s="145" t="n"/>
      <c r="J195" s="145" t="n"/>
      <c r="K195" s="145" t="n"/>
      <c r="L195" s="145" t="n"/>
      <c r="M195" s="1" t="n"/>
      <c r="N195" s="1" t="n"/>
      <c r="O195" s="1" t="n"/>
      <c r="P195" s="1" t="n"/>
      <c r="Q195" s="1" t="n"/>
      <c r="R195" s="1" t="n"/>
      <c r="S195" s="1" t="n"/>
      <c r="T195" s="1" t="n"/>
      <c r="U195" s="1" t="n"/>
      <c r="V195" s="1" t="n"/>
      <c r="W195" s="1" t="n"/>
      <c r="X195" s="1" t="n"/>
      <c r="Y195" s="1" t="n"/>
      <c r="Z195" s="1" t="n"/>
    </row>
    <row r="196" ht="15.75" customHeight="1" s="311">
      <c r="A196" s="145" t="n"/>
      <c r="B196" s="145" t="n"/>
      <c r="C196" s="145" t="n"/>
      <c r="D196" s="145" t="n"/>
      <c r="E196" s="145" t="n"/>
      <c r="F196" s="145" t="n"/>
      <c r="G196" s="145" t="n"/>
      <c r="H196" s="145" t="n"/>
      <c r="I196" s="145" t="n"/>
      <c r="J196" s="145" t="n"/>
      <c r="K196" s="145" t="n"/>
      <c r="L196" s="145" t="n"/>
      <c r="M196" s="1" t="n"/>
      <c r="N196" s="1" t="n"/>
      <c r="O196" s="1" t="n"/>
      <c r="P196" s="1" t="n"/>
      <c r="Q196" s="1" t="n"/>
      <c r="R196" s="1" t="n"/>
      <c r="S196" s="1" t="n"/>
      <c r="T196" s="1" t="n"/>
      <c r="U196" s="1" t="n"/>
      <c r="V196" s="1" t="n"/>
      <c r="W196" s="1" t="n"/>
      <c r="X196" s="1" t="n"/>
      <c r="Y196" s="1" t="n"/>
      <c r="Z196" s="1" t="n"/>
    </row>
    <row r="197" ht="15.75" customHeight="1" s="311">
      <c r="A197" s="145" t="n"/>
      <c r="B197" s="145" t="n"/>
      <c r="C197" s="145" t="n"/>
      <c r="D197" s="145" t="n"/>
      <c r="E197" s="145" t="n"/>
      <c r="F197" s="145" t="n"/>
      <c r="G197" s="145" t="n"/>
      <c r="H197" s="145" t="n"/>
      <c r="I197" s="145" t="n"/>
      <c r="J197" s="145" t="n"/>
      <c r="K197" s="145" t="n"/>
      <c r="L197" s="145" t="n"/>
      <c r="M197" s="1" t="n"/>
      <c r="N197" s="1" t="n"/>
      <c r="O197" s="1" t="n"/>
      <c r="P197" s="1" t="n"/>
      <c r="Q197" s="1" t="n"/>
      <c r="R197" s="1" t="n"/>
      <c r="S197" s="1" t="n"/>
      <c r="T197" s="1" t="n"/>
      <c r="U197" s="1" t="n"/>
      <c r="V197" s="1" t="n"/>
      <c r="W197" s="1" t="n"/>
      <c r="X197" s="1" t="n"/>
      <c r="Y197" s="1" t="n"/>
      <c r="Z197" s="1" t="n"/>
    </row>
    <row r="198" ht="15.75" customHeight="1" s="311">
      <c r="A198" s="145" t="n"/>
      <c r="B198" s="145" t="n"/>
      <c r="C198" s="145" t="n"/>
      <c r="D198" s="145" t="n"/>
      <c r="E198" s="145" t="n"/>
      <c r="F198" s="145" t="n"/>
      <c r="G198" s="145" t="n"/>
      <c r="H198" s="145" t="n"/>
      <c r="I198" s="145" t="n"/>
      <c r="J198" s="145" t="n"/>
      <c r="K198" s="145" t="n"/>
      <c r="L198" s="145" t="n"/>
      <c r="M198" s="1" t="n"/>
      <c r="N198" s="1" t="n"/>
      <c r="O198" s="1" t="n"/>
      <c r="P198" s="1" t="n"/>
      <c r="Q198" s="1" t="n"/>
      <c r="R198" s="1" t="n"/>
      <c r="S198" s="1" t="n"/>
      <c r="T198" s="1" t="n"/>
      <c r="U198" s="1" t="n"/>
      <c r="V198" s="1" t="n"/>
      <c r="W198" s="1" t="n"/>
      <c r="X198" s="1" t="n"/>
      <c r="Y198" s="1" t="n"/>
      <c r="Z198" s="1" t="n"/>
    </row>
    <row r="199" ht="15.75" customHeight="1" s="311">
      <c r="A199" s="145" t="n"/>
      <c r="B199" s="145" t="n"/>
      <c r="C199" s="145" t="n"/>
      <c r="D199" s="145" t="n"/>
      <c r="E199" s="145" t="n"/>
      <c r="F199" s="145" t="n"/>
      <c r="G199" s="145" t="n"/>
      <c r="H199" s="145" t="n"/>
      <c r="I199" s="145" t="n"/>
      <c r="J199" s="145" t="n"/>
      <c r="K199" s="145" t="n"/>
      <c r="L199" s="145" t="n"/>
      <c r="M199" s="1" t="n"/>
      <c r="N199" s="1" t="n"/>
      <c r="O199" s="1" t="n"/>
      <c r="P199" s="1" t="n"/>
      <c r="Q199" s="1" t="n"/>
      <c r="R199" s="1" t="n"/>
      <c r="S199" s="1" t="n"/>
      <c r="T199" s="1" t="n"/>
      <c r="U199" s="1" t="n"/>
      <c r="V199" s="1" t="n"/>
      <c r="W199" s="1" t="n"/>
      <c r="X199" s="1" t="n"/>
      <c r="Y199" s="1" t="n"/>
      <c r="Z199" s="1" t="n"/>
    </row>
    <row r="200" ht="15.75" customHeight="1" s="311">
      <c r="A200" s="145" t="n"/>
      <c r="B200" s="145" t="n"/>
      <c r="C200" s="145" t="n"/>
      <c r="D200" s="145" t="n"/>
      <c r="E200" s="145" t="n"/>
      <c r="F200" s="145" t="n"/>
      <c r="G200" s="145" t="n"/>
      <c r="H200" s="145" t="n"/>
      <c r="I200" s="145" t="n"/>
      <c r="J200" s="145" t="n"/>
      <c r="K200" s="145" t="n"/>
      <c r="L200" s="145" t="n"/>
      <c r="M200" s="1" t="n"/>
      <c r="N200" s="1" t="n"/>
      <c r="O200" s="1" t="n"/>
      <c r="P200" s="1" t="n"/>
      <c r="Q200" s="1" t="n"/>
      <c r="R200" s="1" t="n"/>
      <c r="S200" s="1" t="n"/>
      <c r="T200" s="1" t="n"/>
      <c r="U200" s="1" t="n"/>
      <c r="V200" s="1" t="n"/>
      <c r="W200" s="1" t="n"/>
      <c r="X200" s="1" t="n"/>
      <c r="Y200" s="1" t="n"/>
      <c r="Z200" s="1" t="n"/>
    </row>
    <row r="201" ht="15.75" customHeight="1" s="311">
      <c r="A201" s="145" t="n"/>
      <c r="B201" s="145" t="n"/>
      <c r="C201" s="145" t="n"/>
      <c r="D201" s="145" t="n"/>
      <c r="E201" s="145" t="n"/>
      <c r="F201" s="145" t="n"/>
      <c r="G201" s="145" t="n"/>
      <c r="H201" s="145" t="n"/>
      <c r="I201" s="145" t="n"/>
      <c r="J201" s="145" t="n"/>
      <c r="K201" s="145" t="n"/>
      <c r="L201" s="145" t="n"/>
      <c r="M201" s="1" t="n"/>
      <c r="N201" s="1" t="n"/>
      <c r="O201" s="1" t="n"/>
      <c r="P201" s="1" t="n"/>
      <c r="Q201" s="1" t="n"/>
      <c r="R201" s="1" t="n"/>
      <c r="S201" s="1" t="n"/>
      <c r="T201" s="1" t="n"/>
      <c r="U201" s="1" t="n"/>
      <c r="V201" s="1" t="n"/>
      <c r="W201" s="1" t="n"/>
      <c r="X201" s="1" t="n"/>
      <c r="Y201" s="1" t="n"/>
      <c r="Z201" s="1" t="n"/>
    </row>
    <row r="202" ht="15.75" customHeight="1" s="311">
      <c r="A202" s="145" t="n"/>
      <c r="B202" s="145" t="n"/>
      <c r="C202" s="145" t="n"/>
      <c r="D202" s="145" t="n"/>
      <c r="E202" s="145" t="n"/>
      <c r="F202" s="145" t="n"/>
      <c r="G202" s="145" t="n"/>
      <c r="H202" s="145" t="n"/>
      <c r="I202" s="145" t="n"/>
      <c r="J202" s="145" t="n"/>
      <c r="K202" s="145" t="n"/>
      <c r="L202" s="145" t="n"/>
      <c r="M202" s="1" t="n"/>
      <c r="N202" s="1" t="n"/>
      <c r="O202" s="1" t="n"/>
      <c r="P202" s="1" t="n"/>
      <c r="Q202" s="1" t="n"/>
      <c r="R202" s="1" t="n"/>
      <c r="S202" s="1" t="n"/>
      <c r="T202" s="1" t="n"/>
      <c r="U202" s="1" t="n"/>
      <c r="V202" s="1" t="n"/>
      <c r="W202" s="1" t="n"/>
      <c r="X202" s="1" t="n"/>
      <c r="Y202" s="1" t="n"/>
      <c r="Z202" s="1" t="n"/>
    </row>
    <row r="203" ht="15.75" customHeight="1" s="311">
      <c r="A203" s="145" t="n"/>
      <c r="B203" s="145" t="n"/>
      <c r="C203" s="145" t="n"/>
      <c r="D203" s="145" t="n"/>
      <c r="E203" s="145" t="n"/>
      <c r="F203" s="145" t="n"/>
      <c r="G203" s="145" t="n"/>
      <c r="H203" s="145" t="n"/>
      <c r="I203" s="145" t="n"/>
      <c r="J203" s="145" t="n"/>
      <c r="K203" s="145" t="n"/>
      <c r="L203" s="145" t="n"/>
      <c r="M203" s="1" t="n"/>
      <c r="N203" s="1" t="n"/>
      <c r="O203" s="1" t="n"/>
      <c r="P203" s="1" t="n"/>
      <c r="Q203" s="1" t="n"/>
      <c r="R203" s="1" t="n"/>
      <c r="S203" s="1" t="n"/>
      <c r="T203" s="1" t="n"/>
      <c r="U203" s="1" t="n"/>
      <c r="V203" s="1" t="n"/>
      <c r="W203" s="1" t="n"/>
      <c r="X203" s="1" t="n"/>
      <c r="Y203" s="1" t="n"/>
      <c r="Z203" s="1" t="n"/>
    </row>
    <row r="204" ht="15.75" customHeight="1" s="311">
      <c r="A204" s="145" t="n"/>
      <c r="B204" s="145" t="n"/>
      <c r="C204" s="145" t="n"/>
      <c r="D204" s="145" t="n"/>
      <c r="E204" s="145" t="n"/>
      <c r="F204" s="145" t="n"/>
      <c r="G204" s="145" t="n"/>
      <c r="H204" s="145" t="n"/>
      <c r="I204" s="145" t="n"/>
      <c r="J204" s="145" t="n"/>
      <c r="K204" s="145" t="n"/>
      <c r="L204" s="145" t="n"/>
      <c r="M204" s="1" t="n"/>
      <c r="N204" s="1" t="n"/>
      <c r="O204" s="1" t="n"/>
      <c r="P204" s="1" t="n"/>
      <c r="Q204" s="1" t="n"/>
      <c r="R204" s="1" t="n"/>
      <c r="S204" s="1" t="n"/>
      <c r="T204" s="1" t="n"/>
      <c r="U204" s="1" t="n"/>
      <c r="V204" s="1" t="n"/>
      <c r="W204" s="1" t="n"/>
      <c r="X204" s="1" t="n"/>
      <c r="Y204" s="1" t="n"/>
      <c r="Z204" s="1" t="n"/>
    </row>
    <row r="205" ht="15.75" customHeight="1" s="311">
      <c r="A205" s="145" t="n"/>
      <c r="B205" s="145" t="n"/>
      <c r="C205" s="145" t="n"/>
      <c r="D205" s="145" t="n"/>
      <c r="E205" s="145" t="n"/>
      <c r="F205" s="145" t="n"/>
      <c r="G205" s="145" t="n"/>
      <c r="H205" s="145" t="n"/>
      <c r="I205" s="145" t="n"/>
      <c r="J205" s="145" t="n"/>
      <c r="K205" s="145" t="n"/>
      <c r="L205" s="145" t="n"/>
      <c r="M205" s="1" t="n"/>
      <c r="N205" s="1" t="n"/>
      <c r="O205" s="1" t="n"/>
      <c r="P205" s="1" t="n"/>
      <c r="Q205" s="1" t="n"/>
      <c r="R205" s="1" t="n"/>
      <c r="S205" s="1" t="n"/>
      <c r="T205" s="1" t="n"/>
      <c r="U205" s="1" t="n"/>
      <c r="V205" s="1" t="n"/>
      <c r="W205" s="1" t="n"/>
      <c r="X205" s="1" t="n"/>
      <c r="Y205" s="1" t="n"/>
      <c r="Z205" s="1" t="n"/>
    </row>
    <row r="206" ht="15.75" customHeight="1" s="311">
      <c r="A206" s="145" t="n"/>
      <c r="B206" s="145" t="n"/>
      <c r="C206" s="145" t="n"/>
      <c r="D206" s="145" t="n"/>
      <c r="E206" s="145" t="n"/>
      <c r="F206" s="145" t="n"/>
      <c r="G206" s="145" t="n"/>
      <c r="H206" s="145" t="n"/>
      <c r="I206" s="145" t="n"/>
      <c r="J206" s="145" t="n"/>
      <c r="K206" s="145" t="n"/>
      <c r="L206" s="145" t="n"/>
      <c r="M206" s="1" t="n"/>
      <c r="N206" s="1" t="n"/>
      <c r="O206" s="1" t="n"/>
      <c r="P206" s="1" t="n"/>
      <c r="Q206" s="1" t="n"/>
      <c r="R206" s="1" t="n"/>
      <c r="S206" s="1" t="n"/>
      <c r="T206" s="1" t="n"/>
      <c r="U206" s="1" t="n"/>
      <c r="V206" s="1" t="n"/>
      <c r="W206" s="1" t="n"/>
      <c r="X206" s="1" t="n"/>
      <c r="Y206" s="1" t="n"/>
      <c r="Z206" s="1" t="n"/>
    </row>
    <row r="207" ht="15.75" customHeight="1" s="311">
      <c r="A207" s="145" t="n"/>
      <c r="B207" s="145" t="n"/>
      <c r="C207" s="145" t="n"/>
      <c r="D207" s="145" t="n"/>
      <c r="E207" s="145" t="n"/>
      <c r="F207" s="145" t="n"/>
      <c r="G207" s="145" t="n"/>
      <c r="H207" s="145" t="n"/>
      <c r="I207" s="145" t="n"/>
      <c r="J207" s="145" t="n"/>
      <c r="K207" s="145" t="n"/>
      <c r="L207" s="145" t="n"/>
      <c r="M207" s="1" t="n"/>
      <c r="N207" s="1" t="n"/>
      <c r="O207" s="1" t="n"/>
      <c r="P207" s="1" t="n"/>
      <c r="Q207" s="1" t="n"/>
      <c r="R207" s="1" t="n"/>
      <c r="S207" s="1" t="n"/>
      <c r="T207" s="1" t="n"/>
      <c r="U207" s="1" t="n"/>
      <c r="V207" s="1" t="n"/>
      <c r="W207" s="1" t="n"/>
      <c r="X207" s="1" t="n"/>
      <c r="Y207" s="1" t="n"/>
      <c r="Z207" s="1" t="n"/>
    </row>
    <row r="208" ht="15.75" customHeight="1" s="311">
      <c r="A208" s="145" t="n"/>
      <c r="B208" s="145" t="n"/>
      <c r="C208" s="145" t="n"/>
      <c r="D208" s="145" t="n"/>
      <c r="E208" s="145" t="n"/>
      <c r="F208" s="145" t="n"/>
      <c r="G208" s="145" t="n"/>
      <c r="H208" s="145" t="n"/>
      <c r="I208" s="145" t="n"/>
      <c r="J208" s="145" t="n"/>
      <c r="K208" s="145" t="n"/>
      <c r="L208" s="145" t="n"/>
      <c r="M208" s="1" t="n"/>
      <c r="N208" s="1" t="n"/>
      <c r="O208" s="1" t="n"/>
      <c r="P208" s="1" t="n"/>
      <c r="Q208" s="1" t="n"/>
      <c r="R208" s="1" t="n"/>
      <c r="S208" s="1" t="n"/>
      <c r="T208" s="1" t="n"/>
      <c r="U208" s="1" t="n"/>
      <c r="V208" s="1" t="n"/>
      <c r="W208" s="1" t="n"/>
      <c r="X208" s="1" t="n"/>
      <c r="Y208" s="1" t="n"/>
      <c r="Z208" s="1" t="n"/>
    </row>
    <row r="209" ht="15.75" customHeight="1" s="311">
      <c r="A209" s="145" t="n"/>
      <c r="B209" s="145" t="n"/>
      <c r="C209" s="145" t="n"/>
      <c r="D209" s="145" t="n"/>
      <c r="E209" s="145" t="n"/>
      <c r="F209" s="145" t="n"/>
      <c r="G209" s="145" t="n"/>
      <c r="H209" s="145" t="n"/>
      <c r="I209" s="145" t="n"/>
      <c r="J209" s="145" t="n"/>
      <c r="K209" s="145" t="n"/>
      <c r="L209" s="145" t="n"/>
      <c r="M209" s="1" t="n"/>
      <c r="N209" s="1" t="n"/>
      <c r="O209" s="1" t="n"/>
      <c r="P209" s="1" t="n"/>
      <c r="Q209" s="1" t="n"/>
      <c r="R209" s="1" t="n"/>
      <c r="S209" s="1" t="n"/>
      <c r="T209" s="1" t="n"/>
      <c r="U209" s="1" t="n"/>
      <c r="V209" s="1" t="n"/>
      <c r="W209" s="1" t="n"/>
      <c r="X209" s="1" t="n"/>
      <c r="Y209" s="1" t="n"/>
      <c r="Z209" s="1" t="n"/>
    </row>
    <row r="210" ht="15.75" customHeight="1" s="311">
      <c r="A210" s="145" t="n"/>
      <c r="B210" s="145" t="n"/>
      <c r="C210" s="145" t="n"/>
      <c r="D210" s="145" t="n"/>
      <c r="E210" s="145" t="n"/>
      <c r="F210" s="145" t="n"/>
      <c r="G210" s="145" t="n"/>
      <c r="H210" s="145" t="n"/>
      <c r="I210" s="145" t="n"/>
      <c r="J210" s="145" t="n"/>
      <c r="K210" s="145" t="n"/>
      <c r="L210" s="145" t="n"/>
      <c r="M210" s="1" t="n"/>
      <c r="N210" s="1" t="n"/>
      <c r="O210" s="1" t="n"/>
      <c r="P210" s="1" t="n"/>
      <c r="Q210" s="1" t="n"/>
      <c r="R210" s="1" t="n"/>
      <c r="S210" s="1" t="n"/>
      <c r="T210" s="1" t="n"/>
      <c r="U210" s="1" t="n"/>
      <c r="V210" s="1" t="n"/>
      <c r="W210" s="1" t="n"/>
      <c r="X210" s="1" t="n"/>
      <c r="Y210" s="1" t="n"/>
      <c r="Z210" s="1" t="n"/>
    </row>
    <row r="211" ht="15.75" customHeight="1" s="311">
      <c r="A211" s="145" t="n"/>
      <c r="B211" s="145" t="n"/>
      <c r="C211" s="145" t="n"/>
      <c r="D211" s="145" t="n"/>
      <c r="E211" s="145" t="n"/>
      <c r="F211" s="145" t="n"/>
      <c r="G211" s="145" t="n"/>
      <c r="H211" s="145" t="n"/>
      <c r="I211" s="145" t="n"/>
      <c r="J211" s="145" t="n"/>
      <c r="K211" s="145" t="n"/>
      <c r="L211" s="145" t="n"/>
      <c r="M211" s="1" t="n"/>
      <c r="N211" s="1" t="n"/>
      <c r="O211" s="1" t="n"/>
      <c r="P211" s="1" t="n"/>
      <c r="Q211" s="1" t="n"/>
      <c r="R211" s="1" t="n"/>
      <c r="S211" s="1" t="n"/>
      <c r="T211" s="1" t="n"/>
      <c r="U211" s="1" t="n"/>
      <c r="V211" s="1" t="n"/>
      <c r="W211" s="1" t="n"/>
      <c r="X211" s="1" t="n"/>
      <c r="Y211" s="1" t="n"/>
      <c r="Z211" s="1" t="n"/>
    </row>
    <row r="212" ht="15.75" customHeight="1" s="311">
      <c r="A212" s="145" t="n"/>
      <c r="B212" s="145" t="n"/>
      <c r="C212" s="145" t="n"/>
      <c r="D212" s="145" t="n"/>
      <c r="E212" s="145" t="n"/>
      <c r="F212" s="145" t="n"/>
      <c r="G212" s="145" t="n"/>
      <c r="H212" s="145" t="n"/>
      <c r="I212" s="145" t="n"/>
      <c r="J212" s="145" t="n"/>
      <c r="K212" s="145" t="n"/>
      <c r="L212" s="145" t="n"/>
      <c r="M212" s="1" t="n"/>
      <c r="N212" s="1" t="n"/>
      <c r="O212" s="1" t="n"/>
      <c r="P212" s="1" t="n"/>
      <c r="Q212" s="1" t="n"/>
      <c r="R212" s="1" t="n"/>
      <c r="S212" s="1" t="n"/>
      <c r="T212" s="1" t="n"/>
      <c r="U212" s="1" t="n"/>
      <c r="V212" s="1" t="n"/>
      <c r="W212" s="1" t="n"/>
      <c r="X212" s="1" t="n"/>
      <c r="Y212" s="1" t="n"/>
      <c r="Z212" s="1" t="n"/>
    </row>
    <row r="213" ht="15.75" customHeight="1" s="311">
      <c r="A213" s="145" t="n"/>
      <c r="B213" s="145" t="n"/>
      <c r="C213" s="145" t="n"/>
      <c r="D213" s="145" t="n"/>
      <c r="E213" s="145" t="n"/>
      <c r="F213" s="145" t="n"/>
      <c r="G213" s="145" t="n"/>
      <c r="H213" s="145" t="n"/>
      <c r="I213" s="145" t="n"/>
      <c r="J213" s="145" t="n"/>
      <c r="K213" s="145" t="n"/>
      <c r="L213" s="145" t="n"/>
      <c r="M213" s="1" t="n"/>
      <c r="N213" s="1" t="n"/>
      <c r="O213" s="1" t="n"/>
      <c r="P213" s="1" t="n"/>
      <c r="Q213" s="1" t="n"/>
      <c r="R213" s="1" t="n"/>
      <c r="S213" s="1" t="n"/>
      <c r="T213" s="1" t="n"/>
      <c r="U213" s="1" t="n"/>
      <c r="V213" s="1" t="n"/>
      <c r="W213" s="1" t="n"/>
      <c r="X213" s="1" t="n"/>
      <c r="Y213" s="1" t="n"/>
      <c r="Z213" s="1" t="n"/>
    </row>
    <row r="214" ht="15.75" customHeight="1" s="311">
      <c r="A214" s="145" t="n"/>
      <c r="B214" s="145" t="n"/>
      <c r="C214" s="145" t="n"/>
      <c r="D214" s="145" t="n"/>
      <c r="E214" s="145" t="n"/>
      <c r="F214" s="145" t="n"/>
      <c r="G214" s="145" t="n"/>
      <c r="H214" s="145" t="n"/>
      <c r="I214" s="145" t="n"/>
      <c r="J214" s="145" t="n"/>
      <c r="K214" s="145" t="n"/>
      <c r="L214" s="145" t="n"/>
      <c r="M214" s="1" t="n"/>
      <c r="N214" s="1" t="n"/>
      <c r="O214" s="1" t="n"/>
      <c r="P214" s="1" t="n"/>
      <c r="Q214" s="1" t="n"/>
      <c r="R214" s="1" t="n"/>
      <c r="S214" s="1" t="n"/>
      <c r="T214" s="1" t="n"/>
      <c r="U214" s="1" t="n"/>
      <c r="V214" s="1" t="n"/>
      <c r="W214" s="1" t="n"/>
      <c r="X214" s="1" t="n"/>
      <c r="Y214" s="1" t="n"/>
      <c r="Z214" s="1" t="n"/>
    </row>
    <row r="215" ht="15.75" customHeight="1" s="311">
      <c r="A215" s="145" t="n"/>
      <c r="B215" s="145" t="n"/>
      <c r="C215" s="145" t="n"/>
      <c r="D215" s="145" t="n"/>
      <c r="E215" s="145" t="n"/>
      <c r="F215" s="145" t="n"/>
      <c r="G215" s="145" t="n"/>
      <c r="H215" s="145" t="n"/>
      <c r="I215" s="145" t="n"/>
      <c r="J215" s="145" t="n"/>
      <c r="K215" s="145" t="n"/>
      <c r="L215" s="145" t="n"/>
      <c r="M215" s="1" t="n"/>
      <c r="N215" s="1" t="n"/>
      <c r="O215" s="1" t="n"/>
      <c r="P215" s="1" t="n"/>
      <c r="Q215" s="1" t="n"/>
      <c r="R215" s="1" t="n"/>
      <c r="S215" s="1" t="n"/>
      <c r="T215" s="1" t="n"/>
      <c r="U215" s="1" t="n"/>
      <c r="V215" s="1" t="n"/>
      <c r="W215" s="1" t="n"/>
      <c r="X215" s="1" t="n"/>
      <c r="Y215" s="1" t="n"/>
      <c r="Z215" s="1" t="n"/>
    </row>
    <row r="216" ht="15.75" customHeight="1" s="311">
      <c r="A216" s="145" t="n"/>
      <c r="B216" s="145" t="n"/>
      <c r="C216" s="145" t="n"/>
      <c r="D216" s="145" t="n"/>
      <c r="E216" s="145" t="n"/>
      <c r="F216" s="145" t="n"/>
      <c r="G216" s="145" t="n"/>
      <c r="H216" s="145" t="n"/>
      <c r="I216" s="145" t="n"/>
      <c r="J216" s="145" t="n"/>
      <c r="K216" s="145" t="n"/>
      <c r="L216" s="145" t="n"/>
      <c r="M216" s="1" t="n"/>
      <c r="N216" s="1" t="n"/>
      <c r="O216" s="1" t="n"/>
      <c r="P216" s="1" t="n"/>
      <c r="Q216" s="1" t="n"/>
      <c r="R216" s="1" t="n"/>
      <c r="S216" s="1" t="n"/>
      <c r="T216" s="1" t="n"/>
      <c r="U216" s="1" t="n"/>
      <c r="V216" s="1" t="n"/>
      <c r="W216" s="1" t="n"/>
      <c r="X216" s="1" t="n"/>
      <c r="Y216" s="1" t="n"/>
      <c r="Z216" s="1" t="n"/>
    </row>
    <row r="217" ht="15.75" customHeight="1" s="311">
      <c r="A217" s="145" t="n"/>
      <c r="B217" s="145" t="n"/>
      <c r="C217" s="145" t="n"/>
      <c r="D217" s="145" t="n"/>
      <c r="E217" s="145" t="n"/>
      <c r="F217" s="145" t="n"/>
      <c r="G217" s="145" t="n"/>
      <c r="H217" s="145" t="n"/>
      <c r="I217" s="145" t="n"/>
      <c r="J217" s="145" t="n"/>
      <c r="K217" s="145" t="n"/>
      <c r="L217" s="145" t="n"/>
      <c r="M217" s="1" t="n"/>
      <c r="N217" s="1" t="n"/>
      <c r="O217" s="1" t="n"/>
      <c r="P217" s="1" t="n"/>
      <c r="Q217" s="1" t="n"/>
      <c r="R217" s="1" t="n"/>
      <c r="S217" s="1" t="n"/>
      <c r="T217" s="1" t="n"/>
      <c r="U217" s="1" t="n"/>
      <c r="V217" s="1" t="n"/>
      <c r="W217" s="1" t="n"/>
      <c r="X217" s="1" t="n"/>
      <c r="Y217" s="1" t="n"/>
      <c r="Z217" s="1" t="n"/>
    </row>
    <row r="218" ht="15.75" customHeight="1" s="311">
      <c r="A218" s="145" t="n"/>
      <c r="B218" s="145" t="n"/>
      <c r="C218" s="145" t="n"/>
      <c r="D218" s="145" t="n"/>
      <c r="E218" s="145" t="n"/>
      <c r="F218" s="145" t="n"/>
      <c r="G218" s="145" t="n"/>
      <c r="H218" s="145" t="n"/>
      <c r="I218" s="145" t="n"/>
      <c r="J218" s="145" t="n"/>
      <c r="K218" s="145" t="n"/>
      <c r="L218" s="145" t="n"/>
      <c r="M218" s="1" t="n"/>
      <c r="N218" s="1" t="n"/>
      <c r="O218" s="1" t="n"/>
      <c r="P218" s="1" t="n"/>
      <c r="Q218" s="1" t="n"/>
      <c r="R218" s="1" t="n"/>
      <c r="S218" s="1" t="n"/>
      <c r="T218" s="1" t="n"/>
      <c r="U218" s="1" t="n"/>
      <c r="V218" s="1" t="n"/>
      <c r="W218" s="1" t="n"/>
      <c r="X218" s="1" t="n"/>
      <c r="Y218" s="1" t="n"/>
      <c r="Z218" s="1" t="n"/>
    </row>
    <row r="219" ht="15.75" customHeight="1" s="311">
      <c r="A219" s="145" t="n"/>
      <c r="B219" s="145" t="n"/>
      <c r="C219" s="145" t="n"/>
      <c r="D219" s="145" t="n"/>
      <c r="E219" s="145" t="n"/>
      <c r="F219" s="145" t="n"/>
      <c r="G219" s="145" t="n"/>
      <c r="H219" s="145" t="n"/>
      <c r="I219" s="145" t="n"/>
      <c r="J219" s="145" t="n"/>
      <c r="K219" s="145" t="n"/>
      <c r="L219" s="145" t="n"/>
      <c r="M219" s="1" t="n"/>
      <c r="N219" s="1" t="n"/>
      <c r="O219" s="1" t="n"/>
      <c r="P219" s="1" t="n"/>
      <c r="Q219" s="1" t="n"/>
      <c r="R219" s="1" t="n"/>
      <c r="S219" s="1" t="n"/>
      <c r="T219" s="1" t="n"/>
      <c r="U219" s="1" t="n"/>
      <c r="V219" s="1" t="n"/>
      <c r="W219" s="1" t="n"/>
      <c r="X219" s="1" t="n"/>
      <c r="Y219" s="1" t="n"/>
      <c r="Z219" s="1" t="n"/>
    </row>
    <row r="220" ht="15.75" customHeight="1" s="311">
      <c r="A220" s="145" t="n"/>
      <c r="B220" s="145" t="n"/>
      <c r="C220" s="145" t="n"/>
      <c r="D220" s="145" t="n"/>
      <c r="E220" s="145" t="n"/>
      <c r="F220" s="145" t="n"/>
      <c r="G220" s="145" t="n"/>
      <c r="H220" s="145" t="n"/>
      <c r="I220" s="145" t="n"/>
      <c r="J220" s="145" t="n"/>
      <c r="K220" s="145" t="n"/>
      <c r="L220" s="145" t="n"/>
      <c r="M220" s="1" t="n"/>
      <c r="N220" s="1" t="n"/>
      <c r="O220" s="1" t="n"/>
      <c r="P220" s="1" t="n"/>
      <c r="Q220" s="1" t="n"/>
      <c r="R220" s="1" t="n"/>
      <c r="S220" s="1" t="n"/>
      <c r="T220" s="1" t="n"/>
      <c r="U220" s="1" t="n"/>
      <c r="V220" s="1" t="n"/>
      <c r="W220" s="1" t="n"/>
      <c r="X220" s="1" t="n"/>
      <c r="Y220" s="1" t="n"/>
      <c r="Z220" s="1" t="n"/>
    </row>
    <row r="221" ht="15.75" customHeight="1" s="311">
      <c r="A221" s="145" t="n"/>
      <c r="B221" s="145" t="n"/>
      <c r="C221" s="145" t="n"/>
      <c r="D221" s="145" t="n"/>
      <c r="E221" s="145" t="n"/>
      <c r="F221" s="145" t="n"/>
      <c r="G221" s="145" t="n"/>
      <c r="H221" s="145" t="n"/>
      <c r="I221" s="145" t="n"/>
      <c r="J221" s="145" t="n"/>
      <c r="K221" s="145" t="n"/>
      <c r="L221" s="145" t="n"/>
      <c r="M221" s="1" t="n"/>
      <c r="N221" s="1" t="n"/>
      <c r="O221" s="1" t="n"/>
      <c r="P221" s="1" t="n"/>
      <c r="Q221" s="1" t="n"/>
      <c r="R221" s="1" t="n"/>
      <c r="S221" s="1" t="n"/>
      <c r="T221" s="1" t="n"/>
      <c r="U221" s="1" t="n"/>
      <c r="V221" s="1" t="n"/>
      <c r="W221" s="1" t="n"/>
      <c r="X221" s="1" t="n"/>
      <c r="Y221" s="1" t="n"/>
      <c r="Z221" s="1" t="n"/>
    </row>
    <row r="222" ht="15.75" customHeight="1" s="311">
      <c r="A222" s="145" t="n"/>
      <c r="B222" s="145" t="n"/>
      <c r="C222" s="145" t="n"/>
      <c r="D222" s="145" t="n"/>
      <c r="E222" s="145" t="n"/>
      <c r="F222" s="145" t="n"/>
      <c r="G222" s="145" t="n"/>
      <c r="H222" s="145" t="n"/>
      <c r="I222" s="145" t="n"/>
      <c r="J222" s="145" t="n"/>
      <c r="K222" s="145" t="n"/>
      <c r="L222" s="145" t="n"/>
      <c r="M222" s="1" t="n"/>
      <c r="N222" s="1" t="n"/>
      <c r="O222" s="1" t="n"/>
      <c r="P222" s="1" t="n"/>
      <c r="Q222" s="1" t="n"/>
      <c r="R222" s="1" t="n"/>
      <c r="S222" s="1" t="n"/>
      <c r="T222" s="1" t="n"/>
      <c r="U222" s="1" t="n"/>
      <c r="V222" s="1" t="n"/>
      <c r="W222" s="1" t="n"/>
      <c r="X222" s="1" t="n"/>
      <c r="Y222" s="1" t="n"/>
      <c r="Z222" s="1" t="n"/>
    </row>
    <row r="223" ht="15.75" customHeight="1" s="311">
      <c r="A223" s="145" t="n"/>
      <c r="B223" s="145" t="n"/>
      <c r="C223" s="145" t="n"/>
      <c r="D223" s="145" t="n"/>
      <c r="E223" s="145" t="n"/>
      <c r="F223" s="145" t="n"/>
      <c r="G223" s="145" t="n"/>
      <c r="H223" s="145" t="n"/>
      <c r="I223" s="145" t="n"/>
      <c r="J223" s="145" t="n"/>
      <c r="K223" s="145" t="n"/>
      <c r="L223" s="145" t="n"/>
      <c r="M223" s="1" t="n"/>
      <c r="N223" s="1" t="n"/>
      <c r="O223" s="1" t="n"/>
      <c r="P223" s="1" t="n"/>
      <c r="Q223" s="1" t="n"/>
      <c r="R223" s="1" t="n"/>
      <c r="S223" s="1" t="n"/>
      <c r="T223" s="1" t="n"/>
      <c r="U223" s="1" t="n"/>
      <c r="V223" s="1" t="n"/>
      <c r="W223" s="1" t="n"/>
      <c r="X223" s="1" t="n"/>
      <c r="Y223" s="1" t="n"/>
      <c r="Z223" s="1" t="n"/>
    </row>
    <row r="224" ht="15.75" customHeight="1" s="311">
      <c r="A224" s="145" t="n"/>
      <c r="B224" s="145" t="n"/>
      <c r="C224" s="145" t="n"/>
      <c r="D224" s="145" t="n"/>
      <c r="E224" s="145" t="n"/>
      <c r="F224" s="145" t="n"/>
      <c r="G224" s="145" t="n"/>
      <c r="H224" s="145" t="n"/>
      <c r="I224" s="145" t="n"/>
      <c r="J224" s="145" t="n"/>
      <c r="K224" s="145" t="n"/>
      <c r="L224" s="145" t="n"/>
      <c r="M224" s="1" t="n"/>
      <c r="N224" s="1" t="n"/>
      <c r="O224" s="1" t="n"/>
      <c r="P224" s="1" t="n"/>
      <c r="Q224" s="1" t="n"/>
      <c r="R224" s="1" t="n"/>
      <c r="S224" s="1" t="n"/>
      <c r="T224" s="1" t="n"/>
      <c r="U224" s="1" t="n"/>
      <c r="V224" s="1" t="n"/>
      <c r="W224" s="1" t="n"/>
      <c r="X224" s="1" t="n"/>
      <c r="Y224" s="1" t="n"/>
      <c r="Z224" s="1" t="n"/>
    </row>
    <row r="225" ht="15.75" customHeight="1" s="311">
      <c r="A225" s="145" t="n"/>
      <c r="B225" s="145" t="n"/>
      <c r="C225" s="145" t="n"/>
      <c r="D225" s="145" t="n"/>
      <c r="E225" s="145" t="n"/>
      <c r="F225" s="145" t="n"/>
      <c r="G225" s="145" t="n"/>
      <c r="H225" s="145" t="n"/>
      <c r="I225" s="145" t="n"/>
      <c r="J225" s="145" t="n"/>
      <c r="K225" s="145" t="n"/>
      <c r="L225" s="145" t="n"/>
      <c r="M225" s="1" t="n"/>
      <c r="N225" s="1" t="n"/>
      <c r="O225" s="1" t="n"/>
      <c r="P225" s="1" t="n"/>
      <c r="Q225" s="1" t="n"/>
      <c r="R225" s="1" t="n"/>
      <c r="S225" s="1" t="n"/>
      <c r="T225" s="1" t="n"/>
      <c r="U225" s="1" t="n"/>
      <c r="V225" s="1" t="n"/>
      <c r="W225" s="1" t="n"/>
      <c r="X225" s="1" t="n"/>
      <c r="Y225" s="1" t="n"/>
      <c r="Z225" s="1" t="n"/>
    </row>
    <row r="226" ht="15.75" customHeight="1" s="311">
      <c r="A226" s="145" t="n"/>
      <c r="B226" s="145" t="n"/>
      <c r="C226" s="145" t="n"/>
      <c r="D226" s="145" t="n"/>
      <c r="E226" s="145" t="n"/>
      <c r="F226" s="145" t="n"/>
      <c r="G226" s="145" t="n"/>
      <c r="H226" s="145" t="n"/>
      <c r="I226" s="145" t="n"/>
      <c r="J226" s="145" t="n"/>
      <c r="K226" s="145" t="n"/>
      <c r="L226" s="145" t="n"/>
      <c r="M226" s="1" t="n"/>
      <c r="N226" s="1" t="n"/>
      <c r="O226" s="1" t="n"/>
      <c r="P226" s="1" t="n"/>
      <c r="Q226" s="1" t="n"/>
      <c r="R226" s="1" t="n"/>
      <c r="S226" s="1" t="n"/>
      <c r="T226" s="1" t="n"/>
      <c r="U226" s="1" t="n"/>
      <c r="V226" s="1" t="n"/>
      <c r="W226" s="1" t="n"/>
      <c r="X226" s="1" t="n"/>
      <c r="Y226" s="1" t="n"/>
      <c r="Z226" s="1" t="n"/>
    </row>
    <row r="227" ht="15.75" customHeight="1" s="311">
      <c r="A227" s="145" t="n"/>
      <c r="B227" s="145" t="n"/>
      <c r="C227" s="145" t="n"/>
      <c r="D227" s="145" t="n"/>
      <c r="E227" s="145" t="n"/>
      <c r="F227" s="145" t="n"/>
      <c r="G227" s="145" t="n"/>
      <c r="H227" s="145" t="n"/>
      <c r="I227" s="145" t="n"/>
      <c r="J227" s="145" t="n"/>
      <c r="K227" s="145" t="n"/>
      <c r="L227" s="145" t="n"/>
      <c r="M227" s="1" t="n"/>
      <c r="N227" s="1" t="n"/>
      <c r="O227" s="1" t="n"/>
      <c r="P227" s="1" t="n"/>
      <c r="Q227" s="1" t="n"/>
      <c r="R227" s="1" t="n"/>
      <c r="S227" s="1" t="n"/>
      <c r="T227" s="1" t="n"/>
      <c r="U227" s="1" t="n"/>
      <c r="V227" s="1" t="n"/>
      <c r="W227" s="1" t="n"/>
      <c r="X227" s="1" t="n"/>
      <c r="Y227" s="1" t="n"/>
      <c r="Z227" s="1" t="n"/>
    </row>
    <row r="228" ht="15.75" customHeight="1" s="311">
      <c r="A228" s="145" t="n"/>
      <c r="B228" s="145" t="n"/>
      <c r="C228" s="145" t="n"/>
      <c r="D228" s="145" t="n"/>
      <c r="E228" s="145" t="n"/>
      <c r="F228" s="145" t="n"/>
      <c r="G228" s="145" t="n"/>
      <c r="H228" s="145" t="n"/>
      <c r="I228" s="145" t="n"/>
      <c r="J228" s="145" t="n"/>
      <c r="K228" s="145" t="n"/>
      <c r="L228" s="145" t="n"/>
      <c r="M228" s="1" t="n"/>
      <c r="N228" s="1" t="n"/>
      <c r="O228" s="1" t="n"/>
      <c r="P228" s="1" t="n"/>
      <c r="Q228" s="1" t="n"/>
      <c r="R228" s="1" t="n"/>
      <c r="S228" s="1" t="n"/>
      <c r="T228" s="1" t="n"/>
      <c r="U228" s="1" t="n"/>
      <c r="V228" s="1" t="n"/>
      <c r="W228" s="1" t="n"/>
      <c r="X228" s="1" t="n"/>
      <c r="Y228" s="1" t="n"/>
      <c r="Z228" s="1" t="n"/>
    </row>
    <row r="229" ht="15.75" customHeight="1" s="311">
      <c r="A229" s="145" t="n"/>
      <c r="B229" s="145" t="n"/>
      <c r="C229" s="145" t="n"/>
      <c r="D229" s="145" t="n"/>
      <c r="E229" s="145" t="n"/>
      <c r="F229" s="145" t="n"/>
      <c r="G229" s="145" t="n"/>
      <c r="H229" s="145" t="n"/>
      <c r="I229" s="145" t="n"/>
      <c r="J229" s="145" t="n"/>
      <c r="K229" s="145" t="n"/>
      <c r="L229" s="145" t="n"/>
      <c r="M229" s="1" t="n"/>
      <c r="N229" s="1" t="n"/>
      <c r="O229" s="1" t="n"/>
      <c r="P229" s="1" t="n"/>
      <c r="Q229" s="1" t="n"/>
      <c r="R229" s="1" t="n"/>
      <c r="S229" s="1" t="n"/>
      <c r="T229" s="1" t="n"/>
      <c r="U229" s="1" t="n"/>
      <c r="V229" s="1" t="n"/>
      <c r="W229" s="1" t="n"/>
      <c r="X229" s="1" t="n"/>
      <c r="Y229" s="1" t="n"/>
      <c r="Z229" s="1" t="n"/>
    </row>
    <row r="230" ht="15.75" customHeight="1" s="311">
      <c r="A230" s="145" t="n"/>
      <c r="B230" s="145" t="n"/>
      <c r="C230" s="145" t="n"/>
      <c r="D230" s="145" t="n"/>
      <c r="E230" s="145" t="n"/>
      <c r="F230" s="145" t="n"/>
      <c r="G230" s="145" t="n"/>
      <c r="H230" s="145" t="n"/>
      <c r="I230" s="145" t="n"/>
      <c r="J230" s="145" t="n"/>
      <c r="K230" s="145" t="n"/>
      <c r="L230" s="145" t="n"/>
      <c r="M230" s="1" t="n"/>
      <c r="N230" s="1" t="n"/>
      <c r="O230" s="1" t="n"/>
      <c r="P230" s="1" t="n"/>
      <c r="Q230" s="1" t="n"/>
      <c r="R230" s="1" t="n"/>
      <c r="S230" s="1" t="n"/>
      <c r="T230" s="1" t="n"/>
      <c r="U230" s="1" t="n"/>
      <c r="V230" s="1" t="n"/>
      <c r="W230" s="1" t="n"/>
      <c r="X230" s="1" t="n"/>
      <c r="Y230" s="1" t="n"/>
      <c r="Z230" s="1" t="n"/>
    </row>
    <row r="231" ht="15.75" customHeight="1" s="311">
      <c r="A231" s="145" t="n"/>
      <c r="B231" s="145" t="n"/>
      <c r="C231" s="145" t="n"/>
      <c r="D231" s="145" t="n"/>
      <c r="E231" s="145" t="n"/>
      <c r="F231" s="145" t="n"/>
      <c r="G231" s="145" t="n"/>
      <c r="H231" s="145" t="n"/>
      <c r="I231" s="145" t="n"/>
      <c r="J231" s="145" t="n"/>
      <c r="K231" s="145" t="n"/>
      <c r="L231" s="145" t="n"/>
      <c r="M231" s="1" t="n"/>
      <c r="N231" s="1" t="n"/>
      <c r="O231" s="1" t="n"/>
      <c r="P231" s="1" t="n"/>
      <c r="Q231" s="1" t="n"/>
      <c r="R231" s="1" t="n"/>
      <c r="S231" s="1" t="n"/>
      <c r="T231" s="1" t="n"/>
      <c r="U231" s="1" t="n"/>
      <c r="V231" s="1" t="n"/>
      <c r="W231" s="1" t="n"/>
      <c r="X231" s="1" t="n"/>
      <c r="Y231" s="1" t="n"/>
      <c r="Z231" s="1" t="n"/>
    </row>
    <row r="232" ht="15.75" customHeight="1" s="311">
      <c r="A232" s="145" t="n"/>
      <c r="B232" s="145" t="n"/>
      <c r="C232" s="145" t="n"/>
      <c r="D232" s="145" t="n"/>
      <c r="E232" s="145" t="n"/>
      <c r="F232" s="145" t="n"/>
      <c r="G232" s="145" t="n"/>
      <c r="H232" s="145" t="n"/>
      <c r="I232" s="145" t="n"/>
      <c r="J232" s="145" t="n"/>
      <c r="K232" s="145" t="n"/>
      <c r="L232" s="145" t="n"/>
      <c r="M232" s="1" t="n"/>
      <c r="N232" s="1" t="n"/>
      <c r="O232" s="1" t="n"/>
      <c r="P232" s="1" t="n"/>
      <c r="Q232" s="1" t="n"/>
      <c r="R232" s="1" t="n"/>
      <c r="S232" s="1" t="n"/>
      <c r="T232" s="1" t="n"/>
      <c r="U232" s="1" t="n"/>
      <c r="V232" s="1" t="n"/>
      <c r="W232" s="1" t="n"/>
      <c r="X232" s="1" t="n"/>
      <c r="Y232" s="1" t="n"/>
      <c r="Z232" s="1" t="n"/>
    </row>
    <row r="233" ht="15.75" customHeight="1" s="311">
      <c r="A233" s="145" t="n"/>
      <c r="B233" s="145" t="n"/>
      <c r="C233" s="145" t="n"/>
      <c r="D233" s="145" t="n"/>
      <c r="E233" s="145" t="n"/>
      <c r="F233" s="145" t="n"/>
      <c r="G233" s="145" t="n"/>
      <c r="H233" s="145" t="n"/>
      <c r="I233" s="145" t="n"/>
      <c r="J233" s="145" t="n"/>
      <c r="K233" s="145" t="n"/>
      <c r="L233" s="145" t="n"/>
      <c r="M233" s="1" t="n"/>
      <c r="N233" s="1" t="n"/>
      <c r="O233" s="1" t="n"/>
      <c r="P233" s="1" t="n"/>
      <c r="Q233" s="1" t="n"/>
      <c r="R233" s="1" t="n"/>
      <c r="S233" s="1" t="n"/>
      <c r="T233" s="1" t="n"/>
      <c r="U233" s="1" t="n"/>
      <c r="V233" s="1" t="n"/>
      <c r="W233" s="1" t="n"/>
      <c r="X233" s="1" t="n"/>
      <c r="Y233" s="1" t="n"/>
      <c r="Z233" s="1" t="n"/>
    </row>
    <row r="234" ht="15.75" customHeight="1" s="311">
      <c r="A234" s="145" t="n"/>
      <c r="B234" s="145" t="n"/>
      <c r="C234" s="145" t="n"/>
      <c r="D234" s="145" t="n"/>
      <c r="E234" s="145" t="n"/>
      <c r="F234" s="145" t="n"/>
      <c r="G234" s="145" t="n"/>
      <c r="H234" s="145" t="n"/>
      <c r="I234" s="145" t="n"/>
      <c r="J234" s="145" t="n"/>
      <c r="K234" s="145" t="n"/>
      <c r="L234" s="145" t="n"/>
      <c r="M234" s="1" t="n"/>
      <c r="N234" s="1" t="n"/>
      <c r="O234" s="1" t="n"/>
      <c r="P234" s="1" t="n"/>
      <c r="Q234" s="1" t="n"/>
      <c r="R234" s="1" t="n"/>
      <c r="S234" s="1" t="n"/>
      <c r="T234" s="1" t="n"/>
      <c r="U234" s="1" t="n"/>
      <c r="V234" s="1" t="n"/>
      <c r="W234" s="1" t="n"/>
      <c r="X234" s="1" t="n"/>
      <c r="Y234" s="1" t="n"/>
      <c r="Z234" s="1" t="n"/>
    </row>
    <row r="235" ht="15.75" customHeight="1" s="311">
      <c r="A235" s="145" t="n"/>
      <c r="B235" s="145" t="n"/>
      <c r="C235" s="145" t="n"/>
      <c r="D235" s="145" t="n"/>
      <c r="E235" s="145" t="n"/>
      <c r="F235" s="145" t="n"/>
      <c r="G235" s="145" t="n"/>
      <c r="H235" s="145" t="n"/>
      <c r="I235" s="145" t="n"/>
      <c r="J235" s="145" t="n"/>
      <c r="K235" s="145" t="n"/>
      <c r="L235" s="145" t="n"/>
      <c r="M235" s="1" t="n"/>
      <c r="N235" s="1" t="n"/>
      <c r="O235" s="1" t="n"/>
      <c r="P235" s="1" t="n"/>
      <c r="Q235" s="1" t="n"/>
      <c r="R235" s="1" t="n"/>
      <c r="S235" s="1" t="n"/>
      <c r="T235" s="1" t="n"/>
      <c r="U235" s="1" t="n"/>
      <c r="V235" s="1" t="n"/>
      <c r="W235" s="1" t="n"/>
      <c r="X235" s="1" t="n"/>
      <c r="Y235" s="1" t="n"/>
      <c r="Z235" s="1" t="n"/>
    </row>
    <row r="236" ht="15.75" customHeight="1" s="311">
      <c r="A236" s="145" t="n"/>
      <c r="B236" s="145" t="n"/>
      <c r="C236" s="145" t="n"/>
      <c r="D236" s="145" t="n"/>
      <c r="E236" s="145" t="n"/>
      <c r="F236" s="145" t="n"/>
      <c r="G236" s="145" t="n"/>
      <c r="H236" s="145" t="n"/>
      <c r="I236" s="145" t="n"/>
      <c r="J236" s="145" t="n"/>
      <c r="K236" s="145" t="n"/>
      <c r="L236" s="145" t="n"/>
      <c r="M236" s="1" t="n"/>
      <c r="N236" s="1" t="n"/>
      <c r="O236" s="1" t="n"/>
      <c r="P236" s="1" t="n"/>
      <c r="Q236" s="1" t="n"/>
      <c r="R236" s="1" t="n"/>
      <c r="S236" s="1" t="n"/>
      <c r="T236" s="1" t="n"/>
      <c r="U236" s="1" t="n"/>
      <c r="V236" s="1" t="n"/>
      <c r="W236" s="1" t="n"/>
      <c r="X236" s="1" t="n"/>
      <c r="Y236" s="1" t="n"/>
      <c r="Z236" s="1" t="n"/>
    </row>
    <row r="237" ht="15.75" customHeight="1" s="311">
      <c r="A237" s="145" t="n"/>
      <c r="B237" s="145" t="n"/>
      <c r="C237" s="145" t="n"/>
      <c r="D237" s="145" t="n"/>
      <c r="E237" s="145" t="n"/>
      <c r="F237" s="145" t="n"/>
      <c r="G237" s="145" t="n"/>
      <c r="H237" s="145" t="n"/>
      <c r="I237" s="145" t="n"/>
      <c r="J237" s="145" t="n"/>
      <c r="K237" s="145" t="n"/>
      <c r="L237" s="145" t="n"/>
      <c r="M237" s="1" t="n"/>
      <c r="N237" s="1" t="n"/>
      <c r="O237" s="1" t="n"/>
      <c r="P237" s="1" t="n"/>
      <c r="Q237" s="1" t="n"/>
      <c r="R237" s="1" t="n"/>
      <c r="S237" s="1" t="n"/>
      <c r="T237" s="1" t="n"/>
      <c r="U237" s="1" t="n"/>
      <c r="V237" s="1" t="n"/>
      <c r="W237" s="1" t="n"/>
      <c r="X237" s="1" t="n"/>
      <c r="Y237" s="1" t="n"/>
      <c r="Z237" s="1" t="n"/>
    </row>
    <row r="238" ht="15.75" customHeight="1" s="311">
      <c r="A238" s="145" t="n"/>
      <c r="B238" s="145" t="n"/>
      <c r="C238" s="145" t="n"/>
      <c r="D238" s="145" t="n"/>
      <c r="E238" s="145" t="n"/>
      <c r="F238" s="145" t="n"/>
      <c r="G238" s="145" t="n"/>
      <c r="H238" s="145" t="n"/>
      <c r="I238" s="145" t="n"/>
      <c r="J238" s="145" t="n"/>
      <c r="K238" s="145" t="n"/>
      <c r="L238" s="145" t="n"/>
      <c r="M238" s="1" t="n"/>
      <c r="N238" s="1" t="n"/>
      <c r="O238" s="1" t="n"/>
      <c r="P238" s="1" t="n"/>
      <c r="Q238" s="1" t="n"/>
      <c r="R238" s="1" t="n"/>
      <c r="S238" s="1" t="n"/>
      <c r="T238" s="1" t="n"/>
      <c r="U238" s="1" t="n"/>
      <c r="V238" s="1" t="n"/>
      <c r="W238" s="1" t="n"/>
      <c r="X238" s="1" t="n"/>
      <c r="Y238" s="1" t="n"/>
      <c r="Z238" s="1" t="n"/>
    </row>
    <row r="239" ht="15.75" customHeight="1" s="311">
      <c r="A239" s="145" t="n"/>
      <c r="B239" s="145" t="n"/>
      <c r="C239" s="145" t="n"/>
      <c r="D239" s="145" t="n"/>
      <c r="E239" s="145" t="n"/>
      <c r="F239" s="145" t="n"/>
      <c r="G239" s="145" t="n"/>
      <c r="H239" s="145" t="n"/>
      <c r="I239" s="145" t="n"/>
      <c r="J239" s="145" t="n"/>
      <c r="K239" s="145" t="n"/>
      <c r="L239" s="145" t="n"/>
      <c r="M239" s="1" t="n"/>
      <c r="N239" s="1" t="n"/>
      <c r="O239" s="1" t="n"/>
      <c r="P239" s="1" t="n"/>
      <c r="Q239" s="1" t="n"/>
      <c r="R239" s="1" t="n"/>
      <c r="S239" s="1" t="n"/>
      <c r="T239" s="1" t="n"/>
      <c r="U239" s="1" t="n"/>
      <c r="V239" s="1" t="n"/>
      <c r="W239" s="1" t="n"/>
      <c r="X239" s="1" t="n"/>
      <c r="Y239" s="1" t="n"/>
      <c r="Z239" s="1" t="n"/>
    </row>
    <row r="240" ht="15.75" customHeight="1" s="311">
      <c r="A240" s="145" t="n"/>
      <c r="B240" s="145" t="n"/>
      <c r="C240" s="145" t="n"/>
      <c r="D240" s="145" t="n"/>
      <c r="E240" s="145" t="n"/>
      <c r="F240" s="145" t="n"/>
      <c r="G240" s="145" t="n"/>
      <c r="H240" s="145" t="n"/>
      <c r="I240" s="145" t="n"/>
      <c r="J240" s="145" t="n"/>
      <c r="K240" s="145" t="n"/>
      <c r="L240" s="145" t="n"/>
      <c r="M240" s="1" t="n"/>
      <c r="N240" s="1" t="n"/>
      <c r="O240" s="1" t="n"/>
      <c r="P240" s="1" t="n"/>
      <c r="Q240" s="1" t="n"/>
      <c r="R240" s="1" t="n"/>
      <c r="S240" s="1" t="n"/>
      <c r="T240" s="1" t="n"/>
      <c r="U240" s="1" t="n"/>
      <c r="V240" s="1" t="n"/>
      <c r="W240" s="1" t="n"/>
      <c r="X240" s="1" t="n"/>
      <c r="Y240" s="1" t="n"/>
      <c r="Z240" s="1" t="n"/>
    </row>
    <row r="241" ht="15.75" customHeight="1" s="311">
      <c r="A241" s="145" t="n"/>
      <c r="B241" s="145" t="n"/>
      <c r="C241" s="145" t="n"/>
      <c r="D241" s="145" t="n"/>
      <c r="E241" s="145" t="n"/>
      <c r="F241" s="145" t="n"/>
      <c r="G241" s="145" t="n"/>
      <c r="H241" s="145" t="n"/>
      <c r="I241" s="145" t="n"/>
      <c r="J241" s="145" t="n"/>
      <c r="K241" s="145" t="n"/>
      <c r="L241" s="145" t="n"/>
      <c r="M241" s="1" t="n"/>
      <c r="N241" s="1" t="n"/>
      <c r="O241" s="1" t="n"/>
      <c r="P241" s="1" t="n"/>
      <c r="Q241" s="1" t="n"/>
      <c r="R241" s="1" t="n"/>
      <c r="S241" s="1" t="n"/>
      <c r="T241" s="1" t="n"/>
      <c r="U241" s="1" t="n"/>
      <c r="V241" s="1" t="n"/>
      <c r="W241" s="1" t="n"/>
      <c r="X241" s="1" t="n"/>
      <c r="Y241" s="1" t="n"/>
      <c r="Z241" s="1" t="n"/>
    </row>
    <row r="242" ht="15.75" customHeight="1" s="311">
      <c r="A242" s="145" t="n"/>
      <c r="B242" s="145" t="n"/>
      <c r="C242" s="145" t="n"/>
      <c r="D242" s="145" t="n"/>
      <c r="E242" s="145" t="n"/>
      <c r="F242" s="145" t="n"/>
      <c r="G242" s="145" t="n"/>
      <c r="H242" s="145" t="n"/>
      <c r="I242" s="145" t="n"/>
      <c r="J242" s="145" t="n"/>
      <c r="K242" s="145" t="n"/>
      <c r="L242" s="145" t="n"/>
      <c r="M242" s="1" t="n"/>
      <c r="N242" s="1" t="n"/>
      <c r="O242" s="1" t="n"/>
      <c r="P242" s="1" t="n"/>
      <c r="Q242" s="1" t="n"/>
      <c r="R242" s="1" t="n"/>
      <c r="S242" s="1" t="n"/>
      <c r="T242" s="1" t="n"/>
      <c r="U242" s="1" t="n"/>
      <c r="V242" s="1" t="n"/>
      <c r="W242" s="1" t="n"/>
      <c r="X242" s="1" t="n"/>
      <c r="Y242" s="1" t="n"/>
      <c r="Z242" s="1" t="n"/>
    </row>
    <row r="243" ht="15.75" customHeight="1" s="311">
      <c r="A243" s="145" t="n"/>
      <c r="B243" s="145" t="n"/>
      <c r="C243" s="145" t="n"/>
      <c r="D243" s="145" t="n"/>
      <c r="E243" s="145" t="n"/>
      <c r="F243" s="145" t="n"/>
      <c r="G243" s="145" t="n"/>
      <c r="H243" s="145" t="n"/>
      <c r="I243" s="145" t="n"/>
      <c r="J243" s="145" t="n"/>
      <c r="K243" s="145" t="n"/>
      <c r="L243" s="145" t="n"/>
      <c r="M243" s="1" t="n"/>
      <c r="N243" s="1" t="n"/>
      <c r="O243" s="1" t="n"/>
      <c r="P243" s="1" t="n"/>
      <c r="Q243" s="1" t="n"/>
      <c r="R243" s="1" t="n"/>
      <c r="S243" s="1" t="n"/>
      <c r="T243" s="1" t="n"/>
      <c r="U243" s="1" t="n"/>
      <c r="V243" s="1" t="n"/>
      <c r="W243" s="1" t="n"/>
      <c r="X243" s="1" t="n"/>
      <c r="Y243" s="1" t="n"/>
      <c r="Z243" s="1" t="n"/>
    </row>
    <row r="244" ht="15.75" customHeight="1" s="311">
      <c r="A244" s="145" t="n"/>
      <c r="B244" s="145" t="n"/>
      <c r="C244" s="145" t="n"/>
      <c r="D244" s="145" t="n"/>
      <c r="E244" s="145" t="n"/>
      <c r="F244" s="145" t="n"/>
      <c r="G244" s="145" t="n"/>
      <c r="H244" s="145" t="n"/>
      <c r="I244" s="145" t="n"/>
      <c r="J244" s="145" t="n"/>
      <c r="K244" s="145" t="n"/>
      <c r="L244" s="145" t="n"/>
      <c r="M244" s="1" t="n"/>
      <c r="N244" s="1" t="n"/>
      <c r="O244" s="1" t="n"/>
      <c r="P244" s="1" t="n"/>
      <c r="Q244" s="1" t="n"/>
      <c r="R244" s="1" t="n"/>
      <c r="S244" s="1" t="n"/>
      <c r="T244" s="1" t="n"/>
      <c r="U244" s="1" t="n"/>
      <c r="V244" s="1" t="n"/>
      <c r="W244" s="1" t="n"/>
      <c r="X244" s="1" t="n"/>
      <c r="Y244" s="1" t="n"/>
      <c r="Z244" s="1" t="n"/>
    </row>
    <row r="245" ht="15.75" customHeight="1" s="311">
      <c r="A245" s="145" t="n"/>
      <c r="B245" s="145" t="n"/>
      <c r="C245" s="145" t="n"/>
      <c r="D245" s="145" t="n"/>
      <c r="E245" s="145" t="n"/>
      <c r="F245" s="145" t="n"/>
      <c r="G245" s="145" t="n"/>
      <c r="H245" s="145" t="n"/>
      <c r="I245" s="145" t="n"/>
      <c r="J245" s="145" t="n"/>
      <c r="K245" s="145" t="n"/>
      <c r="L245" s="145" t="n"/>
      <c r="M245" s="1" t="n"/>
      <c r="N245" s="1" t="n"/>
      <c r="O245" s="1" t="n"/>
      <c r="P245" s="1" t="n"/>
      <c r="Q245" s="1" t="n"/>
      <c r="R245" s="1" t="n"/>
      <c r="S245" s="1" t="n"/>
      <c r="T245" s="1" t="n"/>
      <c r="U245" s="1" t="n"/>
      <c r="V245" s="1" t="n"/>
      <c r="W245" s="1" t="n"/>
      <c r="X245" s="1" t="n"/>
      <c r="Y245" s="1" t="n"/>
      <c r="Z245" s="1" t="n"/>
    </row>
    <row r="246" ht="15.75" customHeight="1" s="311">
      <c r="A246" s="145" t="n"/>
      <c r="B246" s="145" t="n"/>
      <c r="C246" s="145" t="n"/>
      <c r="D246" s="145" t="n"/>
      <c r="E246" s="145" t="n"/>
      <c r="F246" s="145" t="n"/>
      <c r="G246" s="145" t="n"/>
      <c r="H246" s="145" t="n"/>
      <c r="I246" s="145" t="n"/>
      <c r="J246" s="145" t="n"/>
      <c r="K246" s="145" t="n"/>
      <c r="L246" s="145" t="n"/>
      <c r="M246" s="1" t="n"/>
      <c r="N246" s="1" t="n"/>
      <c r="O246" s="1" t="n"/>
      <c r="P246" s="1" t="n"/>
      <c r="Q246" s="1" t="n"/>
      <c r="R246" s="1" t="n"/>
      <c r="S246" s="1" t="n"/>
      <c r="T246" s="1" t="n"/>
      <c r="U246" s="1" t="n"/>
      <c r="V246" s="1" t="n"/>
      <c r="W246" s="1" t="n"/>
      <c r="X246" s="1" t="n"/>
      <c r="Y246" s="1" t="n"/>
      <c r="Z246" s="1" t="n"/>
    </row>
    <row r="247" ht="15.75" customHeight="1" s="311">
      <c r="A247" s="145" t="n"/>
      <c r="B247" s="145" t="n"/>
      <c r="C247" s="145" t="n"/>
      <c r="D247" s="145" t="n"/>
      <c r="E247" s="145" t="n"/>
      <c r="F247" s="145" t="n"/>
      <c r="G247" s="145" t="n"/>
      <c r="H247" s="145" t="n"/>
      <c r="I247" s="145" t="n"/>
      <c r="J247" s="145" t="n"/>
      <c r="K247" s="145" t="n"/>
      <c r="L247" s="145" t="n"/>
      <c r="M247" s="1" t="n"/>
      <c r="N247" s="1" t="n"/>
      <c r="O247" s="1" t="n"/>
      <c r="P247" s="1" t="n"/>
      <c r="Q247" s="1" t="n"/>
      <c r="R247" s="1" t="n"/>
      <c r="S247" s="1" t="n"/>
      <c r="T247" s="1" t="n"/>
      <c r="U247" s="1" t="n"/>
      <c r="V247" s="1" t="n"/>
      <c r="W247" s="1" t="n"/>
      <c r="X247" s="1" t="n"/>
      <c r="Y247" s="1" t="n"/>
      <c r="Z247" s="1" t="n"/>
    </row>
    <row r="248" ht="15.75" customHeight="1" s="311">
      <c r="A248" s="145" t="n"/>
      <c r="B248" s="145" t="n"/>
      <c r="C248" s="145" t="n"/>
      <c r="D248" s="145" t="n"/>
      <c r="E248" s="145" t="n"/>
      <c r="F248" s="145" t="n"/>
      <c r="G248" s="145" t="n"/>
      <c r="H248" s="145" t="n"/>
      <c r="I248" s="145" t="n"/>
      <c r="J248" s="145" t="n"/>
      <c r="K248" s="145" t="n"/>
      <c r="L248" s="145" t="n"/>
      <c r="M248" s="1" t="n"/>
      <c r="N248" s="1" t="n"/>
      <c r="O248" s="1" t="n"/>
      <c r="P248" s="1" t="n"/>
      <c r="Q248" s="1" t="n"/>
      <c r="R248" s="1" t="n"/>
      <c r="S248" s="1" t="n"/>
      <c r="T248" s="1" t="n"/>
      <c r="U248" s="1" t="n"/>
      <c r="V248" s="1" t="n"/>
      <c r="W248" s="1" t="n"/>
      <c r="X248" s="1" t="n"/>
      <c r="Y248" s="1" t="n"/>
      <c r="Z248" s="1" t="n"/>
    </row>
    <row r="249" ht="15.75" customHeight="1" s="311">
      <c r="A249" s="145" t="n"/>
      <c r="B249" s="145" t="n"/>
      <c r="C249" s="145" t="n"/>
      <c r="D249" s="145" t="n"/>
      <c r="E249" s="145" t="n"/>
      <c r="F249" s="145" t="n"/>
      <c r="G249" s="145" t="n"/>
      <c r="H249" s="145" t="n"/>
      <c r="I249" s="145" t="n"/>
      <c r="J249" s="145" t="n"/>
      <c r="K249" s="145" t="n"/>
      <c r="L249" s="145" t="n"/>
      <c r="M249" s="1" t="n"/>
      <c r="N249" s="1" t="n"/>
      <c r="O249" s="1" t="n"/>
      <c r="P249" s="1" t="n"/>
      <c r="Q249" s="1" t="n"/>
      <c r="R249" s="1" t="n"/>
      <c r="S249" s="1" t="n"/>
      <c r="T249" s="1" t="n"/>
      <c r="U249" s="1" t="n"/>
      <c r="V249" s="1" t="n"/>
      <c r="W249" s="1" t="n"/>
      <c r="X249" s="1" t="n"/>
      <c r="Y249" s="1" t="n"/>
      <c r="Z249" s="1" t="n"/>
    </row>
    <row r="250" ht="15.75" customHeight="1" s="311">
      <c r="A250" s="145" t="n"/>
      <c r="B250" s="145" t="n"/>
      <c r="C250" s="145" t="n"/>
      <c r="D250" s="145" t="n"/>
      <c r="E250" s="145" t="n"/>
      <c r="F250" s="145" t="n"/>
      <c r="G250" s="145" t="n"/>
      <c r="H250" s="145" t="n"/>
      <c r="I250" s="145" t="n"/>
      <c r="J250" s="145" t="n"/>
      <c r="K250" s="145" t="n"/>
      <c r="L250" s="145" t="n"/>
      <c r="M250" s="1" t="n"/>
      <c r="N250" s="1" t="n"/>
      <c r="O250" s="1" t="n"/>
      <c r="P250" s="1" t="n"/>
      <c r="Q250" s="1" t="n"/>
      <c r="R250" s="1" t="n"/>
      <c r="S250" s="1" t="n"/>
      <c r="T250" s="1" t="n"/>
      <c r="U250" s="1" t="n"/>
      <c r="V250" s="1" t="n"/>
      <c r="W250" s="1" t="n"/>
      <c r="X250" s="1" t="n"/>
      <c r="Y250" s="1" t="n"/>
      <c r="Z250" s="1" t="n"/>
    </row>
    <row r="251" ht="15.75" customHeight="1" s="311">
      <c r="A251" s="145" t="n"/>
      <c r="B251" s="145" t="n"/>
      <c r="C251" s="145" t="n"/>
      <c r="D251" s="145" t="n"/>
      <c r="E251" s="145" t="n"/>
      <c r="F251" s="145" t="n"/>
      <c r="G251" s="145" t="n"/>
      <c r="H251" s="145" t="n"/>
      <c r="I251" s="145" t="n"/>
      <c r="J251" s="145" t="n"/>
      <c r="K251" s="145" t="n"/>
      <c r="L251" s="145" t="n"/>
      <c r="M251" s="1" t="n"/>
      <c r="N251" s="1" t="n"/>
      <c r="O251" s="1" t="n"/>
      <c r="P251" s="1" t="n"/>
      <c r="Q251" s="1" t="n"/>
      <c r="R251" s="1" t="n"/>
      <c r="S251" s="1" t="n"/>
      <c r="T251" s="1" t="n"/>
      <c r="U251" s="1" t="n"/>
      <c r="V251" s="1" t="n"/>
      <c r="W251" s="1" t="n"/>
      <c r="X251" s="1" t="n"/>
      <c r="Y251" s="1" t="n"/>
      <c r="Z251" s="1" t="n"/>
    </row>
    <row r="252" ht="15.75" customHeight="1" s="311">
      <c r="A252" s="145" t="n"/>
      <c r="B252" s="145" t="n"/>
      <c r="C252" s="145" t="n"/>
      <c r="D252" s="145" t="n"/>
      <c r="E252" s="145" t="n"/>
      <c r="F252" s="145" t="n"/>
      <c r="G252" s="145" t="n"/>
      <c r="H252" s="145" t="n"/>
      <c r="I252" s="145" t="n"/>
      <c r="J252" s="145" t="n"/>
      <c r="K252" s="145" t="n"/>
      <c r="L252" s="145" t="n"/>
      <c r="M252" s="1" t="n"/>
      <c r="N252" s="1" t="n"/>
      <c r="O252" s="1" t="n"/>
      <c r="P252" s="1" t="n"/>
      <c r="Q252" s="1" t="n"/>
      <c r="R252" s="1" t="n"/>
      <c r="S252" s="1" t="n"/>
      <c r="T252" s="1" t="n"/>
      <c r="U252" s="1" t="n"/>
      <c r="V252" s="1" t="n"/>
      <c r="W252" s="1" t="n"/>
      <c r="X252" s="1" t="n"/>
      <c r="Y252" s="1" t="n"/>
      <c r="Z252" s="1" t="n"/>
    </row>
    <row r="253" ht="15.75" customHeight="1" s="311">
      <c r="A253" s="145" t="n"/>
      <c r="B253" s="145" t="n"/>
      <c r="C253" s="145" t="n"/>
      <c r="D253" s="145" t="n"/>
      <c r="E253" s="145" t="n"/>
      <c r="F253" s="145" t="n"/>
      <c r="G253" s="145" t="n"/>
      <c r="H253" s="145" t="n"/>
      <c r="I253" s="145" t="n"/>
      <c r="J253" s="145" t="n"/>
      <c r="K253" s="145" t="n"/>
      <c r="L253" s="145" t="n"/>
      <c r="M253" s="1" t="n"/>
      <c r="N253" s="1" t="n"/>
      <c r="O253" s="1" t="n"/>
      <c r="P253" s="1" t="n"/>
      <c r="Q253" s="1" t="n"/>
      <c r="R253" s="1" t="n"/>
      <c r="S253" s="1" t="n"/>
      <c r="T253" s="1" t="n"/>
      <c r="U253" s="1" t="n"/>
      <c r="V253" s="1" t="n"/>
      <c r="W253" s="1" t="n"/>
      <c r="X253" s="1" t="n"/>
      <c r="Y253" s="1" t="n"/>
      <c r="Z253" s="1" t="n"/>
    </row>
    <row r="254" ht="15.75" customHeight="1" s="311">
      <c r="A254" s="145" t="n"/>
      <c r="B254" s="145" t="n"/>
      <c r="C254" s="145" t="n"/>
      <c r="D254" s="145" t="n"/>
      <c r="E254" s="145" t="n"/>
      <c r="F254" s="145" t="n"/>
      <c r="G254" s="145" t="n"/>
      <c r="H254" s="145" t="n"/>
      <c r="I254" s="145" t="n"/>
      <c r="J254" s="145" t="n"/>
      <c r="K254" s="145" t="n"/>
      <c r="L254" s="145" t="n"/>
      <c r="M254" s="1" t="n"/>
      <c r="N254" s="1" t="n"/>
      <c r="O254" s="1" t="n"/>
      <c r="P254" s="1" t="n"/>
      <c r="Q254" s="1" t="n"/>
      <c r="R254" s="1" t="n"/>
      <c r="S254" s="1" t="n"/>
      <c r="T254" s="1" t="n"/>
      <c r="U254" s="1" t="n"/>
      <c r="V254" s="1" t="n"/>
      <c r="W254" s="1" t="n"/>
      <c r="X254" s="1" t="n"/>
      <c r="Y254" s="1" t="n"/>
      <c r="Z254" s="1" t="n"/>
    </row>
    <row r="255" ht="15.75" customHeight="1" s="311">
      <c r="A255" s="145" t="n"/>
      <c r="B255" s="145" t="n"/>
      <c r="C255" s="145" t="n"/>
      <c r="D255" s="145" t="n"/>
      <c r="E255" s="145" t="n"/>
      <c r="F255" s="145" t="n"/>
      <c r="G255" s="145" t="n"/>
      <c r="H255" s="145" t="n"/>
      <c r="I255" s="145" t="n"/>
      <c r="J255" s="145" t="n"/>
      <c r="K255" s="145" t="n"/>
      <c r="L255" s="145" t="n"/>
      <c r="M255" s="1" t="n"/>
      <c r="N255" s="1" t="n"/>
      <c r="O255" s="1" t="n"/>
      <c r="P255" s="1" t="n"/>
      <c r="Q255" s="1" t="n"/>
      <c r="R255" s="1" t="n"/>
      <c r="S255" s="1" t="n"/>
      <c r="T255" s="1" t="n"/>
      <c r="U255" s="1" t="n"/>
      <c r="V255" s="1" t="n"/>
      <c r="W255" s="1" t="n"/>
      <c r="X255" s="1" t="n"/>
      <c r="Y255" s="1" t="n"/>
      <c r="Z255" s="1" t="n"/>
    </row>
    <row r="256" ht="15.75" customHeight="1" s="311">
      <c r="A256" s="145" t="n"/>
      <c r="B256" s="145" t="n"/>
      <c r="C256" s="145" t="n"/>
      <c r="D256" s="145" t="n"/>
      <c r="E256" s="145" t="n"/>
      <c r="F256" s="145" t="n"/>
      <c r="G256" s="145" t="n"/>
      <c r="H256" s="145" t="n"/>
      <c r="I256" s="145" t="n"/>
      <c r="J256" s="145" t="n"/>
      <c r="K256" s="145" t="n"/>
      <c r="L256" s="145" t="n"/>
      <c r="M256" s="1" t="n"/>
      <c r="N256" s="1" t="n"/>
      <c r="O256" s="1" t="n"/>
      <c r="P256" s="1" t="n"/>
      <c r="Q256" s="1" t="n"/>
      <c r="R256" s="1" t="n"/>
      <c r="S256" s="1" t="n"/>
      <c r="T256" s="1" t="n"/>
      <c r="U256" s="1" t="n"/>
      <c r="V256" s="1" t="n"/>
      <c r="W256" s="1" t="n"/>
      <c r="X256" s="1" t="n"/>
      <c r="Y256" s="1" t="n"/>
      <c r="Z256" s="1" t="n"/>
    </row>
    <row r="257" ht="15.75" customHeight="1" s="311">
      <c r="A257" s="145" t="n"/>
      <c r="B257" s="145" t="n"/>
      <c r="C257" s="145" t="n"/>
      <c r="D257" s="145" t="n"/>
      <c r="E257" s="145" t="n"/>
      <c r="F257" s="145" t="n"/>
      <c r="G257" s="145" t="n"/>
      <c r="H257" s="145" t="n"/>
      <c r="I257" s="145" t="n"/>
      <c r="J257" s="145" t="n"/>
      <c r="K257" s="145" t="n"/>
      <c r="L257" s="145" t="n"/>
      <c r="M257" s="1" t="n"/>
      <c r="N257" s="1" t="n"/>
      <c r="O257" s="1" t="n"/>
      <c r="P257" s="1" t="n"/>
      <c r="Q257" s="1" t="n"/>
      <c r="R257" s="1" t="n"/>
      <c r="S257" s="1" t="n"/>
      <c r="T257" s="1" t="n"/>
      <c r="U257" s="1" t="n"/>
      <c r="V257" s="1" t="n"/>
      <c r="W257" s="1" t="n"/>
      <c r="X257" s="1" t="n"/>
      <c r="Y257" s="1" t="n"/>
      <c r="Z257" s="1" t="n"/>
    </row>
    <row r="258" ht="15.75" customHeight="1" s="311">
      <c r="A258" s="145" t="n"/>
      <c r="B258" s="145" t="n"/>
      <c r="C258" s="145" t="n"/>
      <c r="D258" s="145" t="n"/>
      <c r="E258" s="145" t="n"/>
      <c r="F258" s="145" t="n"/>
      <c r="G258" s="145" t="n"/>
      <c r="H258" s="145" t="n"/>
      <c r="I258" s="145" t="n"/>
      <c r="J258" s="145" t="n"/>
      <c r="K258" s="145" t="n"/>
      <c r="L258" s="145" t="n"/>
      <c r="M258" s="1" t="n"/>
      <c r="N258" s="1" t="n"/>
      <c r="O258" s="1" t="n"/>
      <c r="P258" s="1" t="n"/>
      <c r="Q258" s="1" t="n"/>
      <c r="R258" s="1" t="n"/>
      <c r="S258" s="1" t="n"/>
      <c r="T258" s="1" t="n"/>
      <c r="U258" s="1" t="n"/>
      <c r="V258" s="1" t="n"/>
      <c r="W258" s="1" t="n"/>
      <c r="X258" s="1" t="n"/>
      <c r="Y258" s="1" t="n"/>
      <c r="Z258" s="1" t="n"/>
    </row>
    <row r="259" ht="15.75" customHeight="1" s="311">
      <c r="A259" s="145" t="n"/>
      <c r="B259" s="145" t="n"/>
      <c r="C259" s="145" t="n"/>
      <c r="D259" s="145" t="n"/>
      <c r="E259" s="145" t="n"/>
      <c r="F259" s="145" t="n"/>
      <c r="G259" s="145" t="n"/>
      <c r="H259" s="145" t="n"/>
      <c r="I259" s="145" t="n"/>
      <c r="J259" s="145" t="n"/>
      <c r="K259" s="145" t="n"/>
      <c r="L259" s="145" t="n"/>
      <c r="M259" s="1" t="n"/>
      <c r="N259" s="1" t="n"/>
      <c r="O259" s="1" t="n"/>
      <c r="P259" s="1" t="n"/>
      <c r="Q259" s="1" t="n"/>
      <c r="R259" s="1" t="n"/>
      <c r="S259" s="1" t="n"/>
      <c r="T259" s="1" t="n"/>
      <c r="U259" s="1" t="n"/>
      <c r="V259" s="1" t="n"/>
      <c r="W259" s="1" t="n"/>
      <c r="X259" s="1" t="n"/>
      <c r="Y259" s="1" t="n"/>
      <c r="Z259" s="1" t="n"/>
    </row>
    <row r="260" ht="15.75" customHeight="1" s="311">
      <c r="A260" s="145" t="n"/>
      <c r="B260" s="145" t="n"/>
      <c r="C260" s="145" t="n"/>
      <c r="D260" s="145" t="n"/>
      <c r="E260" s="145" t="n"/>
      <c r="F260" s="145" t="n"/>
      <c r="G260" s="145" t="n"/>
      <c r="H260" s="145" t="n"/>
      <c r="I260" s="145" t="n"/>
      <c r="J260" s="145" t="n"/>
      <c r="K260" s="145" t="n"/>
      <c r="L260" s="145" t="n"/>
      <c r="M260" s="1" t="n"/>
      <c r="N260" s="1" t="n"/>
      <c r="O260" s="1" t="n"/>
      <c r="P260" s="1" t="n"/>
      <c r="Q260" s="1" t="n"/>
      <c r="R260" s="1" t="n"/>
      <c r="S260" s="1" t="n"/>
      <c r="T260" s="1" t="n"/>
      <c r="U260" s="1" t="n"/>
      <c r="V260" s="1" t="n"/>
      <c r="W260" s="1" t="n"/>
      <c r="X260" s="1" t="n"/>
      <c r="Y260" s="1" t="n"/>
      <c r="Z260" s="1" t="n"/>
    </row>
    <row r="261" ht="15.75" customHeight="1" s="311">
      <c r="A261" s="145" t="n"/>
      <c r="B261" s="145" t="n"/>
      <c r="C261" s="145" t="n"/>
      <c r="D261" s="145" t="n"/>
      <c r="E261" s="145" t="n"/>
      <c r="F261" s="145" t="n"/>
      <c r="G261" s="145" t="n"/>
      <c r="H261" s="145" t="n"/>
      <c r="I261" s="145" t="n"/>
      <c r="J261" s="145" t="n"/>
      <c r="K261" s="145" t="n"/>
      <c r="L261" s="145" t="n"/>
      <c r="M261" s="1" t="n"/>
      <c r="N261" s="1" t="n"/>
      <c r="O261" s="1" t="n"/>
      <c r="P261" s="1" t="n"/>
      <c r="Q261" s="1" t="n"/>
      <c r="R261" s="1" t="n"/>
      <c r="S261" s="1" t="n"/>
      <c r="T261" s="1" t="n"/>
      <c r="U261" s="1" t="n"/>
      <c r="V261" s="1" t="n"/>
      <c r="W261" s="1" t="n"/>
      <c r="X261" s="1" t="n"/>
      <c r="Y261" s="1" t="n"/>
      <c r="Z261" s="1" t="n"/>
    </row>
    <row r="262" ht="15.75" customHeight="1" s="311">
      <c r="A262" s="145" t="n"/>
      <c r="B262" s="145" t="n"/>
      <c r="C262" s="145" t="n"/>
      <c r="D262" s="145" t="n"/>
      <c r="E262" s="145" t="n"/>
      <c r="F262" s="145" t="n"/>
      <c r="G262" s="145" t="n"/>
      <c r="H262" s="145" t="n"/>
      <c r="I262" s="145" t="n"/>
      <c r="J262" s="145" t="n"/>
      <c r="K262" s="145" t="n"/>
      <c r="L262" s="145" t="n"/>
      <c r="M262" s="1" t="n"/>
      <c r="N262" s="1" t="n"/>
      <c r="O262" s="1" t="n"/>
      <c r="P262" s="1" t="n"/>
      <c r="Q262" s="1" t="n"/>
      <c r="R262" s="1" t="n"/>
      <c r="S262" s="1" t="n"/>
      <c r="T262" s="1" t="n"/>
      <c r="U262" s="1" t="n"/>
      <c r="V262" s="1" t="n"/>
      <c r="W262" s="1" t="n"/>
      <c r="X262" s="1" t="n"/>
      <c r="Y262" s="1" t="n"/>
      <c r="Z262" s="1" t="n"/>
    </row>
    <row r="263" ht="15.75" customHeight="1" s="311">
      <c r="A263" s="1" t="n"/>
      <c r="B263" s="1" t="n"/>
      <c r="C263" s="1" t="n"/>
      <c r="D263" s="1" t="n"/>
      <c r="E263" s="1" t="n"/>
      <c r="F263" s="1" t="n"/>
      <c r="G263" s="1" t="n"/>
      <c r="H263" s="1" t="n"/>
      <c r="I263" s="1" t="n"/>
      <c r="J263" s="1" t="n"/>
      <c r="K263" s="1" t="n"/>
      <c r="L263" s="1" t="n"/>
    </row>
    <row r="264" ht="15.75" customHeight="1" s="311">
      <c r="A264" s="1" t="n"/>
      <c r="B264" s="1" t="n"/>
      <c r="C264" s="1" t="n"/>
      <c r="D264" s="1" t="n"/>
      <c r="E264" s="1" t="n"/>
      <c r="F264" s="1" t="n"/>
      <c r="G264" s="1" t="n"/>
      <c r="H264" s="1" t="n"/>
      <c r="I264" s="1" t="n"/>
      <c r="J264" s="1" t="n"/>
      <c r="K264" s="1" t="n"/>
      <c r="L264" s="1" t="n"/>
    </row>
    <row r="265" ht="15.75" customHeight="1" s="311">
      <c r="A265" s="1" t="n"/>
      <c r="B265" s="1" t="n"/>
      <c r="C265" s="1" t="n"/>
      <c r="D265" s="1" t="n"/>
      <c r="E265" s="1" t="n"/>
      <c r="F265" s="1" t="n"/>
      <c r="G265" s="1" t="n"/>
      <c r="H265" s="1" t="n"/>
      <c r="I265" s="1" t="n"/>
      <c r="J265" s="1" t="n"/>
      <c r="K265" s="1" t="n"/>
      <c r="L265" s="1" t="n"/>
    </row>
    <row r="266" ht="15.75" customHeight="1" s="311">
      <c r="A266" s="1" t="n"/>
      <c r="B266" s="1" t="n"/>
      <c r="C266" s="1" t="n"/>
      <c r="D266" s="1" t="n"/>
      <c r="E266" s="1" t="n"/>
      <c r="F266" s="1" t="n"/>
      <c r="G266" s="1" t="n"/>
      <c r="H266" s="1" t="n"/>
      <c r="I266" s="1" t="n"/>
      <c r="J266" s="1" t="n"/>
      <c r="K266" s="1" t="n"/>
      <c r="L266" s="1" t="n"/>
    </row>
    <row r="267" ht="15.75" customHeight="1" s="311">
      <c r="A267" s="1" t="n"/>
      <c r="B267" s="1" t="n"/>
      <c r="C267" s="1" t="n"/>
      <c r="D267" s="1" t="n"/>
      <c r="E267" s="1" t="n"/>
      <c r="F267" s="1" t="n"/>
      <c r="G267" s="1" t="n"/>
      <c r="H267" s="1" t="n"/>
      <c r="I267" s="1" t="n"/>
      <c r="J267" s="1" t="n"/>
      <c r="K267" s="1" t="n"/>
      <c r="L267" s="1" t="n"/>
    </row>
    <row r="268" ht="15.75" customHeight="1" s="311">
      <c r="A268" s="1" t="n"/>
      <c r="B268" s="1" t="n"/>
      <c r="C268" s="1" t="n"/>
      <c r="D268" s="1" t="n"/>
      <c r="E268" s="1" t="n"/>
      <c r="F268" s="1" t="n"/>
      <c r="G268" s="1" t="n"/>
      <c r="H268" s="1" t="n"/>
      <c r="I268" s="1" t="n"/>
      <c r="J268" s="1" t="n"/>
      <c r="K268" s="1" t="n"/>
      <c r="L268" s="1" t="n"/>
    </row>
    <row r="269" ht="15.75" customHeight="1" s="311">
      <c r="A269" s="1" t="n"/>
      <c r="B269" s="1" t="n"/>
      <c r="C269" s="1" t="n"/>
      <c r="D269" s="1" t="n"/>
      <c r="E269" s="1" t="n"/>
      <c r="F269" s="1" t="n"/>
      <c r="G269" s="1" t="n"/>
      <c r="H269" s="1" t="n"/>
      <c r="I269" s="1" t="n"/>
      <c r="J269" s="1" t="n"/>
      <c r="K269" s="1" t="n"/>
      <c r="L269" s="1" t="n"/>
    </row>
    <row r="270" ht="15.75" customHeight="1" s="311">
      <c r="A270" s="1" t="n"/>
      <c r="B270" s="1" t="n"/>
      <c r="C270" s="1" t="n"/>
      <c r="D270" s="1" t="n"/>
      <c r="E270" s="1" t="n"/>
      <c r="F270" s="1" t="n"/>
      <c r="G270" s="1" t="n"/>
      <c r="H270" s="1" t="n"/>
      <c r="I270" s="1" t="n"/>
      <c r="J270" s="1" t="n"/>
      <c r="K270" s="1" t="n"/>
      <c r="L270" s="1" t="n"/>
    </row>
    <row r="271" ht="15.75" customHeight="1" s="311">
      <c r="A271" s="1" t="n"/>
      <c r="B271" s="1" t="n"/>
      <c r="C271" s="1" t="n"/>
      <c r="D271" s="1" t="n"/>
      <c r="E271" s="1" t="n"/>
      <c r="F271" s="1" t="n"/>
      <c r="G271" s="1" t="n"/>
      <c r="H271" s="1" t="n"/>
      <c r="I271" s="1" t="n"/>
      <c r="J271" s="1" t="n"/>
      <c r="K271" s="1" t="n"/>
      <c r="L271" s="1" t="n"/>
    </row>
    <row r="272" ht="15.75" customHeight="1" s="311">
      <c r="A272" s="1" t="n"/>
      <c r="B272" s="1" t="n"/>
      <c r="C272" s="1" t="n"/>
      <c r="D272" s="1" t="n"/>
      <c r="E272" s="1" t="n"/>
      <c r="F272" s="1" t="n"/>
      <c r="G272" s="1" t="n"/>
      <c r="H272" s="1" t="n"/>
      <c r="I272" s="1" t="n"/>
      <c r="J272" s="1" t="n"/>
      <c r="K272" s="1" t="n"/>
      <c r="L272" s="1" t="n"/>
    </row>
    <row r="273" ht="15.75" customHeight="1" s="311">
      <c r="A273" s="1" t="n"/>
      <c r="B273" s="1" t="n"/>
      <c r="C273" s="1" t="n"/>
      <c r="D273" s="1" t="n"/>
      <c r="E273" s="1" t="n"/>
      <c r="F273" s="1" t="n"/>
      <c r="G273" s="1" t="n"/>
      <c r="H273" s="1" t="n"/>
      <c r="I273" s="1" t="n"/>
      <c r="J273" s="1" t="n"/>
      <c r="K273" s="1" t="n"/>
      <c r="L273" s="1" t="n"/>
    </row>
    <row r="274" ht="15.75" customHeight="1" s="311">
      <c r="A274" s="1" t="n"/>
      <c r="B274" s="1" t="n"/>
      <c r="C274" s="1" t="n"/>
      <c r="D274" s="1" t="n"/>
      <c r="E274" s="1" t="n"/>
      <c r="F274" s="1" t="n"/>
      <c r="G274" s="1" t="n"/>
      <c r="H274" s="1" t="n"/>
      <c r="I274" s="1" t="n"/>
      <c r="J274" s="1" t="n"/>
      <c r="K274" s="1" t="n"/>
      <c r="L274" s="1" t="n"/>
    </row>
    <row r="275" ht="15.75" customHeight="1" s="311">
      <c r="A275" s="1" t="n"/>
      <c r="B275" s="1" t="n"/>
      <c r="C275" s="1" t="n"/>
      <c r="D275" s="1" t="n"/>
      <c r="E275" s="1" t="n"/>
      <c r="F275" s="1" t="n"/>
      <c r="G275" s="1" t="n"/>
      <c r="H275" s="1" t="n"/>
      <c r="I275" s="1" t="n"/>
      <c r="J275" s="1" t="n"/>
      <c r="K275" s="1" t="n"/>
      <c r="L275" s="1" t="n"/>
    </row>
    <row r="276" ht="15.75" customHeight="1" s="311">
      <c r="A276" s="1" t="n"/>
      <c r="B276" s="1" t="n"/>
      <c r="C276" s="1" t="n"/>
      <c r="D276" s="1" t="n"/>
      <c r="E276" s="1" t="n"/>
      <c r="F276" s="1" t="n"/>
      <c r="G276" s="1" t="n"/>
      <c r="H276" s="1" t="n"/>
      <c r="I276" s="1" t="n"/>
      <c r="J276" s="1" t="n"/>
      <c r="K276" s="1" t="n"/>
      <c r="L276" s="1" t="n"/>
    </row>
    <row r="277" ht="15.75" customHeight="1" s="311">
      <c r="A277" s="1" t="n"/>
      <c r="B277" s="1" t="n"/>
      <c r="C277" s="1" t="n"/>
      <c r="D277" s="1" t="n"/>
      <c r="E277" s="1" t="n"/>
      <c r="F277" s="1" t="n"/>
      <c r="G277" s="1" t="n"/>
      <c r="H277" s="1" t="n"/>
      <c r="I277" s="1" t="n"/>
      <c r="J277" s="1" t="n"/>
      <c r="K277" s="1" t="n"/>
      <c r="L277" s="1" t="n"/>
    </row>
    <row r="278" ht="15.75" customHeight="1" s="311">
      <c r="A278" s="1" t="n"/>
      <c r="B278" s="1" t="n"/>
      <c r="C278" s="1" t="n"/>
      <c r="D278" s="1" t="n"/>
      <c r="E278" s="1" t="n"/>
      <c r="F278" s="1" t="n"/>
      <c r="G278" s="1" t="n"/>
      <c r="H278" s="1" t="n"/>
      <c r="I278" s="1" t="n"/>
      <c r="J278" s="1" t="n"/>
      <c r="K278" s="1" t="n"/>
      <c r="L278" s="1" t="n"/>
    </row>
    <row r="279" ht="15.75" customHeight="1" s="311">
      <c r="A279" s="1" t="n"/>
      <c r="B279" s="1" t="n"/>
      <c r="C279" s="1" t="n"/>
      <c r="D279" s="1" t="n"/>
      <c r="E279" s="1" t="n"/>
      <c r="F279" s="1" t="n"/>
      <c r="G279" s="1" t="n"/>
      <c r="H279" s="1" t="n"/>
      <c r="I279" s="1" t="n"/>
      <c r="J279" s="1" t="n"/>
      <c r="K279" s="1" t="n"/>
      <c r="L279" s="1" t="n"/>
    </row>
    <row r="280" ht="15.75" customHeight="1" s="311">
      <c r="A280" s="1" t="n"/>
      <c r="B280" s="1" t="n"/>
      <c r="C280" s="1" t="n"/>
      <c r="D280" s="1" t="n"/>
      <c r="E280" s="1" t="n"/>
      <c r="F280" s="1" t="n"/>
      <c r="G280" s="1" t="n"/>
      <c r="H280" s="1" t="n"/>
      <c r="I280" s="1" t="n"/>
      <c r="J280" s="1" t="n"/>
      <c r="K280" s="1" t="n"/>
      <c r="L280" s="1" t="n"/>
    </row>
    <row r="281" ht="15.75" customHeight="1" s="311">
      <c r="A281" s="1" t="n"/>
      <c r="B281" s="1" t="n"/>
      <c r="C281" s="1" t="n"/>
      <c r="D281" s="1" t="n"/>
      <c r="E281" s="1" t="n"/>
      <c r="F281" s="1" t="n"/>
      <c r="G281" s="1" t="n"/>
      <c r="H281" s="1" t="n"/>
      <c r="I281" s="1" t="n"/>
      <c r="J281" s="1" t="n"/>
      <c r="K281" s="1" t="n"/>
      <c r="L281" s="1" t="n"/>
    </row>
    <row r="282" ht="15.75" customHeight="1" s="311">
      <c r="A282" s="1" t="n"/>
      <c r="B282" s="1" t="n"/>
      <c r="C282" s="1" t="n"/>
      <c r="D282" s="1" t="n"/>
      <c r="E282" s="1" t="n"/>
      <c r="F282" s="1" t="n"/>
      <c r="G282" s="1" t="n"/>
      <c r="H282" s="1" t="n"/>
      <c r="I282" s="1" t="n"/>
      <c r="J282" s="1" t="n"/>
      <c r="K282" s="1" t="n"/>
      <c r="L282" s="1" t="n"/>
    </row>
    <row r="283" ht="15.75" customHeight="1" s="311">
      <c r="A283" s="1" t="n"/>
      <c r="B283" s="1" t="n"/>
      <c r="C283" s="1" t="n"/>
      <c r="D283" s="1" t="n"/>
      <c r="E283" s="1" t="n"/>
      <c r="F283" s="1" t="n"/>
      <c r="G283" s="1" t="n"/>
      <c r="H283" s="1" t="n"/>
      <c r="I283" s="1" t="n"/>
      <c r="J283" s="1" t="n"/>
      <c r="K283" s="1" t="n"/>
      <c r="L283" s="1" t="n"/>
    </row>
    <row r="284" ht="15.75" customHeight="1" s="311">
      <c r="A284" s="1" t="n"/>
      <c r="B284" s="1" t="n"/>
      <c r="C284" s="1" t="n"/>
      <c r="D284" s="1" t="n"/>
      <c r="E284" s="1" t="n"/>
      <c r="F284" s="1" t="n"/>
      <c r="G284" s="1" t="n"/>
      <c r="H284" s="1" t="n"/>
      <c r="I284" s="1" t="n"/>
      <c r="J284" s="1" t="n"/>
      <c r="K284" s="1" t="n"/>
      <c r="L284" s="1" t="n"/>
    </row>
    <row r="285" ht="15.75" customHeight="1" s="311">
      <c r="A285" s="1" t="n"/>
      <c r="B285" s="1" t="n"/>
      <c r="C285" s="1" t="n"/>
      <c r="D285" s="1" t="n"/>
      <c r="E285" s="1" t="n"/>
      <c r="F285" s="1" t="n"/>
      <c r="G285" s="1" t="n"/>
      <c r="H285" s="1" t="n"/>
      <c r="I285" s="1" t="n"/>
      <c r="J285" s="1" t="n"/>
      <c r="K285" s="1" t="n"/>
      <c r="L285" s="1" t="n"/>
    </row>
    <row r="286" ht="15.75" customHeight="1" s="311">
      <c r="A286" s="1" t="n"/>
      <c r="B286" s="1" t="n"/>
      <c r="C286" s="1" t="n"/>
      <c r="D286" s="1" t="n"/>
      <c r="E286" s="1" t="n"/>
      <c r="F286" s="1" t="n"/>
      <c r="G286" s="1" t="n"/>
      <c r="H286" s="1" t="n"/>
      <c r="I286" s="1" t="n"/>
      <c r="J286" s="1" t="n"/>
      <c r="K286" s="1" t="n"/>
      <c r="L286" s="1" t="n"/>
    </row>
    <row r="287" ht="15.75" customHeight="1" s="311">
      <c r="A287" s="1" t="n"/>
      <c r="B287" s="1" t="n"/>
      <c r="C287" s="1" t="n"/>
      <c r="D287" s="1" t="n"/>
      <c r="E287" s="1" t="n"/>
      <c r="F287" s="1" t="n"/>
      <c r="G287" s="1" t="n"/>
      <c r="H287" s="1" t="n"/>
      <c r="I287" s="1" t="n"/>
      <c r="J287" s="1" t="n"/>
      <c r="K287" s="1" t="n"/>
      <c r="L287" s="1" t="n"/>
    </row>
    <row r="288" ht="15.75" customHeight="1" s="311">
      <c r="A288" s="1" t="n"/>
      <c r="B288" s="1" t="n"/>
      <c r="C288" s="1" t="n"/>
      <c r="D288" s="1" t="n"/>
      <c r="E288" s="1" t="n"/>
      <c r="F288" s="1" t="n"/>
      <c r="G288" s="1" t="n"/>
      <c r="H288" s="1" t="n"/>
      <c r="I288" s="1" t="n"/>
      <c r="J288" s="1" t="n"/>
      <c r="K288" s="1" t="n"/>
      <c r="L288" s="1" t="n"/>
    </row>
    <row r="289" ht="15.75" customHeight="1" s="311">
      <c r="A289" s="1" t="n"/>
      <c r="B289" s="1" t="n"/>
      <c r="C289" s="1" t="n"/>
      <c r="D289" s="1" t="n"/>
      <c r="E289" s="1" t="n"/>
      <c r="F289" s="1" t="n"/>
      <c r="G289" s="1" t="n"/>
      <c r="H289" s="1" t="n"/>
      <c r="I289" s="1" t="n"/>
      <c r="J289" s="1" t="n"/>
      <c r="K289" s="1" t="n"/>
      <c r="L289" s="1" t="n"/>
    </row>
    <row r="290" ht="15.75" customHeight="1" s="311">
      <c r="A290" s="1" t="n"/>
      <c r="B290" s="1" t="n"/>
      <c r="C290" s="1" t="n"/>
      <c r="D290" s="1" t="n"/>
      <c r="E290" s="1" t="n"/>
      <c r="F290" s="1" t="n"/>
      <c r="G290" s="1" t="n"/>
      <c r="H290" s="1" t="n"/>
      <c r="I290" s="1" t="n"/>
      <c r="J290" s="1" t="n"/>
      <c r="K290" s="1" t="n"/>
      <c r="L290" s="1" t="n"/>
    </row>
    <row r="291" ht="15.75" customHeight="1" s="311">
      <c r="A291" s="1" t="n"/>
      <c r="B291" s="1" t="n"/>
      <c r="C291" s="1" t="n"/>
      <c r="D291" s="1" t="n"/>
      <c r="E291" s="1" t="n"/>
      <c r="F291" s="1" t="n"/>
      <c r="G291" s="1" t="n"/>
      <c r="H291" s="1" t="n"/>
      <c r="I291" s="1" t="n"/>
      <c r="J291" s="1" t="n"/>
      <c r="K291" s="1" t="n"/>
      <c r="L291" s="1" t="n"/>
    </row>
    <row r="292" ht="15.75" customHeight="1" s="311">
      <c r="A292" s="1" t="n"/>
      <c r="B292" s="1" t="n"/>
      <c r="C292" s="1" t="n"/>
      <c r="D292" s="1" t="n"/>
      <c r="E292" s="1" t="n"/>
      <c r="F292" s="1" t="n"/>
      <c r="G292" s="1" t="n"/>
      <c r="H292" s="1" t="n"/>
      <c r="I292" s="1" t="n"/>
      <c r="J292" s="1" t="n"/>
      <c r="K292" s="1" t="n"/>
      <c r="L292" s="1" t="n"/>
    </row>
    <row r="293" ht="15.75" customHeight="1" s="311">
      <c r="A293" s="1" t="n"/>
      <c r="B293" s="1" t="n"/>
      <c r="C293" s="1" t="n"/>
      <c r="D293" s="1" t="n"/>
      <c r="E293" s="1" t="n"/>
      <c r="F293" s="1" t="n"/>
      <c r="G293" s="1" t="n"/>
      <c r="H293" s="1" t="n"/>
      <c r="I293" s="1" t="n"/>
      <c r="J293" s="1" t="n"/>
      <c r="K293" s="1" t="n"/>
      <c r="L293" s="1" t="n"/>
    </row>
    <row r="294" ht="15.75" customHeight="1" s="311">
      <c r="A294" s="1" t="n"/>
      <c r="B294" s="1" t="n"/>
      <c r="C294" s="1" t="n"/>
      <c r="D294" s="1" t="n"/>
      <c r="E294" s="1" t="n"/>
      <c r="F294" s="1" t="n"/>
      <c r="G294" s="1" t="n"/>
      <c r="H294" s="1" t="n"/>
      <c r="I294" s="1" t="n"/>
      <c r="J294" s="1" t="n"/>
      <c r="K294" s="1" t="n"/>
      <c r="L294" s="1" t="n"/>
    </row>
    <row r="295" ht="15.75" customHeight="1" s="311">
      <c r="A295" s="1" t="n"/>
      <c r="B295" s="1" t="n"/>
      <c r="C295" s="1" t="n"/>
      <c r="D295" s="1" t="n"/>
      <c r="E295" s="1" t="n"/>
      <c r="F295" s="1" t="n"/>
      <c r="G295" s="1" t="n"/>
      <c r="H295" s="1" t="n"/>
      <c r="I295" s="1" t="n"/>
      <c r="J295" s="1" t="n"/>
      <c r="K295" s="1" t="n"/>
      <c r="L295" s="1" t="n"/>
    </row>
    <row r="296" ht="15.75" customHeight="1" s="311">
      <c r="A296" s="1" t="n"/>
      <c r="B296" s="1" t="n"/>
      <c r="C296" s="1" t="n"/>
      <c r="D296" s="1" t="n"/>
      <c r="E296" s="1" t="n"/>
      <c r="F296" s="1" t="n"/>
      <c r="G296" s="1" t="n"/>
      <c r="H296" s="1" t="n"/>
      <c r="I296" s="1" t="n"/>
      <c r="J296" s="1" t="n"/>
      <c r="K296" s="1" t="n"/>
      <c r="L296" s="1" t="n"/>
    </row>
    <row r="297" ht="15.75" customHeight="1" s="311">
      <c r="A297" s="1" t="n"/>
      <c r="B297" s="1" t="n"/>
      <c r="C297" s="1" t="n"/>
      <c r="D297" s="1" t="n"/>
      <c r="E297" s="1" t="n"/>
      <c r="F297" s="1" t="n"/>
      <c r="G297" s="1" t="n"/>
      <c r="H297" s="1" t="n"/>
      <c r="I297" s="1" t="n"/>
      <c r="J297" s="1" t="n"/>
      <c r="K297" s="1" t="n"/>
      <c r="L297" s="1" t="n"/>
    </row>
    <row r="298" ht="15.75" customHeight="1" s="311">
      <c r="A298" s="1" t="n"/>
      <c r="B298" s="1" t="n"/>
      <c r="C298" s="1" t="n"/>
      <c r="D298" s="1" t="n"/>
      <c r="E298" s="1" t="n"/>
      <c r="F298" s="1" t="n"/>
      <c r="G298" s="1" t="n"/>
      <c r="H298" s="1" t="n"/>
      <c r="I298" s="1" t="n"/>
      <c r="J298" s="1" t="n"/>
      <c r="K298" s="1" t="n"/>
      <c r="L298" s="1" t="n"/>
    </row>
    <row r="299" ht="15.75" customHeight="1" s="311">
      <c r="A299" s="1" t="n"/>
      <c r="B299" s="1" t="n"/>
      <c r="C299" s="1" t="n"/>
      <c r="D299" s="1" t="n"/>
      <c r="E299" s="1" t="n"/>
      <c r="F299" s="1" t="n"/>
      <c r="G299" s="1" t="n"/>
      <c r="H299" s="1" t="n"/>
      <c r="I299" s="1" t="n"/>
      <c r="J299" s="1" t="n"/>
      <c r="K299" s="1" t="n"/>
      <c r="L299" s="1" t="n"/>
    </row>
    <row r="300" ht="15.75" customHeight="1" s="311">
      <c r="A300" s="1" t="n"/>
      <c r="B300" s="1" t="n"/>
      <c r="C300" s="1" t="n"/>
      <c r="D300" s="1" t="n"/>
      <c r="E300" s="1" t="n"/>
      <c r="F300" s="1" t="n"/>
      <c r="G300" s="1" t="n"/>
      <c r="H300" s="1" t="n"/>
      <c r="I300" s="1" t="n"/>
      <c r="J300" s="1" t="n"/>
      <c r="K300" s="1" t="n"/>
      <c r="L300" s="1" t="n"/>
    </row>
    <row r="301" ht="15.75" customHeight="1" s="311">
      <c r="A301" s="1" t="n"/>
      <c r="B301" s="1" t="n"/>
      <c r="C301" s="1" t="n"/>
      <c r="D301" s="1" t="n"/>
      <c r="E301" s="1" t="n"/>
      <c r="F301" s="1" t="n"/>
      <c r="G301" s="1" t="n"/>
      <c r="H301" s="1" t="n"/>
      <c r="I301" s="1" t="n"/>
      <c r="J301" s="1" t="n"/>
      <c r="K301" s="1" t="n"/>
      <c r="L301" s="1" t="n"/>
    </row>
    <row r="302" ht="15.75" customHeight="1" s="311">
      <c r="A302" s="1" t="n"/>
      <c r="B302" s="1" t="n"/>
      <c r="C302" s="1" t="n"/>
      <c r="D302" s="1" t="n"/>
      <c r="E302" s="1" t="n"/>
      <c r="F302" s="1" t="n"/>
      <c r="G302" s="1" t="n"/>
      <c r="H302" s="1" t="n"/>
      <c r="I302" s="1" t="n"/>
      <c r="J302" s="1" t="n"/>
      <c r="K302" s="1" t="n"/>
      <c r="L302" s="1" t="n"/>
    </row>
    <row r="303" ht="15.75" customHeight="1" s="311">
      <c r="A303" s="1" t="n"/>
      <c r="B303" s="1" t="n"/>
      <c r="C303" s="1" t="n"/>
      <c r="D303" s="1" t="n"/>
      <c r="E303" s="1" t="n"/>
      <c r="F303" s="1" t="n"/>
      <c r="G303" s="1" t="n"/>
      <c r="H303" s="1" t="n"/>
      <c r="I303" s="1" t="n"/>
      <c r="J303" s="1" t="n"/>
      <c r="K303" s="1" t="n"/>
      <c r="L303" s="1" t="n"/>
    </row>
    <row r="304" ht="15.75" customHeight="1" s="311">
      <c r="A304" s="1" t="n"/>
      <c r="B304" s="1" t="n"/>
      <c r="C304" s="1" t="n"/>
      <c r="D304" s="1" t="n"/>
      <c r="E304" s="1" t="n"/>
      <c r="F304" s="1" t="n"/>
      <c r="G304" s="1" t="n"/>
      <c r="H304" s="1" t="n"/>
      <c r="I304" s="1" t="n"/>
      <c r="J304" s="1" t="n"/>
      <c r="K304" s="1" t="n"/>
      <c r="L304" s="1" t="n"/>
    </row>
    <row r="305" ht="15.75" customHeight="1" s="311">
      <c r="A305" s="1" t="n"/>
      <c r="B305" s="1" t="n"/>
      <c r="C305" s="1" t="n"/>
      <c r="D305" s="1" t="n"/>
      <c r="E305" s="1" t="n"/>
      <c r="F305" s="1" t="n"/>
      <c r="G305" s="1" t="n"/>
      <c r="H305" s="1" t="n"/>
      <c r="I305" s="1" t="n"/>
      <c r="J305" s="1" t="n"/>
      <c r="K305" s="1" t="n"/>
      <c r="L305" s="1" t="n"/>
    </row>
    <row r="306" ht="15.75" customHeight="1" s="311">
      <c r="A306" s="1" t="n"/>
      <c r="B306" s="1" t="n"/>
      <c r="C306" s="1" t="n"/>
      <c r="D306" s="1" t="n"/>
      <c r="E306" s="1" t="n"/>
      <c r="F306" s="1" t="n"/>
      <c r="G306" s="1" t="n"/>
      <c r="H306" s="1" t="n"/>
      <c r="I306" s="1" t="n"/>
      <c r="J306" s="1" t="n"/>
      <c r="K306" s="1" t="n"/>
      <c r="L306" s="1" t="n"/>
    </row>
    <row r="307" ht="15.75" customHeight="1" s="311">
      <c r="A307" s="1" t="n"/>
      <c r="B307" s="1" t="n"/>
      <c r="C307" s="1" t="n"/>
      <c r="D307" s="1" t="n"/>
      <c r="E307" s="1" t="n"/>
      <c r="F307" s="1" t="n"/>
      <c r="G307" s="1" t="n"/>
      <c r="H307" s="1" t="n"/>
      <c r="I307" s="1" t="n"/>
      <c r="J307" s="1" t="n"/>
      <c r="K307" s="1" t="n"/>
      <c r="L307" s="1" t="n"/>
    </row>
    <row r="308" ht="15.75" customHeight="1" s="311">
      <c r="A308" s="1" t="n"/>
      <c r="B308" s="1" t="n"/>
      <c r="C308" s="1" t="n"/>
      <c r="D308" s="1" t="n"/>
      <c r="E308" s="1" t="n"/>
      <c r="F308" s="1" t="n"/>
      <c r="G308" s="1" t="n"/>
      <c r="H308" s="1" t="n"/>
      <c r="I308" s="1" t="n"/>
      <c r="J308" s="1" t="n"/>
      <c r="K308" s="1" t="n"/>
      <c r="L308" s="1" t="n"/>
    </row>
    <row r="309" ht="15.75" customHeight="1" s="311">
      <c r="A309" s="1" t="n"/>
      <c r="B309" s="1" t="n"/>
      <c r="C309" s="1" t="n"/>
      <c r="D309" s="1" t="n"/>
      <c r="E309" s="1" t="n"/>
      <c r="F309" s="1" t="n"/>
      <c r="G309" s="1" t="n"/>
      <c r="H309" s="1" t="n"/>
      <c r="I309" s="1" t="n"/>
      <c r="J309" s="1" t="n"/>
      <c r="K309" s="1" t="n"/>
      <c r="L309" s="1" t="n"/>
    </row>
    <row r="310" ht="15.75" customHeight="1" s="311">
      <c r="A310" s="1" t="n"/>
      <c r="B310" s="1" t="n"/>
      <c r="C310" s="1" t="n"/>
      <c r="D310" s="1" t="n"/>
      <c r="E310" s="1" t="n"/>
      <c r="F310" s="1" t="n"/>
      <c r="G310" s="1" t="n"/>
      <c r="H310" s="1" t="n"/>
      <c r="I310" s="1" t="n"/>
      <c r="J310" s="1" t="n"/>
      <c r="K310" s="1" t="n"/>
      <c r="L310" s="1" t="n"/>
    </row>
    <row r="311" ht="15.75" customHeight="1" s="311">
      <c r="A311" s="1" t="n"/>
      <c r="B311" s="1" t="n"/>
      <c r="C311" s="1" t="n"/>
      <c r="D311" s="1" t="n"/>
      <c r="E311" s="1" t="n"/>
      <c r="F311" s="1" t="n"/>
      <c r="G311" s="1" t="n"/>
      <c r="H311" s="1" t="n"/>
      <c r="I311" s="1" t="n"/>
      <c r="J311" s="1" t="n"/>
      <c r="K311" s="1" t="n"/>
      <c r="L311" s="1" t="n"/>
    </row>
    <row r="312" ht="15.75" customHeight="1" s="311">
      <c r="A312" s="1" t="n"/>
      <c r="B312" s="1" t="n"/>
      <c r="C312" s="1" t="n"/>
      <c r="D312" s="1" t="n"/>
      <c r="E312" s="1" t="n"/>
      <c r="F312" s="1" t="n"/>
      <c r="G312" s="1" t="n"/>
      <c r="H312" s="1" t="n"/>
      <c r="I312" s="1" t="n"/>
      <c r="J312" s="1" t="n"/>
      <c r="K312" s="1" t="n"/>
      <c r="L312" s="1" t="n"/>
    </row>
    <row r="313" ht="15.75" customHeight="1" s="311">
      <c r="A313" s="1" t="n"/>
      <c r="B313" s="1" t="n"/>
      <c r="C313" s="1" t="n"/>
      <c r="D313" s="1" t="n"/>
      <c r="E313" s="1" t="n"/>
      <c r="F313" s="1" t="n"/>
      <c r="G313" s="1" t="n"/>
      <c r="H313" s="1" t="n"/>
      <c r="I313" s="1" t="n"/>
      <c r="J313" s="1" t="n"/>
      <c r="K313" s="1" t="n"/>
      <c r="L313" s="1" t="n"/>
    </row>
    <row r="314" ht="15.75" customHeight="1" s="311">
      <c r="A314" s="1" t="n"/>
      <c r="B314" s="1" t="n"/>
      <c r="C314" s="1" t="n"/>
      <c r="D314" s="1" t="n"/>
      <c r="E314" s="1" t="n"/>
      <c r="F314" s="1" t="n"/>
      <c r="G314" s="1" t="n"/>
      <c r="H314" s="1" t="n"/>
      <c r="I314" s="1" t="n"/>
      <c r="J314" s="1" t="n"/>
      <c r="K314" s="1" t="n"/>
      <c r="L314" s="1" t="n"/>
    </row>
    <row r="315" ht="15.75" customHeight="1" s="311">
      <c r="A315" s="1" t="n"/>
      <c r="B315" s="1" t="n"/>
      <c r="C315" s="1" t="n"/>
      <c r="D315" s="1" t="n"/>
      <c r="E315" s="1" t="n"/>
      <c r="F315" s="1" t="n"/>
      <c r="G315" s="1" t="n"/>
      <c r="H315" s="1" t="n"/>
      <c r="I315" s="1" t="n"/>
      <c r="J315" s="1" t="n"/>
      <c r="K315" s="1" t="n"/>
      <c r="L315" s="1" t="n"/>
    </row>
    <row r="316" ht="15.75" customHeight="1" s="311">
      <c r="A316" s="1" t="n"/>
      <c r="B316" s="1" t="n"/>
      <c r="C316" s="1" t="n"/>
      <c r="D316" s="1" t="n"/>
      <c r="E316" s="1" t="n"/>
      <c r="F316" s="1" t="n"/>
      <c r="G316" s="1" t="n"/>
      <c r="H316" s="1" t="n"/>
      <c r="I316" s="1" t="n"/>
      <c r="J316" s="1" t="n"/>
      <c r="K316" s="1" t="n"/>
      <c r="L316" s="1" t="n"/>
    </row>
    <row r="317" ht="15.75" customHeight="1" s="311">
      <c r="A317" s="1" t="n"/>
      <c r="B317" s="1" t="n"/>
      <c r="C317" s="1" t="n"/>
      <c r="D317" s="1" t="n"/>
      <c r="E317" s="1" t="n"/>
      <c r="F317" s="1" t="n"/>
      <c r="G317" s="1" t="n"/>
      <c r="H317" s="1" t="n"/>
      <c r="I317" s="1" t="n"/>
      <c r="J317" s="1" t="n"/>
      <c r="K317" s="1" t="n"/>
      <c r="L317" s="1" t="n"/>
    </row>
    <row r="318" ht="15.75" customHeight="1" s="311">
      <c r="A318" s="1" t="n"/>
      <c r="B318" s="1" t="n"/>
      <c r="C318" s="1" t="n"/>
      <c r="D318" s="1" t="n"/>
      <c r="E318" s="1" t="n"/>
      <c r="F318" s="1" t="n"/>
      <c r="G318" s="1" t="n"/>
      <c r="H318" s="1" t="n"/>
      <c r="I318" s="1" t="n"/>
      <c r="J318" s="1" t="n"/>
      <c r="K318" s="1" t="n"/>
      <c r="L318" s="1" t="n"/>
    </row>
    <row r="319" ht="15.75" customHeight="1" s="311">
      <c r="A319" s="1" t="n"/>
      <c r="B319" s="1" t="n"/>
      <c r="C319" s="1" t="n"/>
      <c r="D319" s="1" t="n"/>
      <c r="E319" s="1" t="n"/>
      <c r="F319" s="1" t="n"/>
      <c r="G319" s="1" t="n"/>
      <c r="H319" s="1" t="n"/>
      <c r="I319" s="1" t="n"/>
      <c r="J319" s="1" t="n"/>
      <c r="K319" s="1" t="n"/>
      <c r="L319" s="1" t="n"/>
    </row>
    <row r="320" ht="15.75" customHeight="1" s="311">
      <c r="A320" s="1" t="n"/>
      <c r="B320" s="1" t="n"/>
      <c r="C320" s="1" t="n"/>
      <c r="D320" s="1" t="n"/>
      <c r="E320" s="1" t="n"/>
      <c r="F320" s="1" t="n"/>
      <c r="G320" s="1" t="n"/>
      <c r="H320" s="1" t="n"/>
      <c r="I320" s="1" t="n"/>
      <c r="J320" s="1" t="n"/>
      <c r="K320" s="1" t="n"/>
      <c r="L320" s="1" t="n"/>
    </row>
    <row r="321" ht="15.75" customHeight="1" s="311">
      <c r="A321" s="1" t="n"/>
      <c r="B321" s="1" t="n"/>
      <c r="C321" s="1" t="n"/>
      <c r="D321" s="1" t="n"/>
      <c r="E321" s="1" t="n"/>
      <c r="F321" s="1" t="n"/>
      <c r="G321" s="1" t="n"/>
      <c r="H321" s="1" t="n"/>
      <c r="I321" s="1" t="n"/>
      <c r="J321" s="1" t="n"/>
      <c r="K321" s="1" t="n"/>
      <c r="L321" s="1" t="n"/>
    </row>
    <row r="322" ht="15.75" customHeight="1" s="311">
      <c r="A322" s="1" t="n"/>
      <c r="B322" s="1" t="n"/>
      <c r="C322" s="1" t="n"/>
      <c r="D322" s="1" t="n"/>
      <c r="E322" s="1" t="n"/>
      <c r="F322" s="1" t="n"/>
      <c r="G322" s="1" t="n"/>
      <c r="H322" s="1" t="n"/>
      <c r="I322" s="1" t="n"/>
      <c r="J322" s="1" t="n"/>
      <c r="K322" s="1" t="n"/>
      <c r="L322" s="1" t="n"/>
    </row>
    <row r="323" ht="15.75" customHeight="1" s="311">
      <c r="A323" s="1" t="n"/>
      <c r="B323" s="1" t="n"/>
      <c r="C323" s="1" t="n"/>
      <c r="D323" s="1" t="n"/>
      <c r="E323" s="1" t="n"/>
      <c r="F323" s="1" t="n"/>
      <c r="G323" s="1" t="n"/>
      <c r="H323" s="1" t="n"/>
      <c r="I323" s="1" t="n"/>
      <c r="J323" s="1" t="n"/>
      <c r="K323" s="1" t="n"/>
      <c r="L323" s="1" t="n"/>
    </row>
    <row r="324" ht="15.75" customHeight="1" s="311">
      <c r="A324" s="1" t="n"/>
      <c r="B324" s="1" t="n"/>
      <c r="C324" s="1" t="n"/>
      <c r="D324" s="1" t="n"/>
      <c r="E324" s="1" t="n"/>
      <c r="F324" s="1" t="n"/>
      <c r="G324" s="1" t="n"/>
      <c r="H324" s="1" t="n"/>
      <c r="I324" s="1" t="n"/>
      <c r="J324" s="1" t="n"/>
      <c r="K324" s="1" t="n"/>
      <c r="L324" s="1" t="n"/>
    </row>
    <row r="325" ht="15.75" customHeight="1" s="311">
      <c r="A325" s="1" t="n"/>
      <c r="B325" s="1" t="n"/>
      <c r="C325" s="1" t="n"/>
      <c r="D325" s="1" t="n"/>
      <c r="E325" s="1" t="n"/>
      <c r="F325" s="1" t="n"/>
      <c r="G325" s="1" t="n"/>
      <c r="H325" s="1" t="n"/>
      <c r="I325" s="1" t="n"/>
      <c r="J325" s="1" t="n"/>
      <c r="K325" s="1" t="n"/>
      <c r="L325" s="1" t="n"/>
    </row>
    <row r="326" ht="15.75" customHeight="1" s="311">
      <c r="A326" s="1" t="n"/>
      <c r="B326" s="1" t="n"/>
      <c r="C326" s="1" t="n"/>
      <c r="D326" s="1" t="n"/>
      <c r="E326" s="1" t="n"/>
      <c r="F326" s="1" t="n"/>
      <c r="G326" s="1" t="n"/>
      <c r="H326" s="1" t="n"/>
      <c r="I326" s="1" t="n"/>
      <c r="J326" s="1" t="n"/>
      <c r="K326" s="1" t="n"/>
      <c r="L326" s="1" t="n"/>
    </row>
    <row r="327" ht="15.75" customHeight="1" s="311">
      <c r="A327" s="1" t="n"/>
      <c r="B327" s="1" t="n"/>
      <c r="C327" s="1" t="n"/>
      <c r="D327" s="1" t="n"/>
      <c r="E327" s="1" t="n"/>
      <c r="F327" s="1" t="n"/>
      <c r="G327" s="1" t="n"/>
      <c r="H327" s="1" t="n"/>
      <c r="I327" s="1" t="n"/>
      <c r="J327" s="1" t="n"/>
      <c r="K327" s="1" t="n"/>
      <c r="L327" s="1" t="n"/>
    </row>
    <row r="328" ht="15.75" customHeight="1" s="311">
      <c r="A328" s="1" t="n"/>
      <c r="B328" s="1" t="n"/>
      <c r="C328" s="1" t="n"/>
      <c r="D328" s="1" t="n"/>
      <c r="E328" s="1" t="n"/>
      <c r="F328" s="1" t="n"/>
      <c r="G328" s="1" t="n"/>
      <c r="H328" s="1" t="n"/>
      <c r="I328" s="1" t="n"/>
      <c r="J328" s="1" t="n"/>
      <c r="K328" s="1" t="n"/>
      <c r="L328" s="1" t="n"/>
    </row>
    <row r="329" ht="15.75" customHeight="1" s="311">
      <c r="A329" s="1" t="n"/>
      <c r="B329" s="1" t="n"/>
      <c r="C329" s="1" t="n"/>
      <c r="D329" s="1" t="n"/>
      <c r="E329" s="1" t="n"/>
      <c r="F329" s="1" t="n"/>
      <c r="G329" s="1" t="n"/>
      <c r="H329" s="1" t="n"/>
      <c r="I329" s="1" t="n"/>
      <c r="J329" s="1" t="n"/>
      <c r="K329" s="1" t="n"/>
      <c r="L329" s="1" t="n"/>
    </row>
    <row r="330" ht="15.75" customHeight="1" s="311">
      <c r="A330" s="1" t="n"/>
      <c r="B330" s="1" t="n"/>
      <c r="C330" s="1" t="n"/>
      <c r="D330" s="1" t="n"/>
      <c r="E330" s="1" t="n"/>
      <c r="F330" s="1" t="n"/>
      <c r="G330" s="1" t="n"/>
      <c r="H330" s="1" t="n"/>
      <c r="I330" s="1" t="n"/>
      <c r="J330" s="1" t="n"/>
      <c r="K330" s="1" t="n"/>
      <c r="L330" s="1" t="n"/>
    </row>
    <row r="331" ht="15.75" customHeight="1" s="311">
      <c r="A331" s="1" t="n"/>
      <c r="B331" s="1" t="n"/>
      <c r="C331" s="1" t="n"/>
      <c r="D331" s="1" t="n"/>
      <c r="E331" s="1" t="n"/>
      <c r="F331" s="1" t="n"/>
      <c r="G331" s="1" t="n"/>
      <c r="H331" s="1" t="n"/>
      <c r="I331" s="1" t="n"/>
      <c r="J331" s="1" t="n"/>
      <c r="K331" s="1" t="n"/>
      <c r="L331" s="1" t="n"/>
    </row>
    <row r="332" ht="15.75" customHeight="1" s="311">
      <c r="A332" s="1" t="n"/>
      <c r="B332" s="1" t="n"/>
      <c r="C332" s="1" t="n"/>
      <c r="D332" s="1" t="n"/>
      <c r="E332" s="1" t="n"/>
      <c r="F332" s="1" t="n"/>
      <c r="G332" s="1" t="n"/>
      <c r="H332" s="1" t="n"/>
      <c r="I332" s="1" t="n"/>
      <c r="J332" s="1" t="n"/>
      <c r="K332" s="1" t="n"/>
      <c r="L332" s="1" t="n"/>
    </row>
    <row r="333" ht="15.75" customHeight="1" s="311">
      <c r="A333" s="1" t="n"/>
      <c r="B333" s="1" t="n"/>
      <c r="C333" s="1" t="n"/>
      <c r="D333" s="1" t="n"/>
      <c r="E333" s="1" t="n"/>
      <c r="F333" s="1" t="n"/>
      <c r="G333" s="1" t="n"/>
      <c r="H333" s="1" t="n"/>
      <c r="I333" s="1" t="n"/>
      <c r="J333" s="1" t="n"/>
      <c r="K333" s="1" t="n"/>
      <c r="L333" s="1" t="n"/>
    </row>
    <row r="334" ht="15.75" customHeight="1" s="311">
      <c r="A334" s="1" t="n"/>
      <c r="B334" s="1" t="n"/>
      <c r="C334" s="1" t="n"/>
      <c r="D334" s="1" t="n"/>
      <c r="E334" s="1" t="n"/>
      <c r="F334" s="1" t="n"/>
      <c r="G334" s="1" t="n"/>
      <c r="H334" s="1" t="n"/>
      <c r="I334" s="1" t="n"/>
      <c r="J334" s="1" t="n"/>
      <c r="K334" s="1" t="n"/>
      <c r="L334" s="1" t="n"/>
    </row>
    <row r="335" ht="15.75" customHeight="1" s="311">
      <c r="A335" s="1" t="n"/>
      <c r="B335" s="1" t="n"/>
      <c r="C335" s="1" t="n"/>
      <c r="D335" s="1" t="n"/>
      <c r="E335" s="1" t="n"/>
      <c r="F335" s="1" t="n"/>
      <c r="G335" s="1" t="n"/>
      <c r="H335" s="1" t="n"/>
      <c r="I335" s="1" t="n"/>
      <c r="J335" s="1" t="n"/>
      <c r="K335" s="1" t="n"/>
      <c r="L335" s="1" t="n"/>
    </row>
    <row r="336" ht="15.75" customHeight="1" s="311">
      <c r="A336" s="1" t="n"/>
      <c r="B336" s="1" t="n"/>
      <c r="C336" s="1" t="n"/>
      <c r="D336" s="1" t="n"/>
      <c r="E336" s="1" t="n"/>
      <c r="F336" s="1" t="n"/>
      <c r="G336" s="1" t="n"/>
      <c r="H336" s="1" t="n"/>
      <c r="I336" s="1" t="n"/>
      <c r="J336" s="1" t="n"/>
      <c r="K336" s="1" t="n"/>
      <c r="L336" s="1" t="n"/>
    </row>
    <row r="337" ht="15.75" customHeight="1" s="311">
      <c r="A337" s="1" t="n"/>
      <c r="B337" s="1" t="n"/>
      <c r="C337" s="1" t="n"/>
      <c r="D337" s="1" t="n"/>
      <c r="E337" s="1" t="n"/>
      <c r="F337" s="1" t="n"/>
      <c r="G337" s="1" t="n"/>
      <c r="H337" s="1" t="n"/>
      <c r="I337" s="1" t="n"/>
      <c r="J337" s="1" t="n"/>
      <c r="K337" s="1" t="n"/>
      <c r="L337" s="1" t="n"/>
    </row>
    <row r="338" ht="15.75" customHeight="1" s="311">
      <c r="A338" s="1" t="n"/>
      <c r="B338" s="1" t="n"/>
      <c r="C338" s="1" t="n"/>
      <c r="D338" s="1" t="n"/>
      <c r="E338" s="1" t="n"/>
      <c r="F338" s="1" t="n"/>
      <c r="G338" s="1" t="n"/>
      <c r="H338" s="1" t="n"/>
      <c r="I338" s="1" t="n"/>
      <c r="J338" s="1" t="n"/>
      <c r="K338" s="1" t="n"/>
      <c r="L338" s="1" t="n"/>
    </row>
    <row r="339" ht="15.75" customHeight="1" s="311">
      <c r="A339" s="1" t="n"/>
      <c r="B339" s="1" t="n"/>
      <c r="C339" s="1" t="n"/>
      <c r="D339" s="1" t="n"/>
      <c r="E339" s="1" t="n"/>
      <c r="F339" s="1" t="n"/>
      <c r="G339" s="1" t="n"/>
      <c r="H339" s="1" t="n"/>
      <c r="I339" s="1" t="n"/>
      <c r="J339" s="1" t="n"/>
      <c r="K339" s="1" t="n"/>
      <c r="L339" s="1" t="n"/>
    </row>
    <row r="340" ht="15.75" customHeight="1" s="311">
      <c r="A340" s="1" t="n"/>
      <c r="B340" s="1" t="n"/>
      <c r="C340" s="1" t="n"/>
      <c r="D340" s="1" t="n"/>
      <c r="E340" s="1" t="n"/>
      <c r="F340" s="1" t="n"/>
      <c r="G340" s="1" t="n"/>
      <c r="H340" s="1" t="n"/>
      <c r="I340" s="1" t="n"/>
      <c r="J340" s="1" t="n"/>
      <c r="K340" s="1" t="n"/>
      <c r="L340" s="1" t="n"/>
    </row>
    <row r="341" ht="15.75" customHeight="1" s="311">
      <c r="A341" s="1" t="n"/>
      <c r="B341" s="1" t="n"/>
      <c r="C341" s="1" t="n"/>
      <c r="D341" s="1" t="n"/>
      <c r="E341" s="1" t="n"/>
      <c r="F341" s="1" t="n"/>
      <c r="G341" s="1" t="n"/>
      <c r="H341" s="1" t="n"/>
      <c r="I341" s="1" t="n"/>
      <c r="J341" s="1" t="n"/>
      <c r="K341" s="1" t="n"/>
      <c r="L341" s="1" t="n"/>
    </row>
    <row r="342" ht="15.75" customHeight="1" s="311">
      <c r="A342" s="1" t="n"/>
      <c r="B342" s="1" t="n"/>
      <c r="C342" s="1" t="n"/>
      <c r="D342" s="1" t="n"/>
      <c r="E342" s="1" t="n"/>
      <c r="F342" s="1" t="n"/>
      <c r="G342" s="1" t="n"/>
      <c r="H342" s="1" t="n"/>
      <c r="I342" s="1" t="n"/>
      <c r="J342" s="1" t="n"/>
      <c r="K342" s="1" t="n"/>
      <c r="L342" s="1" t="n"/>
    </row>
    <row r="343" ht="15.75" customHeight="1" s="311">
      <c r="A343" s="1" t="n"/>
      <c r="B343" s="1" t="n"/>
      <c r="C343" s="1" t="n"/>
      <c r="D343" s="1" t="n"/>
      <c r="E343" s="1" t="n"/>
      <c r="F343" s="1" t="n"/>
      <c r="G343" s="1" t="n"/>
      <c r="H343" s="1" t="n"/>
      <c r="I343" s="1" t="n"/>
      <c r="J343" s="1" t="n"/>
      <c r="K343" s="1" t="n"/>
      <c r="L343" s="1" t="n"/>
    </row>
    <row r="344" ht="15.75" customHeight="1" s="311">
      <c r="A344" s="1" t="n"/>
      <c r="B344" s="1" t="n"/>
      <c r="C344" s="1" t="n"/>
      <c r="D344" s="1" t="n"/>
      <c r="E344" s="1" t="n"/>
      <c r="F344" s="1" t="n"/>
      <c r="G344" s="1" t="n"/>
      <c r="H344" s="1" t="n"/>
      <c r="I344" s="1" t="n"/>
      <c r="J344" s="1" t="n"/>
      <c r="K344" s="1" t="n"/>
      <c r="L344" s="1" t="n"/>
    </row>
    <row r="345" ht="15.75" customHeight="1" s="311">
      <c r="A345" s="1" t="n"/>
      <c r="B345" s="1" t="n"/>
      <c r="C345" s="1" t="n"/>
      <c r="D345" s="1" t="n"/>
      <c r="E345" s="1" t="n"/>
      <c r="F345" s="1" t="n"/>
      <c r="G345" s="1" t="n"/>
      <c r="H345" s="1" t="n"/>
      <c r="I345" s="1" t="n"/>
      <c r="J345" s="1" t="n"/>
      <c r="K345" s="1" t="n"/>
      <c r="L345" s="1" t="n"/>
    </row>
    <row r="346" ht="15.75" customHeight="1" s="311">
      <c r="A346" s="1" t="n"/>
      <c r="B346" s="1" t="n"/>
      <c r="C346" s="1" t="n"/>
      <c r="D346" s="1" t="n"/>
      <c r="E346" s="1" t="n"/>
      <c r="F346" s="1" t="n"/>
      <c r="G346" s="1" t="n"/>
      <c r="H346" s="1" t="n"/>
      <c r="I346" s="1" t="n"/>
      <c r="J346" s="1" t="n"/>
      <c r="K346" s="1" t="n"/>
      <c r="L346" s="1" t="n"/>
    </row>
    <row r="347" ht="15.75" customHeight="1" s="311">
      <c r="A347" s="1" t="n"/>
      <c r="B347" s="1" t="n"/>
      <c r="C347" s="1" t="n"/>
      <c r="D347" s="1" t="n"/>
      <c r="E347" s="1" t="n"/>
      <c r="F347" s="1" t="n"/>
      <c r="G347" s="1" t="n"/>
      <c r="H347" s="1" t="n"/>
      <c r="I347" s="1" t="n"/>
      <c r="J347" s="1" t="n"/>
      <c r="K347" s="1" t="n"/>
      <c r="L347" s="1" t="n"/>
    </row>
    <row r="348" ht="15.75" customHeight="1" s="311">
      <c r="A348" s="1" t="n"/>
      <c r="B348" s="1" t="n"/>
      <c r="C348" s="1" t="n"/>
      <c r="D348" s="1" t="n"/>
      <c r="E348" s="1" t="n"/>
      <c r="F348" s="1" t="n"/>
      <c r="G348" s="1" t="n"/>
      <c r="H348" s="1" t="n"/>
      <c r="I348" s="1" t="n"/>
      <c r="J348" s="1" t="n"/>
      <c r="K348" s="1" t="n"/>
      <c r="L348" s="1" t="n"/>
    </row>
    <row r="349" ht="15.75" customHeight="1" s="311">
      <c r="A349" s="1" t="n"/>
      <c r="B349" s="1" t="n"/>
      <c r="C349" s="1" t="n"/>
      <c r="D349" s="1" t="n"/>
      <c r="E349" s="1" t="n"/>
      <c r="F349" s="1" t="n"/>
      <c r="G349" s="1" t="n"/>
      <c r="H349" s="1" t="n"/>
      <c r="I349" s="1" t="n"/>
      <c r="J349" s="1" t="n"/>
      <c r="K349" s="1" t="n"/>
      <c r="L349" s="1" t="n"/>
    </row>
    <row r="350" ht="15.75" customHeight="1" s="311">
      <c r="A350" s="1" t="n"/>
      <c r="B350" s="1" t="n"/>
      <c r="C350" s="1" t="n"/>
      <c r="D350" s="1" t="n"/>
      <c r="E350" s="1" t="n"/>
      <c r="F350" s="1" t="n"/>
      <c r="G350" s="1" t="n"/>
      <c r="H350" s="1" t="n"/>
      <c r="I350" s="1" t="n"/>
      <c r="J350" s="1" t="n"/>
      <c r="K350" s="1" t="n"/>
      <c r="L350" s="1" t="n"/>
    </row>
    <row r="351" ht="15.75" customHeight="1" s="311">
      <c r="A351" s="1" t="n"/>
      <c r="B351" s="1" t="n"/>
      <c r="C351" s="1" t="n"/>
      <c r="D351" s="1" t="n"/>
      <c r="E351" s="1" t="n"/>
      <c r="F351" s="1" t="n"/>
      <c r="G351" s="1" t="n"/>
      <c r="H351" s="1" t="n"/>
      <c r="I351" s="1" t="n"/>
      <c r="J351" s="1" t="n"/>
      <c r="K351" s="1" t="n"/>
      <c r="L351" s="1" t="n"/>
    </row>
    <row r="352" ht="15.75" customHeight="1" s="311">
      <c r="A352" s="1" t="n"/>
      <c r="B352" s="1" t="n"/>
      <c r="C352" s="1" t="n"/>
      <c r="D352" s="1" t="n"/>
      <c r="E352" s="1" t="n"/>
      <c r="F352" s="1" t="n"/>
      <c r="G352" s="1" t="n"/>
      <c r="H352" s="1" t="n"/>
      <c r="I352" s="1" t="n"/>
      <c r="J352" s="1" t="n"/>
      <c r="K352" s="1" t="n"/>
      <c r="L352" s="1" t="n"/>
    </row>
    <row r="353" ht="15.75" customHeight="1" s="311">
      <c r="A353" s="1" t="n"/>
      <c r="B353" s="1" t="n"/>
      <c r="C353" s="1" t="n"/>
      <c r="D353" s="1" t="n"/>
      <c r="E353" s="1" t="n"/>
      <c r="F353" s="1" t="n"/>
      <c r="G353" s="1" t="n"/>
      <c r="H353" s="1" t="n"/>
      <c r="I353" s="1" t="n"/>
      <c r="J353" s="1" t="n"/>
      <c r="K353" s="1" t="n"/>
      <c r="L353" s="1" t="n"/>
    </row>
    <row r="354" ht="15.75" customHeight="1" s="311">
      <c r="A354" s="1" t="n"/>
      <c r="B354" s="1" t="n"/>
      <c r="C354" s="1" t="n"/>
      <c r="D354" s="1" t="n"/>
      <c r="E354" s="1" t="n"/>
      <c r="F354" s="1" t="n"/>
      <c r="G354" s="1" t="n"/>
      <c r="H354" s="1" t="n"/>
      <c r="I354" s="1" t="n"/>
      <c r="J354" s="1" t="n"/>
      <c r="K354" s="1" t="n"/>
      <c r="L354" s="1" t="n"/>
    </row>
    <row r="355" ht="15.75" customHeight="1" s="311">
      <c r="A355" s="1" t="n"/>
      <c r="B355" s="1" t="n"/>
      <c r="C355" s="1" t="n"/>
      <c r="D355" s="1" t="n"/>
      <c r="E355" s="1" t="n"/>
      <c r="F355" s="1" t="n"/>
      <c r="G355" s="1" t="n"/>
      <c r="H355" s="1" t="n"/>
      <c r="I355" s="1" t="n"/>
      <c r="J355" s="1" t="n"/>
      <c r="K355" s="1" t="n"/>
      <c r="L355" s="1" t="n"/>
    </row>
    <row r="356" ht="15.75" customHeight="1" s="311">
      <c r="A356" s="1" t="n"/>
      <c r="B356" s="1" t="n"/>
      <c r="C356" s="1" t="n"/>
      <c r="D356" s="1" t="n"/>
      <c r="E356" s="1" t="n"/>
      <c r="F356" s="1" t="n"/>
      <c r="G356" s="1" t="n"/>
      <c r="H356" s="1" t="n"/>
      <c r="I356" s="1" t="n"/>
      <c r="J356" s="1" t="n"/>
      <c r="K356" s="1" t="n"/>
      <c r="L356" s="1" t="n"/>
    </row>
    <row r="357" ht="15.75" customHeight="1" s="311">
      <c r="A357" s="1" t="n"/>
      <c r="B357" s="1" t="n"/>
      <c r="C357" s="1" t="n"/>
      <c r="D357" s="1" t="n"/>
      <c r="E357" s="1" t="n"/>
      <c r="F357" s="1" t="n"/>
      <c r="G357" s="1" t="n"/>
      <c r="H357" s="1" t="n"/>
      <c r="I357" s="1" t="n"/>
      <c r="J357" s="1" t="n"/>
      <c r="K357" s="1" t="n"/>
      <c r="L357" s="1" t="n"/>
    </row>
    <row r="358" ht="15.75" customHeight="1" s="311">
      <c r="A358" s="1" t="n"/>
      <c r="B358" s="1" t="n"/>
      <c r="C358" s="1" t="n"/>
      <c r="D358" s="1" t="n"/>
      <c r="E358" s="1" t="n"/>
      <c r="F358" s="1" t="n"/>
      <c r="G358" s="1" t="n"/>
      <c r="H358" s="1" t="n"/>
      <c r="I358" s="1" t="n"/>
      <c r="J358" s="1" t="n"/>
      <c r="K358" s="1" t="n"/>
      <c r="L358" s="1" t="n"/>
    </row>
    <row r="359" ht="15.75" customHeight="1" s="311">
      <c r="A359" s="1" t="n"/>
      <c r="B359" s="1" t="n"/>
      <c r="C359" s="1" t="n"/>
      <c r="D359" s="1" t="n"/>
      <c r="E359" s="1" t="n"/>
      <c r="F359" s="1" t="n"/>
      <c r="G359" s="1" t="n"/>
      <c r="H359" s="1" t="n"/>
      <c r="I359" s="1" t="n"/>
      <c r="J359" s="1" t="n"/>
      <c r="K359" s="1" t="n"/>
      <c r="L359" s="1" t="n"/>
    </row>
    <row r="360" ht="15.75" customHeight="1" s="311">
      <c r="A360" s="1" t="n"/>
      <c r="B360" s="1" t="n"/>
      <c r="C360" s="1" t="n"/>
      <c r="D360" s="1" t="n"/>
      <c r="E360" s="1" t="n"/>
      <c r="F360" s="1" t="n"/>
      <c r="G360" s="1" t="n"/>
      <c r="H360" s="1" t="n"/>
      <c r="I360" s="1" t="n"/>
      <c r="J360" s="1" t="n"/>
      <c r="K360" s="1" t="n"/>
      <c r="L360" s="1" t="n"/>
    </row>
    <row r="361" ht="15.75" customHeight="1" s="311">
      <c r="A361" s="1" t="n"/>
      <c r="B361" s="1" t="n"/>
      <c r="C361" s="1" t="n"/>
      <c r="D361" s="1" t="n"/>
      <c r="E361" s="1" t="n"/>
      <c r="F361" s="1" t="n"/>
      <c r="G361" s="1" t="n"/>
      <c r="H361" s="1" t="n"/>
      <c r="I361" s="1" t="n"/>
      <c r="J361" s="1" t="n"/>
      <c r="K361" s="1" t="n"/>
      <c r="L361" s="1" t="n"/>
    </row>
    <row r="362" ht="15.75" customHeight="1" s="311">
      <c r="A362" s="1" t="n"/>
      <c r="B362" s="1" t="n"/>
      <c r="C362" s="1" t="n"/>
      <c r="D362" s="1" t="n"/>
      <c r="E362" s="1" t="n"/>
      <c r="F362" s="1" t="n"/>
      <c r="G362" s="1" t="n"/>
      <c r="H362" s="1" t="n"/>
      <c r="I362" s="1" t="n"/>
      <c r="J362" s="1" t="n"/>
      <c r="K362" s="1" t="n"/>
      <c r="L362" s="1" t="n"/>
    </row>
    <row r="363" ht="15.75" customHeight="1" s="311">
      <c r="A363" s="1" t="n"/>
      <c r="B363" s="1" t="n"/>
      <c r="C363" s="1" t="n"/>
      <c r="D363" s="1" t="n"/>
      <c r="E363" s="1" t="n"/>
      <c r="F363" s="1" t="n"/>
      <c r="G363" s="1" t="n"/>
      <c r="H363" s="1" t="n"/>
      <c r="I363" s="1" t="n"/>
      <c r="J363" s="1" t="n"/>
      <c r="K363" s="1" t="n"/>
      <c r="L363" s="1" t="n"/>
    </row>
    <row r="364" ht="15.75" customHeight="1" s="311">
      <c r="A364" s="1" t="n"/>
      <c r="B364" s="1" t="n"/>
      <c r="C364" s="1" t="n"/>
      <c r="D364" s="1" t="n"/>
      <c r="E364" s="1" t="n"/>
      <c r="F364" s="1" t="n"/>
      <c r="G364" s="1" t="n"/>
      <c r="H364" s="1" t="n"/>
      <c r="I364" s="1" t="n"/>
      <c r="J364" s="1" t="n"/>
      <c r="K364" s="1" t="n"/>
      <c r="L364" s="1" t="n"/>
    </row>
    <row r="365" ht="15.75" customHeight="1" s="311">
      <c r="A365" s="1" t="n"/>
      <c r="B365" s="1" t="n"/>
      <c r="C365" s="1" t="n"/>
      <c r="D365" s="1" t="n"/>
      <c r="E365" s="1" t="n"/>
      <c r="F365" s="1" t="n"/>
      <c r="G365" s="1" t="n"/>
      <c r="H365" s="1" t="n"/>
      <c r="I365" s="1" t="n"/>
      <c r="J365" s="1" t="n"/>
      <c r="K365" s="1" t="n"/>
      <c r="L365" s="1" t="n"/>
    </row>
    <row r="366" ht="15.75" customHeight="1" s="311">
      <c r="A366" s="1" t="n"/>
      <c r="B366" s="1" t="n"/>
      <c r="C366" s="1" t="n"/>
      <c r="D366" s="1" t="n"/>
      <c r="E366" s="1" t="n"/>
      <c r="F366" s="1" t="n"/>
      <c r="G366" s="1" t="n"/>
      <c r="H366" s="1" t="n"/>
      <c r="I366" s="1" t="n"/>
      <c r="J366" s="1" t="n"/>
      <c r="K366" s="1" t="n"/>
      <c r="L366" s="1" t="n"/>
    </row>
    <row r="367" ht="15.75" customHeight="1" s="311">
      <c r="A367" s="1" t="n"/>
      <c r="B367" s="1" t="n"/>
      <c r="C367" s="1" t="n"/>
      <c r="D367" s="1" t="n"/>
      <c r="E367" s="1" t="n"/>
      <c r="F367" s="1" t="n"/>
      <c r="G367" s="1" t="n"/>
      <c r="H367" s="1" t="n"/>
      <c r="I367" s="1" t="n"/>
      <c r="J367" s="1" t="n"/>
      <c r="K367" s="1" t="n"/>
      <c r="L367" s="1" t="n"/>
    </row>
    <row r="368" ht="15.75" customHeight="1" s="311">
      <c r="A368" s="1" t="n"/>
      <c r="B368" s="1" t="n"/>
      <c r="C368" s="1" t="n"/>
      <c r="D368" s="1" t="n"/>
      <c r="E368" s="1" t="n"/>
      <c r="F368" s="1" t="n"/>
      <c r="G368" s="1" t="n"/>
      <c r="H368" s="1" t="n"/>
      <c r="I368" s="1" t="n"/>
      <c r="J368" s="1" t="n"/>
      <c r="K368" s="1" t="n"/>
      <c r="L368" s="1" t="n"/>
    </row>
    <row r="369" ht="15.75" customHeight="1" s="311">
      <c r="A369" s="1" t="n"/>
      <c r="B369" s="1" t="n"/>
      <c r="C369" s="1" t="n"/>
      <c r="D369" s="1" t="n"/>
      <c r="E369" s="1" t="n"/>
      <c r="F369" s="1" t="n"/>
      <c r="G369" s="1" t="n"/>
      <c r="H369" s="1" t="n"/>
      <c r="I369" s="1" t="n"/>
      <c r="J369" s="1" t="n"/>
      <c r="K369" s="1" t="n"/>
      <c r="L369" s="1" t="n"/>
    </row>
    <row r="370" ht="15.75" customHeight="1" s="311">
      <c r="A370" s="1" t="n"/>
      <c r="B370" s="1" t="n"/>
      <c r="C370" s="1" t="n"/>
      <c r="D370" s="1" t="n"/>
      <c r="E370" s="1" t="n"/>
      <c r="F370" s="1" t="n"/>
      <c r="G370" s="1" t="n"/>
      <c r="H370" s="1" t="n"/>
      <c r="I370" s="1" t="n"/>
      <c r="J370" s="1" t="n"/>
      <c r="K370" s="1" t="n"/>
      <c r="L370" s="1" t="n"/>
    </row>
    <row r="371" ht="15.75" customHeight="1" s="311">
      <c r="A371" s="1" t="n"/>
      <c r="B371" s="1" t="n"/>
      <c r="C371" s="1" t="n"/>
      <c r="D371" s="1" t="n"/>
      <c r="E371" s="1" t="n"/>
      <c r="F371" s="1" t="n"/>
      <c r="G371" s="1" t="n"/>
      <c r="H371" s="1" t="n"/>
      <c r="I371" s="1" t="n"/>
      <c r="J371" s="1" t="n"/>
      <c r="K371" s="1" t="n"/>
      <c r="L371" s="1" t="n"/>
    </row>
    <row r="372" ht="15.75" customHeight="1" s="311">
      <c r="A372" s="1" t="n"/>
      <c r="B372" s="1" t="n"/>
      <c r="C372" s="1" t="n"/>
      <c r="D372" s="1" t="n"/>
      <c r="E372" s="1" t="n"/>
      <c r="F372" s="1" t="n"/>
      <c r="G372" s="1" t="n"/>
      <c r="H372" s="1" t="n"/>
      <c r="I372" s="1" t="n"/>
      <c r="J372" s="1" t="n"/>
      <c r="K372" s="1" t="n"/>
      <c r="L372" s="1" t="n"/>
    </row>
    <row r="373" ht="15.75" customHeight="1" s="311">
      <c r="A373" s="1" t="n"/>
      <c r="B373" s="1" t="n"/>
      <c r="C373" s="1" t="n"/>
      <c r="D373" s="1" t="n"/>
      <c r="E373" s="1" t="n"/>
      <c r="F373" s="1" t="n"/>
      <c r="G373" s="1" t="n"/>
      <c r="H373" s="1" t="n"/>
      <c r="I373" s="1" t="n"/>
      <c r="J373" s="1" t="n"/>
      <c r="K373" s="1" t="n"/>
      <c r="L373" s="1" t="n"/>
    </row>
    <row r="374" ht="15.75" customHeight="1" s="311">
      <c r="A374" s="1" t="n"/>
      <c r="B374" s="1" t="n"/>
      <c r="C374" s="1" t="n"/>
      <c r="D374" s="1" t="n"/>
      <c r="E374" s="1" t="n"/>
      <c r="F374" s="1" t="n"/>
      <c r="G374" s="1" t="n"/>
      <c r="H374" s="1" t="n"/>
      <c r="I374" s="1" t="n"/>
      <c r="J374" s="1" t="n"/>
      <c r="K374" s="1" t="n"/>
      <c r="L374" s="1" t="n"/>
    </row>
    <row r="375" ht="15.75" customHeight="1" s="311">
      <c r="A375" s="1" t="n"/>
      <c r="B375" s="1" t="n"/>
      <c r="C375" s="1" t="n"/>
      <c r="D375" s="1" t="n"/>
      <c r="E375" s="1" t="n"/>
      <c r="F375" s="1" t="n"/>
      <c r="G375" s="1" t="n"/>
      <c r="H375" s="1" t="n"/>
      <c r="I375" s="1" t="n"/>
      <c r="J375" s="1" t="n"/>
      <c r="K375" s="1" t="n"/>
      <c r="L375" s="1" t="n"/>
    </row>
    <row r="376" ht="15.75" customHeight="1" s="311">
      <c r="A376" s="1" t="n"/>
      <c r="B376" s="1" t="n"/>
      <c r="C376" s="1" t="n"/>
      <c r="D376" s="1" t="n"/>
      <c r="E376" s="1" t="n"/>
      <c r="F376" s="1" t="n"/>
      <c r="G376" s="1" t="n"/>
      <c r="H376" s="1" t="n"/>
      <c r="I376" s="1" t="n"/>
      <c r="J376" s="1" t="n"/>
      <c r="K376" s="1" t="n"/>
      <c r="L376" s="1" t="n"/>
    </row>
    <row r="377" ht="15.75" customHeight="1" s="311">
      <c r="A377" s="1" t="n"/>
      <c r="B377" s="1" t="n"/>
      <c r="C377" s="1" t="n"/>
      <c r="D377" s="1" t="n"/>
      <c r="E377" s="1" t="n"/>
      <c r="F377" s="1" t="n"/>
      <c r="G377" s="1" t="n"/>
      <c r="H377" s="1" t="n"/>
      <c r="I377" s="1" t="n"/>
      <c r="J377" s="1" t="n"/>
      <c r="K377" s="1" t="n"/>
      <c r="L377" s="1" t="n"/>
    </row>
    <row r="378" ht="15.75" customHeight="1" s="311">
      <c r="A378" s="1" t="n"/>
      <c r="B378" s="1" t="n"/>
      <c r="C378" s="1" t="n"/>
      <c r="D378" s="1" t="n"/>
      <c r="E378" s="1" t="n"/>
      <c r="F378" s="1" t="n"/>
      <c r="G378" s="1" t="n"/>
      <c r="H378" s="1" t="n"/>
      <c r="I378" s="1" t="n"/>
      <c r="J378" s="1" t="n"/>
      <c r="K378" s="1" t="n"/>
      <c r="L378" s="1" t="n"/>
    </row>
    <row r="379" ht="15.75" customHeight="1" s="311">
      <c r="A379" s="1" t="n"/>
      <c r="B379" s="1" t="n"/>
      <c r="C379" s="1" t="n"/>
      <c r="D379" s="1" t="n"/>
      <c r="E379" s="1" t="n"/>
      <c r="F379" s="1" t="n"/>
      <c r="G379" s="1" t="n"/>
      <c r="H379" s="1" t="n"/>
      <c r="I379" s="1" t="n"/>
      <c r="J379" s="1" t="n"/>
      <c r="K379" s="1" t="n"/>
      <c r="L379" s="1" t="n"/>
    </row>
    <row r="380" ht="15.75" customHeight="1" s="311">
      <c r="A380" s="1" t="n"/>
      <c r="B380" s="1" t="n"/>
      <c r="C380" s="1" t="n"/>
      <c r="D380" s="1" t="n"/>
      <c r="E380" s="1" t="n"/>
      <c r="F380" s="1" t="n"/>
      <c r="G380" s="1" t="n"/>
      <c r="H380" s="1" t="n"/>
      <c r="I380" s="1" t="n"/>
      <c r="J380" s="1" t="n"/>
      <c r="K380" s="1" t="n"/>
      <c r="L380" s="1" t="n"/>
    </row>
    <row r="381" ht="15.75" customHeight="1" s="311">
      <c r="A381" s="1" t="n"/>
      <c r="B381" s="1" t="n"/>
      <c r="C381" s="1" t="n"/>
      <c r="D381" s="1" t="n"/>
      <c r="E381" s="1" t="n"/>
      <c r="F381" s="1" t="n"/>
      <c r="G381" s="1" t="n"/>
      <c r="H381" s="1" t="n"/>
      <c r="I381" s="1" t="n"/>
      <c r="J381" s="1" t="n"/>
      <c r="K381" s="1" t="n"/>
      <c r="L381" s="1" t="n"/>
    </row>
    <row r="382" ht="15.75" customHeight="1" s="311">
      <c r="A382" s="1" t="n"/>
      <c r="B382" s="1" t="n"/>
      <c r="C382" s="1" t="n"/>
      <c r="D382" s="1" t="n"/>
      <c r="E382" s="1" t="n"/>
      <c r="F382" s="1" t="n"/>
      <c r="G382" s="1" t="n"/>
      <c r="H382" s="1" t="n"/>
      <c r="I382" s="1" t="n"/>
      <c r="J382" s="1" t="n"/>
      <c r="K382" s="1" t="n"/>
      <c r="L382" s="1" t="n"/>
    </row>
    <row r="383" ht="15.75" customHeight="1" s="311">
      <c r="A383" s="1" t="n"/>
      <c r="B383" s="1" t="n"/>
      <c r="C383" s="1" t="n"/>
      <c r="D383" s="1" t="n"/>
      <c r="E383" s="1" t="n"/>
      <c r="F383" s="1" t="n"/>
      <c r="G383" s="1" t="n"/>
      <c r="H383" s="1" t="n"/>
      <c r="I383" s="1" t="n"/>
      <c r="J383" s="1" t="n"/>
      <c r="K383" s="1" t="n"/>
      <c r="L383" s="1" t="n"/>
    </row>
    <row r="384" ht="15.75" customHeight="1" s="311">
      <c r="A384" s="1" t="n"/>
      <c r="B384" s="1" t="n"/>
      <c r="C384" s="1" t="n"/>
      <c r="D384" s="1" t="n"/>
      <c r="E384" s="1" t="n"/>
      <c r="F384" s="1" t="n"/>
      <c r="G384" s="1" t="n"/>
      <c r="H384" s="1" t="n"/>
      <c r="I384" s="1" t="n"/>
      <c r="J384" s="1" t="n"/>
      <c r="K384" s="1" t="n"/>
      <c r="L384" s="1" t="n"/>
    </row>
    <row r="385" ht="15.75" customHeight="1" s="311">
      <c r="A385" s="1" t="n"/>
      <c r="B385" s="1" t="n"/>
      <c r="C385" s="1" t="n"/>
      <c r="D385" s="1" t="n"/>
      <c r="E385" s="1" t="n"/>
      <c r="F385" s="1" t="n"/>
      <c r="G385" s="1" t="n"/>
      <c r="H385" s="1" t="n"/>
      <c r="I385" s="1" t="n"/>
      <c r="J385" s="1" t="n"/>
      <c r="K385" s="1" t="n"/>
      <c r="L385" s="1" t="n"/>
    </row>
    <row r="386" ht="15.75" customHeight="1" s="311">
      <c r="A386" s="1" t="n"/>
      <c r="B386" s="1" t="n"/>
      <c r="C386" s="1" t="n"/>
      <c r="D386" s="1" t="n"/>
      <c r="E386" s="1" t="n"/>
      <c r="F386" s="1" t="n"/>
      <c r="G386" s="1" t="n"/>
      <c r="H386" s="1" t="n"/>
      <c r="I386" s="1" t="n"/>
      <c r="J386" s="1" t="n"/>
      <c r="K386" s="1" t="n"/>
      <c r="L386" s="1" t="n"/>
    </row>
    <row r="387" ht="15.75" customHeight="1" s="311">
      <c r="A387" s="1" t="n"/>
      <c r="B387" s="1" t="n"/>
      <c r="C387" s="1" t="n"/>
      <c r="D387" s="1" t="n"/>
      <c r="E387" s="1" t="n"/>
      <c r="F387" s="1" t="n"/>
      <c r="G387" s="1" t="n"/>
      <c r="H387" s="1" t="n"/>
      <c r="I387" s="1" t="n"/>
      <c r="J387" s="1" t="n"/>
      <c r="K387" s="1" t="n"/>
      <c r="L387" s="1" t="n"/>
    </row>
    <row r="388" ht="15.75" customHeight="1" s="311">
      <c r="A388" s="1" t="n"/>
      <c r="B388" s="1" t="n"/>
      <c r="C388" s="1" t="n"/>
      <c r="D388" s="1" t="n"/>
      <c r="E388" s="1" t="n"/>
      <c r="F388" s="1" t="n"/>
      <c r="G388" s="1" t="n"/>
      <c r="H388" s="1" t="n"/>
      <c r="I388" s="1" t="n"/>
      <c r="J388" s="1" t="n"/>
      <c r="K388" s="1" t="n"/>
      <c r="L388" s="1" t="n"/>
    </row>
    <row r="389" ht="15.75" customHeight="1" s="311">
      <c r="A389" s="1" t="n"/>
      <c r="B389" s="1" t="n"/>
      <c r="C389" s="1" t="n"/>
      <c r="D389" s="1" t="n"/>
      <c r="E389" s="1" t="n"/>
      <c r="F389" s="1" t="n"/>
      <c r="G389" s="1" t="n"/>
      <c r="H389" s="1" t="n"/>
      <c r="I389" s="1" t="n"/>
      <c r="J389" s="1" t="n"/>
      <c r="K389" s="1" t="n"/>
      <c r="L389" s="1" t="n"/>
    </row>
    <row r="390" ht="15.75" customHeight="1" s="311">
      <c r="A390" s="1" t="n"/>
      <c r="B390" s="1" t="n"/>
      <c r="C390" s="1" t="n"/>
      <c r="D390" s="1" t="n"/>
      <c r="E390" s="1" t="n"/>
      <c r="F390" s="1" t="n"/>
      <c r="G390" s="1" t="n"/>
      <c r="H390" s="1" t="n"/>
      <c r="I390" s="1" t="n"/>
      <c r="J390" s="1" t="n"/>
      <c r="K390" s="1" t="n"/>
      <c r="L390" s="1" t="n"/>
    </row>
    <row r="391" ht="15.75" customHeight="1" s="311">
      <c r="A391" s="1" t="n"/>
      <c r="B391" s="1" t="n"/>
      <c r="C391" s="1" t="n"/>
      <c r="D391" s="1" t="n"/>
      <c r="E391" s="1" t="n"/>
      <c r="F391" s="1" t="n"/>
      <c r="G391" s="1" t="n"/>
      <c r="H391" s="1" t="n"/>
      <c r="I391" s="1" t="n"/>
      <c r="J391" s="1" t="n"/>
      <c r="K391" s="1" t="n"/>
      <c r="L391" s="1" t="n"/>
    </row>
    <row r="392" ht="15.75" customHeight="1" s="311">
      <c r="A392" s="1" t="n"/>
      <c r="B392" s="1" t="n"/>
      <c r="C392" s="1" t="n"/>
      <c r="D392" s="1" t="n"/>
      <c r="E392" s="1" t="n"/>
      <c r="F392" s="1" t="n"/>
      <c r="G392" s="1" t="n"/>
      <c r="H392" s="1" t="n"/>
      <c r="I392" s="1" t="n"/>
      <c r="J392" s="1" t="n"/>
      <c r="K392" s="1" t="n"/>
      <c r="L392" s="1" t="n"/>
    </row>
    <row r="393" ht="15.75" customHeight="1" s="311">
      <c r="A393" s="1" t="n"/>
      <c r="B393" s="1" t="n"/>
      <c r="C393" s="1" t="n"/>
      <c r="D393" s="1" t="n"/>
      <c r="E393" s="1" t="n"/>
      <c r="F393" s="1" t="n"/>
      <c r="G393" s="1" t="n"/>
      <c r="H393" s="1" t="n"/>
      <c r="I393" s="1" t="n"/>
      <c r="J393" s="1" t="n"/>
      <c r="K393" s="1" t="n"/>
      <c r="L393" s="1" t="n"/>
    </row>
    <row r="394" ht="15.75" customHeight="1" s="311">
      <c r="A394" s="1" t="n"/>
      <c r="B394" s="1" t="n"/>
      <c r="C394" s="1" t="n"/>
      <c r="D394" s="1" t="n"/>
      <c r="E394" s="1" t="n"/>
      <c r="F394" s="1" t="n"/>
      <c r="G394" s="1" t="n"/>
      <c r="H394" s="1" t="n"/>
      <c r="I394" s="1" t="n"/>
      <c r="J394" s="1" t="n"/>
      <c r="K394" s="1" t="n"/>
      <c r="L394" s="1" t="n"/>
    </row>
    <row r="395" ht="15.75" customHeight="1" s="311">
      <c r="A395" s="1" t="n"/>
      <c r="B395" s="1" t="n"/>
      <c r="C395" s="1" t="n"/>
      <c r="D395" s="1" t="n"/>
      <c r="E395" s="1" t="n"/>
      <c r="F395" s="1" t="n"/>
      <c r="G395" s="1" t="n"/>
      <c r="H395" s="1" t="n"/>
      <c r="I395" s="1" t="n"/>
      <c r="J395" s="1" t="n"/>
      <c r="K395" s="1" t="n"/>
      <c r="L395" s="1" t="n"/>
    </row>
    <row r="396" ht="15.75" customHeight="1" s="311">
      <c r="A396" s="1" t="n"/>
      <c r="B396" s="1" t="n"/>
      <c r="C396" s="1" t="n"/>
      <c r="D396" s="1" t="n"/>
      <c r="E396" s="1" t="n"/>
      <c r="F396" s="1" t="n"/>
      <c r="G396" s="1" t="n"/>
      <c r="H396" s="1" t="n"/>
      <c r="I396" s="1" t="n"/>
      <c r="J396" s="1" t="n"/>
      <c r="K396" s="1" t="n"/>
      <c r="L396" s="1" t="n"/>
    </row>
    <row r="397" ht="15.75" customHeight="1" s="311">
      <c r="A397" s="1" t="n"/>
      <c r="B397" s="1" t="n"/>
      <c r="C397" s="1" t="n"/>
      <c r="D397" s="1" t="n"/>
      <c r="E397" s="1" t="n"/>
      <c r="F397" s="1" t="n"/>
      <c r="G397" s="1" t="n"/>
      <c r="H397" s="1" t="n"/>
      <c r="I397" s="1" t="n"/>
      <c r="J397" s="1" t="n"/>
      <c r="K397" s="1" t="n"/>
      <c r="L397" s="1" t="n"/>
    </row>
    <row r="398" ht="15.75" customHeight="1" s="311">
      <c r="A398" s="1" t="n"/>
      <c r="B398" s="1" t="n"/>
      <c r="C398" s="1" t="n"/>
      <c r="D398" s="1" t="n"/>
      <c r="E398" s="1" t="n"/>
      <c r="F398" s="1" t="n"/>
      <c r="G398" s="1" t="n"/>
      <c r="H398" s="1" t="n"/>
      <c r="I398" s="1" t="n"/>
      <c r="J398" s="1" t="n"/>
      <c r="K398" s="1" t="n"/>
      <c r="L398" s="1" t="n"/>
    </row>
    <row r="399" ht="15.75" customHeight="1" s="311">
      <c r="A399" s="1" t="n"/>
      <c r="B399" s="1" t="n"/>
      <c r="C399" s="1" t="n"/>
      <c r="D399" s="1" t="n"/>
      <c r="E399" s="1" t="n"/>
      <c r="F399" s="1" t="n"/>
      <c r="G399" s="1" t="n"/>
      <c r="H399" s="1" t="n"/>
      <c r="I399" s="1" t="n"/>
      <c r="J399" s="1" t="n"/>
      <c r="K399" s="1" t="n"/>
      <c r="L399" s="1" t="n"/>
    </row>
    <row r="400" ht="15.75" customHeight="1" s="311">
      <c r="A400" s="1" t="n"/>
      <c r="B400" s="1" t="n"/>
      <c r="C400" s="1" t="n"/>
      <c r="D400" s="1" t="n"/>
      <c r="E400" s="1" t="n"/>
      <c r="F400" s="1" t="n"/>
      <c r="G400" s="1" t="n"/>
      <c r="H400" s="1" t="n"/>
      <c r="I400" s="1" t="n"/>
      <c r="J400" s="1" t="n"/>
      <c r="K400" s="1" t="n"/>
      <c r="L400" s="1" t="n"/>
    </row>
    <row r="401" ht="15.75" customHeight="1" s="311">
      <c r="A401" s="1" t="n"/>
      <c r="B401" s="1" t="n"/>
      <c r="C401" s="1" t="n"/>
      <c r="D401" s="1" t="n"/>
      <c r="E401" s="1" t="n"/>
      <c r="F401" s="1" t="n"/>
      <c r="G401" s="1" t="n"/>
      <c r="H401" s="1" t="n"/>
      <c r="I401" s="1" t="n"/>
      <c r="J401" s="1" t="n"/>
      <c r="K401" s="1" t="n"/>
      <c r="L401" s="1" t="n"/>
    </row>
    <row r="402" ht="15.75" customHeight="1" s="311">
      <c r="A402" s="1" t="n"/>
      <c r="B402" s="1" t="n"/>
      <c r="C402" s="1" t="n"/>
      <c r="D402" s="1" t="n"/>
      <c r="E402" s="1" t="n"/>
      <c r="F402" s="1" t="n"/>
      <c r="G402" s="1" t="n"/>
      <c r="H402" s="1" t="n"/>
      <c r="I402" s="1" t="n"/>
      <c r="J402" s="1" t="n"/>
      <c r="K402" s="1" t="n"/>
      <c r="L402" s="1" t="n"/>
    </row>
    <row r="403" ht="15.75" customHeight="1" s="311">
      <c r="A403" s="1" t="n"/>
      <c r="B403" s="1" t="n"/>
      <c r="C403" s="1" t="n"/>
      <c r="D403" s="1" t="n"/>
      <c r="E403" s="1" t="n"/>
      <c r="F403" s="1" t="n"/>
      <c r="G403" s="1" t="n"/>
      <c r="H403" s="1" t="n"/>
      <c r="I403" s="1" t="n"/>
      <c r="J403" s="1" t="n"/>
      <c r="K403" s="1" t="n"/>
      <c r="L403" s="1" t="n"/>
    </row>
    <row r="404" ht="15.75" customHeight="1" s="311">
      <c r="A404" s="1" t="n"/>
      <c r="B404" s="1" t="n"/>
      <c r="C404" s="1" t="n"/>
      <c r="D404" s="1" t="n"/>
      <c r="E404" s="1" t="n"/>
      <c r="F404" s="1" t="n"/>
      <c r="G404" s="1" t="n"/>
      <c r="H404" s="1" t="n"/>
      <c r="I404" s="1" t="n"/>
      <c r="J404" s="1" t="n"/>
      <c r="K404" s="1" t="n"/>
      <c r="L404" s="1" t="n"/>
    </row>
    <row r="405" ht="15.75" customHeight="1" s="311">
      <c r="A405" s="1" t="n"/>
      <c r="B405" s="1" t="n"/>
      <c r="C405" s="1" t="n"/>
      <c r="D405" s="1" t="n"/>
      <c r="E405" s="1" t="n"/>
      <c r="F405" s="1" t="n"/>
      <c r="G405" s="1" t="n"/>
      <c r="H405" s="1" t="n"/>
      <c r="I405" s="1" t="n"/>
      <c r="J405" s="1" t="n"/>
      <c r="K405" s="1" t="n"/>
      <c r="L405" s="1" t="n"/>
    </row>
    <row r="406" ht="15.75" customHeight="1" s="311">
      <c r="A406" s="1" t="n"/>
      <c r="B406" s="1" t="n"/>
      <c r="C406" s="1" t="n"/>
      <c r="D406" s="1" t="n"/>
      <c r="E406" s="1" t="n"/>
      <c r="F406" s="1" t="n"/>
      <c r="G406" s="1" t="n"/>
      <c r="H406" s="1" t="n"/>
      <c r="I406" s="1" t="n"/>
      <c r="J406" s="1" t="n"/>
      <c r="K406" s="1" t="n"/>
      <c r="L406" s="1" t="n"/>
    </row>
    <row r="407" ht="15.75" customHeight="1" s="311">
      <c r="A407" s="1" t="n"/>
      <c r="B407" s="1" t="n"/>
      <c r="C407" s="1" t="n"/>
      <c r="D407" s="1" t="n"/>
      <c r="E407" s="1" t="n"/>
      <c r="F407" s="1" t="n"/>
      <c r="G407" s="1" t="n"/>
      <c r="H407" s="1" t="n"/>
      <c r="I407" s="1" t="n"/>
      <c r="J407" s="1" t="n"/>
      <c r="K407" s="1" t="n"/>
      <c r="L407" s="1" t="n"/>
    </row>
    <row r="408" ht="15.75" customHeight="1" s="311">
      <c r="A408" s="1" t="n"/>
      <c r="B408" s="1" t="n"/>
      <c r="C408" s="1" t="n"/>
      <c r="D408" s="1" t="n"/>
      <c r="E408" s="1" t="n"/>
      <c r="F408" s="1" t="n"/>
      <c r="G408" s="1" t="n"/>
      <c r="H408" s="1" t="n"/>
      <c r="I408" s="1" t="n"/>
      <c r="J408" s="1" t="n"/>
      <c r="K408" s="1" t="n"/>
      <c r="L408" s="1" t="n"/>
    </row>
    <row r="409" ht="15.75" customHeight="1" s="311">
      <c r="A409" s="1" t="n"/>
      <c r="B409" s="1" t="n"/>
      <c r="C409" s="1" t="n"/>
      <c r="D409" s="1" t="n"/>
      <c r="E409" s="1" t="n"/>
      <c r="F409" s="1" t="n"/>
      <c r="G409" s="1" t="n"/>
      <c r="H409" s="1" t="n"/>
      <c r="I409" s="1" t="n"/>
      <c r="J409" s="1" t="n"/>
      <c r="K409" s="1" t="n"/>
      <c r="L409" s="1" t="n"/>
    </row>
    <row r="410" ht="15.75" customHeight="1" s="311">
      <c r="A410" s="1" t="n"/>
      <c r="B410" s="1" t="n"/>
      <c r="C410" s="1" t="n"/>
      <c r="D410" s="1" t="n"/>
      <c r="E410" s="1" t="n"/>
      <c r="F410" s="1" t="n"/>
      <c r="G410" s="1" t="n"/>
      <c r="H410" s="1" t="n"/>
      <c r="I410" s="1" t="n"/>
      <c r="J410" s="1" t="n"/>
      <c r="K410" s="1" t="n"/>
      <c r="L410" s="1" t="n"/>
    </row>
    <row r="411" ht="15.75" customHeight="1" s="311">
      <c r="A411" s="1" t="n"/>
      <c r="B411" s="1" t="n"/>
      <c r="C411" s="1" t="n"/>
      <c r="D411" s="1" t="n"/>
      <c r="E411" s="1" t="n"/>
      <c r="F411" s="1" t="n"/>
      <c r="G411" s="1" t="n"/>
      <c r="H411" s="1" t="n"/>
      <c r="I411" s="1" t="n"/>
      <c r="J411" s="1" t="n"/>
      <c r="K411" s="1" t="n"/>
      <c r="L411" s="1" t="n"/>
    </row>
    <row r="412" ht="15.75" customHeight="1" s="311">
      <c r="A412" s="1" t="n"/>
      <c r="B412" s="1" t="n"/>
      <c r="C412" s="1" t="n"/>
      <c r="D412" s="1" t="n"/>
      <c r="E412" s="1" t="n"/>
      <c r="F412" s="1" t="n"/>
      <c r="G412" s="1" t="n"/>
      <c r="H412" s="1" t="n"/>
      <c r="I412" s="1" t="n"/>
      <c r="J412" s="1" t="n"/>
      <c r="K412" s="1" t="n"/>
      <c r="L412" s="1" t="n"/>
    </row>
    <row r="413" ht="15.75" customHeight="1" s="311">
      <c r="A413" s="1" t="n"/>
      <c r="B413" s="1" t="n"/>
      <c r="C413" s="1" t="n"/>
      <c r="D413" s="1" t="n"/>
      <c r="E413" s="1" t="n"/>
      <c r="F413" s="1" t="n"/>
      <c r="G413" s="1" t="n"/>
      <c r="H413" s="1" t="n"/>
      <c r="I413" s="1" t="n"/>
      <c r="J413" s="1" t="n"/>
      <c r="K413" s="1" t="n"/>
      <c r="L413" s="1" t="n"/>
    </row>
    <row r="414" ht="15.75" customHeight="1" s="311">
      <c r="A414" s="1" t="n"/>
      <c r="B414" s="1" t="n"/>
      <c r="C414" s="1" t="n"/>
      <c r="D414" s="1" t="n"/>
      <c r="E414" s="1" t="n"/>
      <c r="F414" s="1" t="n"/>
      <c r="G414" s="1" t="n"/>
      <c r="H414" s="1" t="n"/>
      <c r="I414" s="1" t="n"/>
      <c r="J414" s="1" t="n"/>
      <c r="K414" s="1" t="n"/>
      <c r="L414" s="1" t="n"/>
    </row>
    <row r="415" ht="15.75" customHeight="1" s="311">
      <c r="A415" s="1" t="n"/>
      <c r="B415" s="1" t="n"/>
      <c r="C415" s="1" t="n"/>
      <c r="D415" s="1" t="n"/>
      <c r="E415" s="1" t="n"/>
      <c r="F415" s="1" t="n"/>
      <c r="G415" s="1" t="n"/>
      <c r="H415" s="1" t="n"/>
      <c r="I415" s="1" t="n"/>
      <c r="J415" s="1" t="n"/>
      <c r="K415" s="1" t="n"/>
      <c r="L415" s="1" t="n"/>
    </row>
    <row r="416" ht="15.75" customHeight="1" s="311">
      <c r="A416" s="1" t="n"/>
      <c r="B416" s="1" t="n"/>
      <c r="C416" s="1" t="n"/>
      <c r="D416" s="1" t="n"/>
      <c r="E416" s="1" t="n"/>
      <c r="F416" s="1" t="n"/>
      <c r="G416" s="1" t="n"/>
      <c r="H416" s="1" t="n"/>
      <c r="I416" s="1" t="n"/>
      <c r="J416" s="1" t="n"/>
      <c r="K416" s="1" t="n"/>
      <c r="L416" s="1" t="n"/>
    </row>
    <row r="417" ht="15.75" customHeight="1" s="311">
      <c r="A417" s="1" t="n"/>
      <c r="B417" s="1" t="n"/>
      <c r="C417" s="1" t="n"/>
      <c r="D417" s="1" t="n"/>
      <c r="E417" s="1" t="n"/>
      <c r="F417" s="1" t="n"/>
      <c r="G417" s="1" t="n"/>
      <c r="H417" s="1" t="n"/>
      <c r="I417" s="1" t="n"/>
      <c r="J417" s="1" t="n"/>
      <c r="K417" s="1" t="n"/>
      <c r="L417" s="1" t="n"/>
    </row>
    <row r="418" ht="15.75" customHeight="1" s="311">
      <c r="A418" s="1" t="n"/>
      <c r="B418" s="1" t="n"/>
      <c r="C418" s="1" t="n"/>
      <c r="D418" s="1" t="n"/>
      <c r="E418" s="1" t="n"/>
      <c r="F418" s="1" t="n"/>
      <c r="G418" s="1" t="n"/>
      <c r="H418" s="1" t="n"/>
      <c r="I418" s="1" t="n"/>
      <c r="J418" s="1" t="n"/>
      <c r="K418" s="1" t="n"/>
      <c r="L418" s="1" t="n"/>
    </row>
    <row r="419" ht="15.75" customHeight="1" s="311">
      <c r="A419" s="1" t="n"/>
      <c r="B419" s="1" t="n"/>
      <c r="C419" s="1" t="n"/>
      <c r="D419" s="1" t="n"/>
      <c r="E419" s="1" t="n"/>
      <c r="F419" s="1" t="n"/>
      <c r="G419" s="1" t="n"/>
      <c r="H419" s="1" t="n"/>
      <c r="I419" s="1" t="n"/>
      <c r="J419" s="1" t="n"/>
      <c r="K419" s="1" t="n"/>
      <c r="L419" s="1" t="n"/>
    </row>
    <row r="420" ht="15.75" customHeight="1" s="311">
      <c r="A420" s="1" t="n"/>
      <c r="B420" s="1" t="n"/>
      <c r="C420" s="1" t="n"/>
      <c r="D420" s="1" t="n"/>
      <c r="E420" s="1" t="n"/>
      <c r="F420" s="1" t="n"/>
      <c r="G420" s="1" t="n"/>
      <c r="H420" s="1" t="n"/>
      <c r="I420" s="1" t="n"/>
      <c r="J420" s="1" t="n"/>
      <c r="K420" s="1" t="n"/>
      <c r="L420" s="1" t="n"/>
    </row>
    <row r="421" ht="15.75" customHeight="1" s="311">
      <c r="A421" s="1" t="n"/>
      <c r="B421" s="1" t="n"/>
      <c r="C421" s="1" t="n"/>
      <c r="D421" s="1" t="n"/>
      <c r="E421" s="1" t="n"/>
      <c r="F421" s="1" t="n"/>
      <c r="G421" s="1" t="n"/>
      <c r="H421" s="1" t="n"/>
      <c r="I421" s="1" t="n"/>
      <c r="J421" s="1" t="n"/>
      <c r="K421" s="1" t="n"/>
      <c r="L421" s="1" t="n"/>
    </row>
    <row r="422" ht="15.75" customHeight="1" s="311">
      <c r="A422" s="1" t="n"/>
      <c r="B422" s="1" t="n"/>
      <c r="C422" s="1" t="n"/>
      <c r="D422" s="1" t="n"/>
      <c r="E422" s="1" t="n"/>
      <c r="F422" s="1" t="n"/>
      <c r="G422" s="1" t="n"/>
      <c r="H422" s="1" t="n"/>
      <c r="I422" s="1" t="n"/>
      <c r="J422" s="1" t="n"/>
      <c r="K422" s="1" t="n"/>
      <c r="L422" s="1" t="n"/>
    </row>
    <row r="423" ht="15.75" customHeight="1" s="311">
      <c r="A423" s="1" t="n"/>
      <c r="B423" s="1" t="n"/>
      <c r="C423" s="1" t="n"/>
      <c r="D423" s="1" t="n"/>
      <c r="E423" s="1" t="n"/>
      <c r="F423" s="1" t="n"/>
      <c r="G423" s="1" t="n"/>
      <c r="H423" s="1" t="n"/>
      <c r="I423" s="1" t="n"/>
      <c r="J423" s="1" t="n"/>
      <c r="K423" s="1" t="n"/>
      <c r="L423" s="1" t="n"/>
    </row>
    <row r="424" ht="15.75" customHeight="1" s="311">
      <c r="A424" s="1" t="n"/>
      <c r="B424" s="1" t="n"/>
      <c r="C424" s="1" t="n"/>
      <c r="D424" s="1" t="n"/>
      <c r="E424" s="1" t="n"/>
      <c r="F424" s="1" t="n"/>
      <c r="G424" s="1" t="n"/>
      <c r="H424" s="1" t="n"/>
      <c r="I424" s="1" t="n"/>
      <c r="J424" s="1" t="n"/>
      <c r="K424" s="1" t="n"/>
      <c r="L424" s="1" t="n"/>
    </row>
    <row r="425" ht="15.75" customHeight="1" s="311">
      <c r="A425" s="1" t="n"/>
      <c r="B425" s="1" t="n"/>
      <c r="C425" s="1" t="n"/>
      <c r="D425" s="1" t="n"/>
      <c r="E425" s="1" t="n"/>
      <c r="F425" s="1" t="n"/>
      <c r="G425" s="1" t="n"/>
      <c r="H425" s="1" t="n"/>
      <c r="I425" s="1" t="n"/>
      <c r="J425" s="1" t="n"/>
      <c r="K425" s="1" t="n"/>
      <c r="L425" s="1" t="n"/>
    </row>
    <row r="426" ht="15.75" customHeight="1" s="311">
      <c r="A426" s="1" t="n"/>
      <c r="B426" s="1" t="n"/>
      <c r="C426" s="1" t="n"/>
      <c r="D426" s="1" t="n"/>
      <c r="E426" s="1" t="n"/>
      <c r="F426" s="1" t="n"/>
      <c r="G426" s="1" t="n"/>
      <c r="H426" s="1" t="n"/>
      <c r="I426" s="1" t="n"/>
      <c r="J426" s="1" t="n"/>
      <c r="K426" s="1" t="n"/>
      <c r="L426" s="1" t="n"/>
    </row>
    <row r="427" ht="15.75" customHeight="1" s="311">
      <c r="A427" s="1" t="n"/>
      <c r="B427" s="1" t="n"/>
      <c r="C427" s="1" t="n"/>
      <c r="D427" s="1" t="n"/>
      <c r="E427" s="1" t="n"/>
      <c r="F427" s="1" t="n"/>
      <c r="G427" s="1" t="n"/>
      <c r="H427" s="1" t="n"/>
      <c r="I427" s="1" t="n"/>
      <c r="J427" s="1" t="n"/>
      <c r="K427" s="1" t="n"/>
      <c r="L427" s="1" t="n"/>
    </row>
    <row r="428" ht="15.75" customHeight="1" s="311">
      <c r="A428" s="1" t="n"/>
      <c r="B428" s="1" t="n"/>
      <c r="C428" s="1" t="n"/>
      <c r="D428" s="1" t="n"/>
      <c r="E428" s="1" t="n"/>
      <c r="F428" s="1" t="n"/>
      <c r="G428" s="1" t="n"/>
      <c r="H428" s="1" t="n"/>
      <c r="I428" s="1" t="n"/>
      <c r="J428" s="1" t="n"/>
      <c r="K428" s="1" t="n"/>
      <c r="L428" s="1" t="n"/>
    </row>
    <row r="429" ht="15.75" customHeight="1" s="311">
      <c r="A429" s="1" t="n"/>
      <c r="B429" s="1" t="n"/>
      <c r="C429" s="1" t="n"/>
      <c r="D429" s="1" t="n"/>
      <c r="E429" s="1" t="n"/>
      <c r="F429" s="1" t="n"/>
      <c r="G429" s="1" t="n"/>
      <c r="H429" s="1" t="n"/>
      <c r="I429" s="1" t="n"/>
      <c r="J429" s="1" t="n"/>
      <c r="K429" s="1" t="n"/>
      <c r="L429" s="1" t="n"/>
    </row>
    <row r="430" ht="15.75" customHeight="1" s="311">
      <c r="A430" s="1" t="n"/>
      <c r="B430" s="1" t="n"/>
      <c r="C430" s="1" t="n"/>
      <c r="D430" s="1" t="n"/>
      <c r="E430" s="1" t="n"/>
      <c r="F430" s="1" t="n"/>
      <c r="G430" s="1" t="n"/>
      <c r="H430" s="1" t="n"/>
      <c r="I430" s="1" t="n"/>
      <c r="J430" s="1" t="n"/>
      <c r="K430" s="1" t="n"/>
      <c r="L430" s="1" t="n"/>
    </row>
    <row r="431" ht="15.75" customHeight="1" s="311">
      <c r="A431" s="1" t="n"/>
      <c r="B431" s="1" t="n"/>
      <c r="C431" s="1" t="n"/>
      <c r="D431" s="1" t="n"/>
      <c r="E431" s="1" t="n"/>
      <c r="F431" s="1" t="n"/>
      <c r="G431" s="1" t="n"/>
      <c r="H431" s="1" t="n"/>
      <c r="I431" s="1" t="n"/>
      <c r="J431" s="1" t="n"/>
      <c r="K431" s="1" t="n"/>
      <c r="L431" s="1" t="n"/>
    </row>
    <row r="432" ht="15.75" customHeight="1" s="311">
      <c r="A432" s="1" t="n"/>
      <c r="B432" s="1" t="n"/>
      <c r="C432" s="1" t="n"/>
      <c r="D432" s="1" t="n"/>
      <c r="E432" s="1" t="n"/>
      <c r="F432" s="1" t="n"/>
      <c r="G432" s="1" t="n"/>
      <c r="H432" s="1" t="n"/>
      <c r="I432" s="1" t="n"/>
      <c r="J432" s="1" t="n"/>
      <c r="K432" s="1" t="n"/>
      <c r="L432" s="1" t="n"/>
    </row>
    <row r="433" ht="15.75" customHeight="1" s="311">
      <c r="A433" s="1" t="n"/>
      <c r="B433" s="1" t="n"/>
      <c r="C433" s="1" t="n"/>
      <c r="D433" s="1" t="n"/>
      <c r="E433" s="1" t="n"/>
      <c r="F433" s="1" t="n"/>
      <c r="G433" s="1" t="n"/>
      <c r="H433" s="1" t="n"/>
      <c r="I433" s="1" t="n"/>
      <c r="J433" s="1" t="n"/>
      <c r="K433" s="1" t="n"/>
      <c r="L433" s="1" t="n"/>
    </row>
    <row r="434" ht="15.75" customHeight="1" s="311">
      <c r="A434" s="1" t="n"/>
      <c r="B434" s="1" t="n"/>
      <c r="C434" s="1" t="n"/>
      <c r="D434" s="1" t="n"/>
      <c r="E434" s="1" t="n"/>
      <c r="F434" s="1" t="n"/>
      <c r="G434" s="1" t="n"/>
      <c r="H434" s="1" t="n"/>
      <c r="I434" s="1" t="n"/>
      <c r="J434" s="1" t="n"/>
      <c r="K434" s="1" t="n"/>
      <c r="L434" s="1" t="n"/>
    </row>
    <row r="435" ht="15.75" customHeight="1" s="311">
      <c r="A435" s="1" t="n"/>
      <c r="B435" s="1" t="n"/>
      <c r="C435" s="1" t="n"/>
      <c r="D435" s="1" t="n"/>
      <c r="E435" s="1" t="n"/>
      <c r="F435" s="1" t="n"/>
      <c r="G435" s="1" t="n"/>
      <c r="H435" s="1" t="n"/>
      <c r="I435" s="1" t="n"/>
      <c r="J435" s="1" t="n"/>
      <c r="K435" s="1" t="n"/>
      <c r="L435" s="1" t="n"/>
    </row>
    <row r="436" ht="15.75" customHeight="1" s="311">
      <c r="A436" s="1" t="n"/>
      <c r="B436" s="1" t="n"/>
      <c r="C436" s="1" t="n"/>
      <c r="D436" s="1" t="n"/>
      <c r="E436" s="1" t="n"/>
      <c r="F436" s="1" t="n"/>
      <c r="G436" s="1" t="n"/>
      <c r="H436" s="1" t="n"/>
      <c r="I436" s="1" t="n"/>
      <c r="J436" s="1" t="n"/>
      <c r="K436" s="1" t="n"/>
      <c r="L436" s="1" t="n"/>
    </row>
    <row r="437" ht="15.75" customHeight="1" s="311">
      <c r="A437" s="1" t="n"/>
      <c r="B437" s="1" t="n"/>
      <c r="C437" s="1" t="n"/>
      <c r="D437" s="1" t="n"/>
      <c r="E437" s="1" t="n"/>
      <c r="F437" s="1" t="n"/>
      <c r="G437" s="1" t="n"/>
      <c r="H437" s="1" t="n"/>
      <c r="I437" s="1" t="n"/>
      <c r="J437" s="1" t="n"/>
      <c r="K437" s="1" t="n"/>
      <c r="L437" s="1" t="n"/>
    </row>
    <row r="438" ht="15.75" customHeight="1" s="311">
      <c r="A438" s="1" t="n"/>
      <c r="B438" s="1" t="n"/>
      <c r="C438" s="1" t="n"/>
      <c r="D438" s="1" t="n"/>
      <c r="E438" s="1" t="n"/>
      <c r="F438" s="1" t="n"/>
      <c r="G438" s="1" t="n"/>
      <c r="H438" s="1" t="n"/>
      <c r="I438" s="1" t="n"/>
      <c r="J438" s="1" t="n"/>
      <c r="K438" s="1" t="n"/>
      <c r="L438" s="1" t="n"/>
    </row>
    <row r="439" ht="15.75" customHeight="1" s="311">
      <c r="A439" s="1" t="n"/>
      <c r="B439" s="1" t="n"/>
      <c r="C439" s="1" t="n"/>
      <c r="D439" s="1" t="n"/>
      <c r="E439" s="1" t="n"/>
      <c r="F439" s="1" t="n"/>
      <c r="G439" s="1" t="n"/>
      <c r="H439" s="1" t="n"/>
      <c r="I439" s="1" t="n"/>
      <c r="J439" s="1" t="n"/>
      <c r="K439" s="1" t="n"/>
      <c r="L439" s="1" t="n"/>
    </row>
    <row r="440" ht="15.75" customHeight="1" s="311">
      <c r="A440" s="1" t="n"/>
      <c r="B440" s="1" t="n"/>
      <c r="C440" s="1" t="n"/>
      <c r="D440" s="1" t="n"/>
      <c r="E440" s="1" t="n"/>
      <c r="F440" s="1" t="n"/>
      <c r="G440" s="1" t="n"/>
      <c r="H440" s="1" t="n"/>
      <c r="I440" s="1" t="n"/>
      <c r="J440" s="1" t="n"/>
      <c r="K440" s="1" t="n"/>
      <c r="L440" s="1" t="n"/>
    </row>
    <row r="441" ht="15.75" customHeight="1" s="311">
      <c r="A441" s="1" t="n"/>
      <c r="B441" s="1" t="n"/>
      <c r="C441" s="1" t="n"/>
      <c r="D441" s="1" t="n"/>
      <c r="E441" s="1" t="n"/>
      <c r="F441" s="1" t="n"/>
      <c r="G441" s="1" t="n"/>
      <c r="H441" s="1" t="n"/>
      <c r="I441" s="1" t="n"/>
      <c r="J441" s="1" t="n"/>
      <c r="K441" s="1" t="n"/>
      <c r="L441" s="1" t="n"/>
    </row>
    <row r="442" ht="15.75" customHeight="1" s="311">
      <c r="A442" s="1" t="n"/>
      <c r="B442" s="1" t="n"/>
      <c r="C442" s="1" t="n"/>
      <c r="D442" s="1" t="n"/>
      <c r="E442" s="1" t="n"/>
      <c r="F442" s="1" t="n"/>
      <c r="G442" s="1" t="n"/>
      <c r="H442" s="1" t="n"/>
      <c r="I442" s="1" t="n"/>
      <c r="J442" s="1" t="n"/>
      <c r="K442" s="1" t="n"/>
      <c r="L442" s="1" t="n"/>
    </row>
    <row r="443" ht="15.75" customHeight="1" s="311">
      <c r="A443" s="1" t="n"/>
      <c r="B443" s="1" t="n"/>
      <c r="C443" s="1" t="n"/>
      <c r="D443" s="1" t="n"/>
      <c r="E443" s="1" t="n"/>
      <c r="F443" s="1" t="n"/>
      <c r="G443" s="1" t="n"/>
      <c r="H443" s="1" t="n"/>
      <c r="I443" s="1" t="n"/>
      <c r="J443" s="1" t="n"/>
      <c r="K443" s="1" t="n"/>
      <c r="L443" s="1" t="n"/>
    </row>
    <row r="444" ht="15.75" customHeight="1" s="311">
      <c r="A444" s="1" t="n"/>
      <c r="B444" s="1" t="n"/>
      <c r="C444" s="1" t="n"/>
      <c r="D444" s="1" t="n"/>
      <c r="E444" s="1" t="n"/>
      <c r="F444" s="1" t="n"/>
      <c r="G444" s="1" t="n"/>
      <c r="H444" s="1" t="n"/>
      <c r="I444" s="1" t="n"/>
      <c r="J444" s="1" t="n"/>
      <c r="K444" s="1" t="n"/>
      <c r="L444" s="1" t="n"/>
    </row>
    <row r="445" ht="15.75" customHeight="1" s="311">
      <c r="A445" s="1" t="n"/>
      <c r="B445" s="1" t="n"/>
      <c r="C445" s="1" t="n"/>
      <c r="D445" s="1" t="n"/>
      <c r="E445" s="1" t="n"/>
      <c r="F445" s="1" t="n"/>
      <c r="G445" s="1" t="n"/>
      <c r="H445" s="1" t="n"/>
      <c r="I445" s="1" t="n"/>
      <c r="J445" s="1" t="n"/>
      <c r="K445" s="1" t="n"/>
      <c r="L445" s="1" t="n"/>
    </row>
    <row r="446" ht="15.75" customHeight="1" s="311">
      <c r="A446" s="1" t="n"/>
      <c r="B446" s="1" t="n"/>
      <c r="C446" s="1" t="n"/>
      <c r="D446" s="1" t="n"/>
      <c r="E446" s="1" t="n"/>
      <c r="F446" s="1" t="n"/>
      <c r="G446" s="1" t="n"/>
      <c r="H446" s="1" t="n"/>
      <c r="I446" s="1" t="n"/>
      <c r="J446" s="1" t="n"/>
      <c r="K446" s="1" t="n"/>
      <c r="L446" s="1" t="n"/>
    </row>
    <row r="447" ht="15.75" customHeight="1" s="311">
      <c r="A447" s="1" t="n"/>
      <c r="B447" s="1" t="n"/>
      <c r="C447" s="1" t="n"/>
      <c r="D447" s="1" t="n"/>
      <c r="E447" s="1" t="n"/>
      <c r="F447" s="1" t="n"/>
      <c r="G447" s="1" t="n"/>
      <c r="H447" s="1" t="n"/>
      <c r="I447" s="1" t="n"/>
      <c r="J447" s="1" t="n"/>
      <c r="K447" s="1" t="n"/>
      <c r="L447" s="1" t="n"/>
    </row>
    <row r="448" ht="15.75" customHeight="1" s="311">
      <c r="A448" s="1" t="n"/>
      <c r="B448" s="1" t="n"/>
      <c r="C448" s="1" t="n"/>
      <c r="D448" s="1" t="n"/>
      <c r="E448" s="1" t="n"/>
      <c r="F448" s="1" t="n"/>
      <c r="G448" s="1" t="n"/>
      <c r="H448" s="1" t="n"/>
      <c r="I448" s="1" t="n"/>
      <c r="J448" s="1" t="n"/>
      <c r="K448" s="1" t="n"/>
      <c r="L448" s="1" t="n"/>
    </row>
    <row r="449" ht="15.75" customHeight="1" s="311">
      <c r="A449" s="1" t="n"/>
      <c r="B449" s="1" t="n"/>
      <c r="C449" s="1" t="n"/>
      <c r="D449" s="1" t="n"/>
      <c r="E449" s="1" t="n"/>
      <c r="F449" s="1" t="n"/>
      <c r="G449" s="1" t="n"/>
      <c r="H449" s="1" t="n"/>
      <c r="I449" s="1" t="n"/>
      <c r="J449" s="1" t="n"/>
      <c r="K449" s="1" t="n"/>
      <c r="L449" s="1" t="n"/>
    </row>
    <row r="450" ht="15.75" customHeight="1" s="311">
      <c r="A450" s="1" t="n"/>
      <c r="B450" s="1" t="n"/>
      <c r="C450" s="1" t="n"/>
      <c r="D450" s="1" t="n"/>
      <c r="E450" s="1" t="n"/>
      <c r="F450" s="1" t="n"/>
      <c r="G450" s="1" t="n"/>
      <c r="H450" s="1" t="n"/>
      <c r="I450" s="1" t="n"/>
      <c r="J450" s="1" t="n"/>
      <c r="K450" s="1" t="n"/>
      <c r="L450" s="1" t="n"/>
    </row>
    <row r="451" ht="15.75" customHeight="1" s="311">
      <c r="A451" s="1" t="n"/>
      <c r="B451" s="1" t="n"/>
      <c r="C451" s="1" t="n"/>
      <c r="D451" s="1" t="n"/>
      <c r="E451" s="1" t="n"/>
      <c r="F451" s="1" t="n"/>
      <c r="G451" s="1" t="n"/>
      <c r="H451" s="1" t="n"/>
      <c r="I451" s="1" t="n"/>
      <c r="J451" s="1" t="n"/>
      <c r="K451" s="1" t="n"/>
      <c r="L451" s="1" t="n"/>
    </row>
    <row r="452" ht="15.75" customHeight="1" s="311">
      <c r="A452" s="1" t="n"/>
      <c r="B452" s="1" t="n"/>
      <c r="C452" s="1" t="n"/>
      <c r="D452" s="1" t="n"/>
      <c r="E452" s="1" t="n"/>
      <c r="F452" s="1" t="n"/>
      <c r="G452" s="1" t="n"/>
      <c r="H452" s="1" t="n"/>
      <c r="I452" s="1" t="n"/>
      <c r="J452" s="1" t="n"/>
      <c r="K452" s="1" t="n"/>
      <c r="L452" s="1" t="n"/>
    </row>
    <row r="453" ht="15.75" customHeight="1" s="311">
      <c r="A453" s="1" t="n"/>
      <c r="B453" s="1" t="n"/>
      <c r="C453" s="1" t="n"/>
      <c r="D453" s="1" t="n"/>
      <c r="E453" s="1" t="n"/>
      <c r="F453" s="1" t="n"/>
      <c r="G453" s="1" t="n"/>
      <c r="H453" s="1" t="n"/>
      <c r="I453" s="1" t="n"/>
      <c r="J453" s="1" t="n"/>
      <c r="K453" s="1" t="n"/>
      <c r="L453" s="1" t="n"/>
    </row>
    <row r="454" ht="15.75" customHeight="1" s="311">
      <c r="A454" s="1" t="n"/>
      <c r="B454" s="1" t="n"/>
      <c r="C454" s="1" t="n"/>
      <c r="D454" s="1" t="n"/>
      <c r="E454" s="1" t="n"/>
      <c r="F454" s="1" t="n"/>
      <c r="G454" s="1" t="n"/>
      <c r="H454" s="1" t="n"/>
      <c r="I454" s="1" t="n"/>
      <c r="J454" s="1" t="n"/>
      <c r="K454" s="1" t="n"/>
      <c r="L454" s="1" t="n"/>
    </row>
    <row r="455" ht="15.75" customHeight="1" s="311">
      <c r="A455" s="1" t="n"/>
      <c r="B455" s="1" t="n"/>
      <c r="C455" s="1" t="n"/>
      <c r="D455" s="1" t="n"/>
      <c r="E455" s="1" t="n"/>
      <c r="F455" s="1" t="n"/>
      <c r="G455" s="1" t="n"/>
      <c r="H455" s="1" t="n"/>
      <c r="I455" s="1" t="n"/>
      <c r="J455" s="1" t="n"/>
      <c r="K455" s="1" t="n"/>
      <c r="L455" s="1" t="n"/>
    </row>
    <row r="456" ht="15.75" customHeight="1" s="311">
      <c r="A456" s="1" t="n"/>
      <c r="B456" s="1" t="n"/>
      <c r="C456" s="1" t="n"/>
      <c r="D456" s="1" t="n"/>
      <c r="E456" s="1" t="n"/>
      <c r="F456" s="1" t="n"/>
      <c r="G456" s="1" t="n"/>
      <c r="H456" s="1" t="n"/>
      <c r="I456" s="1" t="n"/>
      <c r="J456" s="1" t="n"/>
      <c r="K456" s="1" t="n"/>
      <c r="L456" s="1" t="n"/>
    </row>
    <row r="457" ht="15.75" customHeight="1" s="311">
      <c r="A457" s="1" t="n"/>
      <c r="B457" s="1" t="n"/>
      <c r="C457" s="1" t="n"/>
      <c r="D457" s="1" t="n"/>
      <c r="E457" s="1" t="n"/>
      <c r="F457" s="1" t="n"/>
      <c r="G457" s="1" t="n"/>
      <c r="H457" s="1" t="n"/>
      <c r="I457" s="1" t="n"/>
      <c r="J457" s="1" t="n"/>
      <c r="K457" s="1" t="n"/>
      <c r="L457" s="1" t="n"/>
    </row>
    <row r="458" ht="15.75" customHeight="1" s="311">
      <c r="A458" s="1" t="n"/>
      <c r="B458" s="1" t="n"/>
      <c r="C458" s="1" t="n"/>
      <c r="D458" s="1" t="n"/>
      <c r="E458" s="1" t="n"/>
      <c r="F458" s="1" t="n"/>
      <c r="G458" s="1" t="n"/>
      <c r="H458" s="1" t="n"/>
      <c r="I458" s="1" t="n"/>
      <c r="J458" s="1" t="n"/>
      <c r="K458" s="1" t="n"/>
      <c r="L458" s="1" t="n"/>
    </row>
    <row r="459" ht="15.75" customHeight="1" s="311">
      <c r="A459" s="1" t="n"/>
      <c r="B459" s="1" t="n"/>
      <c r="C459" s="1" t="n"/>
      <c r="D459" s="1" t="n"/>
      <c r="E459" s="1" t="n"/>
      <c r="F459" s="1" t="n"/>
      <c r="G459" s="1" t="n"/>
      <c r="H459" s="1" t="n"/>
      <c r="I459" s="1" t="n"/>
      <c r="J459" s="1" t="n"/>
      <c r="K459" s="1" t="n"/>
      <c r="L459" s="1" t="n"/>
    </row>
    <row r="460" ht="15.75" customHeight="1" s="311">
      <c r="A460" s="1" t="n"/>
      <c r="B460" s="1" t="n"/>
      <c r="C460" s="1" t="n"/>
      <c r="D460" s="1" t="n"/>
      <c r="E460" s="1" t="n"/>
      <c r="F460" s="1" t="n"/>
      <c r="G460" s="1" t="n"/>
      <c r="H460" s="1" t="n"/>
      <c r="I460" s="1" t="n"/>
      <c r="J460" s="1" t="n"/>
      <c r="K460" s="1" t="n"/>
      <c r="L460" s="1" t="n"/>
    </row>
    <row r="461" ht="15.75" customHeight="1" s="311">
      <c r="A461" s="1" t="n"/>
      <c r="B461" s="1" t="n"/>
      <c r="C461" s="1" t="n"/>
      <c r="D461" s="1" t="n"/>
      <c r="E461" s="1" t="n"/>
      <c r="F461" s="1" t="n"/>
      <c r="G461" s="1" t="n"/>
      <c r="H461" s="1" t="n"/>
      <c r="I461" s="1" t="n"/>
      <c r="J461" s="1" t="n"/>
      <c r="K461" s="1" t="n"/>
      <c r="L461" s="1" t="n"/>
    </row>
    <row r="462" ht="15.75" customHeight="1" s="311">
      <c r="A462" s="1" t="n"/>
      <c r="B462" s="1" t="n"/>
      <c r="C462" s="1" t="n"/>
      <c r="D462" s="1" t="n"/>
      <c r="E462" s="1" t="n"/>
      <c r="F462" s="1" t="n"/>
      <c r="G462" s="1" t="n"/>
      <c r="H462" s="1" t="n"/>
      <c r="I462" s="1" t="n"/>
      <c r="J462" s="1" t="n"/>
      <c r="K462" s="1" t="n"/>
      <c r="L462" s="1" t="n"/>
    </row>
    <row r="463" ht="15.75" customHeight="1" s="311">
      <c r="A463" s="1" t="n"/>
      <c r="B463" s="1" t="n"/>
      <c r="C463" s="1" t="n"/>
      <c r="D463" s="1" t="n"/>
      <c r="E463" s="1" t="n"/>
      <c r="F463" s="1" t="n"/>
      <c r="G463" s="1" t="n"/>
      <c r="H463" s="1" t="n"/>
      <c r="I463" s="1" t="n"/>
      <c r="J463" s="1" t="n"/>
      <c r="K463" s="1" t="n"/>
      <c r="L463" s="1" t="n"/>
    </row>
    <row r="464" ht="15.75" customHeight="1" s="311">
      <c r="A464" s="1" t="n"/>
      <c r="B464" s="1" t="n"/>
      <c r="C464" s="1" t="n"/>
      <c r="D464" s="1" t="n"/>
      <c r="E464" s="1" t="n"/>
      <c r="F464" s="1" t="n"/>
      <c r="G464" s="1" t="n"/>
      <c r="H464" s="1" t="n"/>
      <c r="I464" s="1" t="n"/>
      <c r="J464" s="1" t="n"/>
      <c r="K464" s="1" t="n"/>
      <c r="L464" s="1" t="n"/>
    </row>
    <row r="465" ht="15.75" customHeight="1" s="311">
      <c r="A465" s="1" t="n"/>
      <c r="B465" s="1" t="n"/>
      <c r="C465" s="1" t="n"/>
      <c r="D465" s="1" t="n"/>
      <c r="E465" s="1" t="n"/>
      <c r="F465" s="1" t="n"/>
      <c r="G465" s="1" t="n"/>
      <c r="H465" s="1" t="n"/>
      <c r="I465" s="1" t="n"/>
      <c r="J465" s="1" t="n"/>
      <c r="K465" s="1" t="n"/>
      <c r="L465" s="1" t="n"/>
    </row>
    <row r="466" ht="15.75" customHeight="1" s="311">
      <c r="A466" s="1" t="n"/>
      <c r="B466" s="1" t="n"/>
      <c r="C466" s="1" t="n"/>
      <c r="D466" s="1" t="n"/>
      <c r="E466" s="1" t="n"/>
      <c r="F466" s="1" t="n"/>
      <c r="G466" s="1" t="n"/>
      <c r="H466" s="1" t="n"/>
      <c r="I466" s="1" t="n"/>
      <c r="J466" s="1" t="n"/>
      <c r="K466" s="1" t="n"/>
      <c r="L466" s="1" t="n"/>
    </row>
    <row r="467" ht="15.75" customHeight="1" s="311">
      <c r="A467" s="1" t="n"/>
      <c r="B467" s="1" t="n"/>
      <c r="C467" s="1" t="n"/>
      <c r="D467" s="1" t="n"/>
      <c r="E467" s="1" t="n"/>
      <c r="F467" s="1" t="n"/>
      <c r="G467" s="1" t="n"/>
      <c r="H467" s="1" t="n"/>
      <c r="I467" s="1" t="n"/>
      <c r="J467" s="1" t="n"/>
      <c r="K467" s="1" t="n"/>
      <c r="L467" s="1" t="n"/>
    </row>
    <row r="468" ht="15.75" customHeight="1" s="311">
      <c r="A468" s="1" t="n"/>
      <c r="B468" s="1" t="n"/>
      <c r="C468" s="1" t="n"/>
      <c r="D468" s="1" t="n"/>
      <c r="E468" s="1" t="n"/>
      <c r="F468" s="1" t="n"/>
      <c r="G468" s="1" t="n"/>
      <c r="H468" s="1" t="n"/>
      <c r="I468" s="1" t="n"/>
      <c r="J468" s="1" t="n"/>
      <c r="K468" s="1" t="n"/>
      <c r="L468" s="1" t="n"/>
    </row>
    <row r="469" ht="15.75" customHeight="1" s="311">
      <c r="A469" s="1" t="n"/>
      <c r="B469" s="1" t="n"/>
      <c r="C469" s="1" t="n"/>
      <c r="D469" s="1" t="n"/>
      <c r="E469" s="1" t="n"/>
      <c r="F469" s="1" t="n"/>
      <c r="G469" s="1" t="n"/>
      <c r="H469" s="1" t="n"/>
      <c r="I469" s="1" t="n"/>
      <c r="J469" s="1" t="n"/>
      <c r="K469" s="1" t="n"/>
      <c r="L469" s="1" t="n"/>
    </row>
    <row r="470" ht="15.75" customHeight="1" s="311">
      <c r="A470" s="1" t="n"/>
      <c r="B470" s="1" t="n"/>
      <c r="C470" s="1" t="n"/>
      <c r="D470" s="1" t="n"/>
      <c r="E470" s="1" t="n"/>
      <c r="F470" s="1" t="n"/>
      <c r="G470" s="1" t="n"/>
      <c r="H470" s="1" t="n"/>
      <c r="I470" s="1" t="n"/>
      <c r="J470" s="1" t="n"/>
      <c r="K470" s="1" t="n"/>
      <c r="L470" s="1" t="n"/>
    </row>
    <row r="471" ht="15.75" customHeight="1" s="311">
      <c r="A471" s="1" t="n"/>
      <c r="B471" s="1" t="n"/>
      <c r="C471" s="1" t="n"/>
      <c r="D471" s="1" t="n"/>
      <c r="E471" s="1" t="n"/>
      <c r="F471" s="1" t="n"/>
      <c r="G471" s="1" t="n"/>
      <c r="H471" s="1" t="n"/>
      <c r="I471" s="1" t="n"/>
      <c r="J471" s="1" t="n"/>
      <c r="K471" s="1" t="n"/>
      <c r="L471" s="1" t="n"/>
    </row>
    <row r="472" ht="15.75" customHeight="1" s="311">
      <c r="A472" s="1" t="n"/>
      <c r="B472" s="1" t="n"/>
      <c r="C472" s="1" t="n"/>
      <c r="D472" s="1" t="n"/>
      <c r="E472" s="1" t="n"/>
      <c r="F472" s="1" t="n"/>
      <c r="G472" s="1" t="n"/>
      <c r="H472" s="1" t="n"/>
      <c r="I472" s="1" t="n"/>
      <c r="J472" s="1" t="n"/>
      <c r="K472" s="1" t="n"/>
      <c r="L472" s="1" t="n"/>
    </row>
    <row r="473" ht="15.75" customHeight="1" s="311">
      <c r="A473" s="1" t="n"/>
      <c r="B473" s="1" t="n"/>
      <c r="C473" s="1" t="n"/>
      <c r="D473" s="1" t="n"/>
      <c r="E473" s="1" t="n"/>
      <c r="F473" s="1" t="n"/>
      <c r="G473" s="1" t="n"/>
      <c r="H473" s="1" t="n"/>
      <c r="I473" s="1" t="n"/>
      <c r="J473" s="1" t="n"/>
      <c r="K473" s="1" t="n"/>
      <c r="L473" s="1" t="n"/>
    </row>
    <row r="474" ht="15.75" customHeight="1" s="311">
      <c r="A474" s="1" t="n"/>
      <c r="B474" s="1" t="n"/>
      <c r="C474" s="1" t="n"/>
      <c r="D474" s="1" t="n"/>
      <c r="E474" s="1" t="n"/>
      <c r="F474" s="1" t="n"/>
      <c r="G474" s="1" t="n"/>
      <c r="H474" s="1" t="n"/>
      <c r="I474" s="1" t="n"/>
      <c r="J474" s="1" t="n"/>
      <c r="K474" s="1" t="n"/>
      <c r="L474" s="1" t="n"/>
    </row>
    <row r="475" ht="15.75" customHeight="1" s="311">
      <c r="A475" s="1" t="n"/>
      <c r="B475" s="1" t="n"/>
      <c r="C475" s="1" t="n"/>
      <c r="D475" s="1" t="n"/>
      <c r="E475" s="1" t="n"/>
      <c r="F475" s="1" t="n"/>
      <c r="G475" s="1" t="n"/>
      <c r="H475" s="1" t="n"/>
      <c r="I475" s="1" t="n"/>
      <c r="J475" s="1" t="n"/>
      <c r="K475" s="1" t="n"/>
      <c r="L475" s="1" t="n"/>
    </row>
    <row r="476" ht="15.75" customHeight="1" s="311">
      <c r="A476" s="1" t="n"/>
      <c r="B476" s="1" t="n"/>
      <c r="C476" s="1" t="n"/>
      <c r="D476" s="1" t="n"/>
      <c r="E476" s="1" t="n"/>
      <c r="F476" s="1" t="n"/>
      <c r="G476" s="1" t="n"/>
      <c r="H476" s="1" t="n"/>
      <c r="I476" s="1" t="n"/>
      <c r="J476" s="1" t="n"/>
      <c r="K476" s="1" t="n"/>
      <c r="L476" s="1" t="n"/>
    </row>
    <row r="477" ht="15.75" customHeight="1" s="311">
      <c r="A477" s="1" t="n"/>
      <c r="B477" s="1" t="n"/>
      <c r="C477" s="1" t="n"/>
      <c r="D477" s="1" t="n"/>
      <c r="E477" s="1" t="n"/>
      <c r="F477" s="1" t="n"/>
      <c r="G477" s="1" t="n"/>
      <c r="H477" s="1" t="n"/>
      <c r="I477" s="1" t="n"/>
      <c r="J477" s="1" t="n"/>
      <c r="K477" s="1" t="n"/>
      <c r="L477" s="1" t="n"/>
    </row>
    <row r="478" ht="15.75" customHeight="1" s="311">
      <c r="A478" s="1" t="n"/>
      <c r="B478" s="1" t="n"/>
      <c r="C478" s="1" t="n"/>
      <c r="D478" s="1" t="n"/>
      <c r="E478" s="1" t="n"/>
      <c r="F478" s="1" t="n"/>
      <c r="G478" s="1" t="n"/>
      <c r="H478" s="1" t="n"/>
      <c r="I478" s="1" t="n"/>
      <c r="J478" s="1" t="n"/>
      <c r="K478" s="1" t="n"/>
      <c r="L478" s="1" t="n"/>
    </row>
    <row r="479" ht="15.75" customHeight="1" s="311">
      <c r="A479" s="1" t="n"/>
      <c r="B479" s="1" t="n"/>
      <c r="C479" s="1" t="n"/>
      <c r="D479" s="1" t="n"/>
      <c r="E479" s="1" t="n"/>
      <c r="F479" s="1" t="n"/>
      <c r="G479" s="1" t="n"/>
      <c r="H479" s="1" t="n"/>
      <c r="I479" s="1" t="n"/>
      <c r="J479" s="1" t="n"/>
      <c r="K479" s="1" t="n"/>
      <c r="L479" s="1" t="n"/>
    </row>
    <row r="480" ht="15.75" customHeight="1" s="311">
      <c r="A480" s="1" t="n"/>
      <c r="B480" s="1" t="n"/>
      <c r="C480" s="1" t="n"/>
      <c r="D480" s="1" t="n"/>
      <c r="E480" s="1" t="n"/>
      <c r="F480" s="1" t="n"/>
      <c r="G480" s="1" t="n"/>
      <c r="H480" s="1" t="n"/>
      <c r="I480" s="1" t="n"/>
      <c r="J480" s="1" t="n"/>
      <c r="K480" s="1" t="n"/>
      <c r="L480" s="1" t="n"/>
    </row>
    <row r="481" ht="15.75" customHeight="1" s="311">
      <c r="A481" s="1" t="n"/>
      <c r="B481" s="1" t="n"/>
      <c r="C481" s="1" t="n"/>
      <c r="D481" s="1" t="n"/>
      <c r="E481" s="1" t="n"/>
      <c r="F481" s="1" t="n"/>
      <c r="G481" s="1" t="n"/>
      <c r="H481" s="1" t="n"/>
      <c r="I481" s="1" t="n"/>
      <c r="J481" s="1" t="n"/>
      <c r="K481" s="1" t="n"/>
      <c r="L481" s="1" t="n"/>
    </row>
    <row r="482" ht="15.75" customHeight="1" s="311">
      <c r="A482" s="1" t="n"/>
      <c r="B482" s="1" t="n"/>
      <c r="C482" s="1" t="n"/>
      <c r="D482" s="1" t="n"/>
      <c r="E482" s="1" t="n"/>
      <c r="F482" s="1" t="n"/>
      <c r="G482" s="1" t="n"/>
      <c r="H482" s="1" t="n"/>
      <c r="I482" s="1" t="n"/>
      <c r="J482" s="1" t="n"/>
      <c r="K482" s="1" t="n"/>
      <c r="L482" s="1" t="n"/>
    </row>
    <row r="483" ht="15.75" customHeight="1" s="311">
      <c r="A483" s="1" t="n"/>
      <c r="B483" s="1" t="n"/>
      <c r="C483" s="1" t="n"/>
      <c r="D483" s="1" t="n"/>
      <c r="E483" s="1" t="n"/>
      <c r="F483" s="1" t="n"/>
      <c r="G483" s="1" t="n"/>
      <c r="H483" s="1" t="n"/>
      <c r="I483" s="1" t="n"/>
      <c r="J483" s="1" t="n"/>
      <c r="K483" s="1" t="n"/>
      <c r="L483" s="1" t="n"/>
    </row>
    <row r="484" ht="15.75" customHeight="1" s="311">
      <c r="A484" s="1" t="n"/>
      <c r="B484" s="1" t="n"/>
      <c r="C484" s="1" t="n"/>
      <c r="D484" s="1" t="n"/>
      <c r="E484" s="1" t="n"/>
      <c r="F484" s="1" t="n"/>
      <c r="G484" s="1" t="n"/>
      <c r="H484" s="1" t="n"/>
      <c r="I484" s="1" t="n"/>
      <c r="J484" s="1" t="n"/>
      <c r="K484" s="1" t="n"/>
      <c r="L484" s="1" t="n"/>
    </row>
    <row r="485" ht="15.75" customHeight="1" s="311">
      <c r="A485" s="1" t="n"/>
      <c r="B485" s="1" t="n"/>
      <c r="C485" s="1" t="n"/>
      <c r="D485" s="1" t="n"/>
      <c r="E485" s="1" t="n"/>
      <c r="F485" s="1" t="n"/>
      <c r="G485" s="1" t="n"/>
      <c r="H485" s="1" t="n"/>
      <c r="I485" s="1" t="n"/>
      <c r="J485" s="1" t="n"/>
      <c r="K485" s="1" t="n"/>
      <c r="L485" s="1" t="n"/>
    </row>
    <row r="486" ht="15.75" customHeight="1" s="311">
      <c r="A486" s="1" t="n"/>
      <c r="B486" s="1" t="n"/>
      <c r="C486" s="1" t="n"/>
      <c r="D486" s="1" t="n"/>
      <c r="E486" s="1" t="n"/>
      <c r="F486" s="1" t="n"/>
      <c r="G486" s="1" t="n"/>
      <c r="H486" s="1" t="n"/>
      <c r="I486" s="1" t="n"/>
      <c r="J486" s="1" t="n"/>
      <c r="K486" s="1" t="n"/>
      <c r="L486" s="1" t="n"/>
    </row>
    <row r="487" ht="15.75" customHeight="1" s="311">
      <c r="A487" s="1" t="n"/>
      <c r="B487" s="1" t="n"/>
      <c r="C487" s="1" t="n"/>
      <c r="D487" s="1" t="n"/>
      <c r="E487" s="1" t="n"/>
      <c r="F487" s="1" t="n"/>
      <c r="G487" s="1" t="n"/>
      <c r="H487" s="1" t="n"/>
      <c r="I487" s="1" t="n"/>
      <c r="J487" s="1" t="n"/>
      <c r="K487" s="1" t="n"/>
      <c r="L487" s="1" t="n"/>
    </row>
    <row r="488" ht="15.75" customHeight="1" s="311">
      <c r="A488" s="1" t="n"/>
      <c r="B488" s="1" t="n"/>
      <c r="C488" s="1" t="n"/>
      <c r="D488" s="1" t="n"/>
      <c r="E488" s="1" t="n"/>
      <c r="F488" s="1" t="n"/>
      <c r="G488" s="1" t="n"/>
      <c r="H488" s="1" t="n"/>
      <c r="I488" s="1" t="n"/>
      <c r="J488" s="1" t="n"/>
      <c r="K488" s="1" t="n"/>
      <c r="L488" s="1" t="n"/>
    </row>
    <row r="489" ht="15.75" customHeight="1" s="311">
      <c r="A489" s="1" t="n"/>
      <c r="B489" s="1" t="n"/>
      <c r="C489" s="1" t="n"/>
      <c r="D489" s="1" t="n"/>
      <c r="E489" s="1" t="n"/>
      <c r="F489" s="1" t="n"/>
      <c r="G489" s="1" t="n"/>
      <c r="H489" s="1" t="n"/>
      <c r="I489" s="1" t="n"/>
      <c r="J489" s="1" t="n"/>
      <c r="K489" s="1" t="n"/>
      <c r="L489" s="1" t="n"/>
    </row>
    <row r="490" ht="15.75" customHeight="1" s="311">
      <c r="A490" s="1" t="n"/>
      <c r="B490" s="1" t="n"/>
      <c r="C490" s="1" t="n"/>
      <c r="D490" s="1" t="n"/>
      <c r="E490" s="1" t="n"/>
      <c r="F490" s="1" t="n"/>
      <c r="G490" s="1" t="n"/>
      <c r="H490" s="1" t="n"/>
      <c r="I490" s="1" t="n"/>
      <c r="J490" s="1" t="n"/>
      <c r="K490" s="1" t="n"/>
      <c r="L490" s="1" t="n"/>
    </row>
    <row r="491" ht="15.75" customHeight="1" s="311">
      <c r="A491" s="1" t="n"/>
      <c r="B491" s="1" t="n"/>
      <c r="C491" s="1" t="n"/>
      <c r="D491" s="1" t="n"/>
      <c r="E491" s="1" t="n"/>
      <c r="F491" s="1" t="n"/>
      <c r="G491" s="1" t="n"/>
      <c r="H491" s="1" t="n"/>
      <c r="I491" s="1" t="n"/>
      <c r="J491" s="1" t="n"/>
      <c r="K491" s="1" t="n"/>
      <c r="L491" s="1" t="n"/>
    </row>
    <row r="492" ht="15.75" customHeight="1" s="311">
      <c r="A492" s="1" t="n"/>
      <c r="B492" s="1" t="n"/>
      <c r="C492" s="1" t="n"/>
      <c r="D492" s="1" t="n"/>
      <c r="E492" s="1" t="n"/>
      <c r="F492" s="1" t="n"/>
      <c r="G492" s="1" t="n"/>
      <c r="H492" s="1" t="n"/>
      <c r="I492" s="1" t="n"/>
      <c r="J492" s="1" t="n"/>
      <c r="K492" s="1" t="n"/>
      <c r="L492" s="1" t="n"/>
    </row>
    <row r="493" ht="15.75" customHeight="1" s="311">
      <c r="A493" s="1" t="n"/>
      <c r="B493" s="1" t="n"/>
      <c r="C493" s="1" t="n"/>
      <c r="D493" s="1" t="n"/>
      <c r="E493" s="1" t="n"/>
      <c r="F493" s="1" t="n"/>
      <c r="G493" s="1" t="n"/>
      <c r="H493" s="1" t="n"/>
      <c r="I493" s="1" t="n"/>
      <c r="J493" s="1" t="n"/>
      <c r="K493" s="1" t="n"/>
      <c r="L493" s="1" t="n"/>
    </row>
    <row r="494" ht="15.75" customHeight="1" s="311">
      <c r="A494" s="1" t="n"/>
      <c r="B494" s="1" t="n"/>
      <c r="C494" s="1" t="n"/>
      <c r="D494" s="1" t="n"/>
      <c r="E494" s="1" t="n"/>
      <c r="F494" s="1" t="n"/>
      <c r="G494" s="1" t="n"/>
      <c r="H494" s="1" t="n"/>
      <c r="I494" s="1" t="n"/>
      <c r="J494" s="1" t="n"/>
      <c r="K494" s="1" t="n"/>
      <c r="L494" s="1" t="n"/>
    </row>
    <row r="495" ht="15.75" customHeight="1" s="311">
      <c r="A495" s="1" t="n"/>
      <c r="B495" s="1" t="n"/>
      <c r="C495" s="1" t="n"/>
      <c r="D495" s="1" t="n"/>
      <c r="E495" s="1" t="n"/>
      <c r="F495" s="1" t="n"/>
      <c r="G495" s="1" t="n"/>
      <c r="H495" s="1" t="n"/>
      <c r="I495" s="1" t="n"/>
      <c r="J495" s="1" t="n"/>
      <c r="K495" s="1" t="n"/>
      <c r="L495" s="1" t="n"/>
    </row>
    <row r="496" ht="15.75" customHeight="1" s="311">
      <c r="A496" s="1" t="n"/>
      <c r="B496" s="1" t="n"/>
      <c r="C496" s="1" t="n"/>
      <c r="D496" s="1" t="n"/>
      <c r="E496" s="1" t="n"/>
      <c r="F496" s="1" t="n"/>
      <c r="G496" s="1" t="n"/>
      <c r="H496" s="1" t="n"/>
      <c r="I496" s="1" t="n"/>
      <c r="J496" s="1" t="n"/>
      <c r="K496" s="1" t="n"/>
      <c r="L496" s="1" t="n"/>
    </row>
    <row r="497" ht="15.75" customHeight="1" s="311">
      <c r="A497" s="1" t="n"/>
      <c r="B497" s="1" t="n"/>
      <c r="C497" s="1" t="n"/>
      <c r="D497" s="1" t="n"/>
      <c r="E497" s="1" t="n"/>
      <c r="F497" s="1" t="n"/>
      <c r="G497" s="1" t="n"/>
      <c r="H497" s="1" t="n"/>
      <c r="I497" s="1" t="n"/>
      <c r="J497" s="1" t="n"/>
      <c r="K497" s="1" t="n"/>
      <c r="L497" s="1" t="n"/>
    </row>
    <row r="498" ht="15.75" customHeight="1" s="311">
      <c r="A498" s="1" t="n"/>
      <c r="B498" s="1" t="n"/>
      <c r="C498" s="1" t="n"/>
      <c r="D498" s="1" t="n"/>
      <c r="E498" s="1" t="n"/>
      <c r="F498" s="1" t="n"/>
      <c r="G498" s="1" t="n"/>
      <c r="H498" s="1" t="n"/>
      <c r="I498" s="1" t="n"/>
      <c r="J498" s="1" t="n"/>
      <c r="K498" s="1" t="n"/>
      <c r="L498" s="1" t="n"/>
    </row>
    <row r="499" ht="15.75" customHeight="1" s="311">
      <c r="A499" s="1" t="n"/>
      <c r="B499" s="1" t="n"/>
      <c r="C499" s="1" t="n"/>
      <c r="D499" s="1" t="n"/>
      <c r="E499" s="1" t="n"/>
      <c r="F499" s="1" t="n"/>
      <c r="G499" s="1" t="n"/>
      <c r="H499" s="1" t="n"/>
      <c r="I499" s="1" t="n"/>
      <c r="J499" s="1" t="n"/>
      <c r="K499" s="1" t="n"/>
      <c r="L499" s="1" t="n"/>
    </row>
    <row r="500" ht="15.75" customHeight="1" s="311">
      <c r="A500" s="1" t="n"/>
      <c r="B500" s="1" t="n"/>
      <c r="C500" s="1" t="n"/>
      <c r="D500" s="1" t="n"/>
      <c r="E500" s="1" t="n"/>
      <c r="F500" s="1" t="n"/>
      <c r="G500" s="1" t="n"/>
      <c r="H500" s="1" t="n"/>
      <c r="I500" s="1" t="n"/>
      <c r="J500" s="1" t="n"/>
      <c r="K500" s="1" t="n"/>
      <c r="L500" s="1" t="n"/>
    </row>
    <row r="501" ht="15.75" customHeight="1" s="311">
      <c r="A501" s="1" t="n"/>
      <c r="B501" s="1" t="n"/>
      <c r="C501" s="1" t="n"/>
      <c r="D501" s="1" t="n"/>
      <c r="E501" s="1" t="n"/>
      <c r="F501" s="1" t="n"/>
      <c r="G501" s="1" t="n"/>
      <c r="H501" s="1" t="n"/>
      <c r="I501" s="1" t="n"/>
      <c r="J501" s="1" t="n"/>
      <c r="K501" s="1" t="n"/>
      <c r="L501" s="1" t="n"/>
    </row>
    <row r="502" ht="15.75" customHeight="1" s="311">
      <c r="A502" s="1" t="n"/>
      <c r="B502" s="1" t="n"/>
      <c r="C502" s="1" t="n"/>
      <c r="D502" s="1" t="n"/>
      <c r="E502" s="1" t="n"/>
      <c r="F502" s="1" t="n"/>
      <c r="G502" s="1" t="n"/>
      <c r="H502" s="1" t="n"/>
      <c r="I502" s="1" t="n"/>
      <c r="J502" s="1" t="n"/>
      <c r="K502" s="1" t="n"/>
      <c r="L502" s="1" t="n"/>
    </row>
    <row r="503" ht="15.75" customHeight="1" s="311">
      <c r="A503" s="1" t="n"/>
      <c r="B503" s="1" t="n"/>
      <c r="C503" s="1" t="n"/>
      <c r="D503" s="1" t="n"/>
      <c r="E503" s="1" t="n"/>
      <c r="F503" s="1" t="n"/>
      <c r="G503" s="1" t="n"/>
      <c r="H503" s="1" t="n"/>
      <c r="I503" s="1" t="n"/>
      <c r="J503" s="1" t="n"/>
      <c r="K503" s="1" t="n"/>
      <c r="L503" s="1" t="n"/>
    </row>
    <row r="504" ht="15.75" customHeight="1" s="311">
      <c r="A504" s="1" t="n"/>
      <c r="B504" s="1" t="n"/>
      <c r="C504" s="1" t="n"/>
      <c r="D504" s="1" t="n"/>
      <c r="E504" s="1" t="n"/>
      <c r="F504" s="1" t="n"/>
      <c r="G504" s="1" t="n"/>
      <c r="H504" s="1" t="n"/>
      <c r="I504" s="1" t="n"/>
      <c r="J504" s="1" t="n"/>
      <c r="K504" s="1" t="n"/>
      <c r="L504" s="1" t="n"/>
    </row>
    <row r="505" ht="15.75" customHeight="1" s="311">
      <c r="A505" s="1" t="n"/>
      <c r="B505" s="1" t="n"/>
      <c r="C505" s="1" t="n"/>
      <c r="D505" s="1" t="n"/>
      <c r="E505" s="1" t="n"/>
      <c r="F505" s="1" t="n"/>
      <c r="G505" s="1" t="n"/>
      <c r="H505" s="1" t="n"/>
      <c r="I505" s="1" t="n"/>
      <c r="J505" s="1" t="n"/>
      <c r="K505" s="1" t="n"/>
      <c r="L505" s="1" t="n"/>
    </row>
    <row r="506" ht="15.75" customHeight="1" s="311">
      <c r="A506" s="1" t="n"/>
      <c r="B506" s="1" t="n"/>
      <c r="C506" s="1" t="n"/>
      <c r="D506" s="1" t="n"/>
      <c r="E506" s="1" t="n"/>
      <c r="F506" s="1" t="n"/>
      <c r="G506" s="1" t="n"/>
      <c r="H506" s="1" t="n"/>
      <c r="I506" s="1" t="n"/>
      <c r="J506" s="1" t="n"/>
      <c r="K506" s="1" t="n"/>
      <c r="L506" s="1" t="n"/>
    </row>
    <row r="507" ht="15.75" customHeight="1" s="311">
      <c r="A507" s="1" t="n"/>
      <c r="B507" s="1" t="n"/>
      <c r="C507" s="1" t="n"/>
      <c r="D507" s="1" t="n"/>
      <c r="E507" s="1" t="n"/>
      <c r="F507" s="1" t="n"/>
      <c r="G507" s="1" t="n"/>
      <c r="H507" s="1" t="n"/>
      <c r="I507" s="1" t="n"/>
      <c r="J507" s="1" t="n"/>
      <c r="K507" s="1" t="n"/>
      <c r="L507" s="1" t="n"/>
    </row>
    <row r="508" ht="15.75" customHeight="1" s="311">
      <c r="A508" s="1" t="n"/>
      <c r="B508" s="1" t="n"/>
      <c r="C508" s="1" t="n"/>
      <c r="D508" s="1" t="n"/>
      <c r="E508" s="1" t="n"/>
      <c r="F508" s="1" t="n"/>
      <c r="G508" s="1" t="n"/>
      <c r="H508" s="1" t="n"/>
      <c r="I508" s="1" t="n"/>
      <c r="J508" s="1" t="n"/>
      <c r="K508" s="1" t="n"/>
      <c r="L508" s="1" t="n"/>
    </row>
    <row r="509" ht="15.75" customHeight="1" s="311">
      <c r="A509" s="1" t="n"/>
      <c r="B509" s="1" t="n"/>
      <c r="C509" s="1" t="n"/>
      <c r="D509" s="1" t="n"/>
      <c r="E509" s="1" t="n"/>
      <c r="F509" s="1" t="n"/>
      <c r="G509" s="1" t="n"/>
      <c r="H509" s="1" t="n"/>
      <c r="I509" s="1" t="n"/>
      <c r="J509" s="1" t="n"/>
      <c r="K509" s="1" t="n"/>
      <c r="L509" s="1" t="n"/>
    </row>
    <row r="510" ht="15.75" customHeight="1" s="311">
      <c r="A510" s="1" t="n"/>
      <c r="B510" s="1" t="n"/>
      <c r="C510" s="1" t="n"/>
      <c r="D510" s="1" t="n"/>
      <c r="E510" s="1" t="n"/>
      <c r="F510" s="1" t="n"/>
      <c r="G510" s="1" t="n"/>
      <c r="H510" s="1" t="n"/>
      <c r="I510" s="1" t="n"/>
      <c r="J510" s="1" t="n"/>
      <c r="K510" s="1" t="n"/>
      <c r="L510" s="1" t="n"/>
    </row>
    <row r="511" ht="15.75" customHeight="1" s="311">
      <c r="A511" s="1" t="n"/>
      <c r="B511" s="1" t="n"/>
      <c r="C511" s="1" t="n"/>
      <c r="D511" s="1" t="n"/>
      <c r="E511" s="1" t="n"/>
      <c r="F511" s="1" t="n"/>
      <c r="G511" s="1" t="n"/>
      <c r="H511" s="1" t="n"/>
      <c r="I511" s="1" t="n"/>
      <c r="J511" s="1" t="n"/>
      <c r="K511" s="1" t="n"/>
      <c r="L511" s="1" t="n"/>
    </row>
    <row r="512" ht="15.75" customHeight="1" s="311">
      <c r="A512" s="1" t="n"/>
      <c r="B512" s="1" t="n"/>
      <c r="C512" s="1" t="n"/>
      <c r="D512" s="1" t="n"/>
      <c r="E512" s="1" t="n"/>
      <c r="F512" s="1" t="n"/>
      <c r="G512" s="1" t="n"/>
      <c r="H512" s="1" t="n"/>
      <c r="I512" s="1" t="n"/>
      <c r="J512" s="1" t="n"/>
      <c r="K512" s="1" t="n"/>
      <c r="L512" s="1" t="n"/>
    </row>
    <row r="513" ht="15.75" customHeight="1" s="311">
      <c r="A513" s="1" t="n"/>
      <c r="B513" s="1" t="n"/>
      <c r="C513" s="1" t="n"/>
      <c r="D513" s="1" t="n"/>
      <c r="E513" s="1" t="n"/>
      <c r="F513" s="1" t="n"/>
      <c r="G513" s="1" t="n"/>
      <c r="H513" s="1" t="n"/>
      <c r="I513" s="1" t="n"/>
      <c r="J513" s="1" t="n"/>
      <c r="K513" s="1" t="n"/>
      <c r="L513" s="1" t="n"/>
    </row>
    <row r="514" ht="15.75" customHeight="1" s="311">
      <c r="A514" s="1" t="n"/>
      <c r="B514" s="1" t="n"/>
      <c r="C514" s="1" t="n"/>
      <c r="D514" s="1" t="n"/>
      <c r="E514" s="1" t="n"/>
      <c r="F514" s="1" t="n"/>
      <c r="G514" s="1" t="n"/>
      <c r="H514" s="1" t="n"/>
      <c r="I514" s="1" t="n"/>
      <c r="J514" s="1" t="n"/>
      <c r="K514" s="1" t="n"/>
      <c r="L514" s="1" t="n"/>
    </row>
    <row r="515" ht="15.75" customHeight="1" s="311">
      <c r="A515" s="1" t="n"/>
      <c r="B515" s="1" t="n"/>
      <c r="C515" s="1" t="n"/>
      <c r="D515" s="1" t="n"/>
      <c r="E515" s="1" t="n"/>
      <c r="F515" s="1" t="n"/>
      <c r="G515" s="1" t="n"/>
      <c r="H515" s="1" t="n"/>
      <c r="I515" s="1" t="n"/>
      <c r="J515" s="1" t="n"/>
      <c r="K515" s="1" t="n"/>
      <c r="L515" s="1" t="n"/>
    </row>
    <row r="516" ht="15.75" customHeight="1" s="311">
      <c r="A516" s="1" t="n"/>
      <c r="B516" s="1" t="n"/>
      <c r="C516" s="1" t="n"/>
      <c r="D516" s="1" t="n"/>
      <c r="E516" s="1" t="n"/>
      <c r="F516" s="1" t="n"/>
      <c r="G516" s="1" t="n"/>
      <c r="H516" s="1" t="n"/>
      <c r="I516" s="1" t="n"/>
      <c r="J516" s="1" t="n"/>
      <c r="K516" s="1" t="n"/>
      <c r="L516" s="1" t="n"/>
    </row>
    <row r="517" ht="15.75" customHeight="1" s="311">
      <c r="A517" s="1" t="n"/>
      <c r="B517" s="1" t="n"/>
      <c r="C517" s="1" t="n"/>
      <c r="D517" s="1" t="n"/>
      <c r="E517" s="1" t="n"/>
      <c r="F517" s="1" t="n"/>
      <c r="G517" s="1" t="n"/>
      <c r="H517" s="1" t="n"/>
      <c r="I517" s="1" t="n"/>
      <c r="J517" s="1" t="n"/>
      <c r="K517" s="1" t="n"/>
      <c r="L517" s="1" t="n"/>
    </row>
    <row r="518" ht="15.75" customHeight="1" s="311">
      <c r="A518" s="1" t="n"/>
      <c r="B518" s="1" t="n"/>
      <c r="C518" s="1" t="n"/>
      <c r="D518" s="1" t="n"/>
      <c r="E518" s="1" t="n"/>
      <c r="F518" s="1" t="n"/>
      <c r="G518" s="1" t="n"/>
      <c r="H518" s="1" t="n"/>
      <c r="I518" s="1" t="n"/>
      <c r="J518" s="1" t="n"/>
      <c r="K518" s="1" t="n"/>
      <c r="L518" s="1" t="n"/>
    </row>
    <row r="519" ht="15.75" customHeight="1" s="311">
      <c r="A519" s="1" t="n"/>
      <c r="B519" s="1" t="n"/>
      <c r="C519" s="1" t="n"/>
      <c r="D519" s="1" t="n"/>
      <c r="E519" s="1" t="n"/>
      <c r="F519" s="1" t="n"/>
      <c r="G519" s="1" t="n"/>
      <c r="H519" s="1" t="n"/>
      <c r="I519" s="1" t="n"/>
      <c r="J519" s="1" t="n"/>
      <c r="K519" s="1" t="n"/>
      <c r="L519" s="1" t="n"/>
    </row>
    <row r="520" ht="15.75" customHeight="1" s="311">
      <c r="A520" s="1" t="n"/>
      <c r="B520" s="1" t="n"/>
      <c r="C520" s="1" t="n"/>
      <c r="D520" s="1" t="n"/>
      <c r="E520" s="1" t="n"/>
      <c r="F520" s="1" t="n"/>
      <c r="G520" s="1" t="n"/>
      <c r="H520" s="1" t="n"/>
      <c r="I520" s="1" t="n"/>
      <c r="J520" s="1" t="n"/>
      <c r="K520" s="1" t="n"/>
      <c r="L520" s="1" t="n"/>
    </row>
    <row r="521" ht="15.75" customHeight="1" s="311">
      <c r="A521" s="1" t="n"/>
      <c r="B521" s="1" t="n"/>
      <c r="C521" s="1" t="n"/>
      <c r="D521" s="1" t="n"/>
      <c r="E521" s="1" t="n"/>
      <c r="F521" s="1" t="n"/>
      <c r="G521" s="1" t="n"/>
      <c r="H521" s="1" t="n"/>
      <c r="I521" s="1" t="n"/>
      <c r="J521" s="1" t="n"/>
      <c r="K521" s="1" t="n"/>
      <c r="L521" s="1" t="n"/>
    </row>
    <row r="522" ht="15.75" customHeight="1" s="311">
      <c r="A522" s="1" t="n"/>
      <c r="B522" s="1" t="n"/>
      <c r="C522" s="1" t="n"/>
      <c r="D522" s="1" t="n"/>
      <c r="E522" s="1" t="n"/>
      <c r="F522" s="1" t="n"/>
      <c r="G522" s="1" t="n"/>
      <c r="H522" s="1" t="n"/>
      <c r="I522" s="1" t="n"/>
      <c r="J522" s="1" t="n"/>
      <c r="K522" s="1" t="n"/>
      <c r="L522" s="1" t="n"/>
    </row>
    <row r="523" ht="15.75" customHeight="1" s="311">
      <c r="A523" s="1" t="n"/>
      <c r="B523" s="1" t="n"/>
      <c r="C523" s="1" t="n"/>
      <c r="D523" s="1" t="n"/>
      <c r="E523" s="1" t="n"/>
      <c r="F523" s="1" t="n"/>
      <c r="G523" s="1" t="n"/>
      <c r="H523" s="1" t="n"/>
      <c r="I523" s="1" t="n"/>
      <c r="J523" s="1" t="n"/>
      <c r="K523" s="1" t="n"/>
      <c r="L523" s="1" t="n"/>
    </row>
    <row r="524" ht="15.75" customHeight="1" s="311">
      <c r="A524" s="1" t="n"/>
      <c r="B524" s="1" t="n"/>
      <c r="C524" s="1" t="n"/>
      <c r="D524" s="1" t="n"/>
      <c r="E524" s="1" t="n"/>
      <c r="F524" s="1" t="n"/>
      <c r="G524" s="1" t="n"/>
      <c r="H524" s="1" t="n"/>
      <c r="I524" s="1" t="n"/>
      <c r="J524" s="1" t="n"/>
      <c r="K524" s="1" t="n"/>
      <c r="L524" s="1" t="n"/>
    </row>
    <row r="525" ht="15.75" customHeight="1" s="311">
      <c r="A525" s="1" t="n"/>
      <c r="B525" s="1" t="n"/>
      <c r="C525" s="1" t="n"/>
      <c r="D525" s="1" t="n"/>
      <c r="E525" s="1" t="n"/>
      <c r="F525" s="1" t="n"/>
      <c r="G525" s="1" t="n"/>
      <c r="H525" s="1" t="n"/>
      <c r="I525" s="1" t="n"/>
      <c r="J525" s="1" t="n"/>
      <c r="K525" s="1" t="n"/>
      <c r="L525" s="1" t="n"/>
    </row>
    <row r="526" ht="15.75" customHeight="1" s="311">
      <c r="A526" s="1" t="n"/>
      <c r="B526" s="1" t="n"/>
      <c r="C526" s="1" t="n"/>
      <c r="D526" s="1" t="n"/>
      <c r="E526" s="1" t="n"/>
      <c r="F526" s="1" t="n"/>
      <c r="G526" s="1" t="n"/>
      <c r="H526" s="1" t="n"/>
      <c r="I526" s="1" t="n"/>
      <c r="J526" s="1" t="n"/>
      <c r="K526" s="1" t="n"/>
      <c r="L526" s="1" t="n"/>
    </row>
    <row r="527" ht="15.75" customHeight="1" s="311">
      <c r="A527" s="1" t="n"/>
      <c r="B527" s="1" t="n"/>
      <c r="C527" s="1" t="n"/>
      <c r="D527" s="1" t="n"/>
      <c r="E527" s="1" t="n"/>
      <c r="F527" s="1" t="n"/>
      <c r="G527" s="1" t="n"/>
      <c r="H527" s="1" t="n"/>
      <c r="I527" s="1" t="n"/>
      <c r="J527" s="1" t="n"/>
      <c r="K527" s="1" t="n"/>
      <c r="L527" s="1" t="n"/>
    </row>
    <row r="528" ht="15.75" customHeight="1" s="311">
      <c r="A528" s="1" t="n"/>
      <c r="B528" s="1" t="n"/>
      <c r="C528" s="1" t="n"/>
      <c r="D528" s="1" t="n"/>
      <c r="E528" s="1" t="n"/>
      <c r="F528" s="1" t="n"/>
      <c r="G528" s="1" t="n"/>
      <c r="H528" s="1" t="n"/>
      <c r="I528" s="1" t="n"/>
      <c r="J528" s="1" t="n"/>
      <c r="K528" s="1" t="n"/>
      <c r="L528" s="1" t="n"/>
    </row>
    <row r="529" ht="15.75" customHeight="1" s="311">
      <c r="A529" s="1" t="n"/>
      <c r="B529" s="1" t="n"/>
      <c r="C529" s="1" t="n"/>
      <c r="D529" s="1" t="n"/>
      <c r="E529" s="1" t="n"/>
      <c r="F529" s="1" t="n"/>
      <c r="G529" s="1" t="n"/>
      <c r="H529" s="1" t="n"/>
      <c r="I529" s="1" t="n"/>
      <c r="J529" s="1" t="n"/>
      <c r="K529" s="1" t="n"/>
      <c r="L529" s="1" t="n"/>
    </row>
    <row r="530" ht="15.75" customHeight="1" s="311">
      <c r="A530" s="1" t="n"/>
      <c r="B530" s="1" t="n"/>
      <c r="C530" s="1" t="n"/>
      <c r="D530" s="1" t="n"/>
      <c r="E530" s="1" t="n"/>
      <c r="F530" s="1" t="n"/>
      <c r="G530" s="1" t="n"/>
      <c r="H530" s="1" t="n"/>
      <c r="I530" s="1" t="n"/>
      <c r="J530" s="1" t="n"/>
      <c r="K530" s="1" t="n"/>
      <c r="L530" s="1" t="n"/>
    </row>
    <row r="531" ht="15.75" customHeight="1" s="311">
      <c r="A531" s="1" t="n"/>
      <c r="B531" s="1" t="n"/>
      <c r="C531" s="1" t="n"/>
      <c r="D531" s="1" t="n"/>
      <c r="E531" s="1" t="n"/>
      <c r="F531" s="1" t="n"/>
      <c r="G531" s="1" t="n"/>
      <c r="H531" s="1" t="n"/>
      <c r="I531" s="1" t="n"/>
      <c r="J531" s="1" t="n"/>
      <c r="K531" s="1" t="n"/>
      <c r="L531" s="1" t="n"/>
    </row>
    <row r="532" ht="15.75" customHeight="1" s="311">
      <c r="A532" s="1" t="n"/>
      <c r="B532" s="1" t="n"/>
      <c r="C532" s="1" t="n"/>
      <c r="D532" s="1" t="n"/>
      <c r="E532" s="1" t="n"/>
      <c r="F532" s="1" t="n"/>
      <c r="G532" s="1" t="n"/>
      <c r="H532" s="1" t="n"/>
      <c r="I532" s="1" t="n"/>
      <c r="J532" s="1" t="n"/>
      <c r="K532" s="1" t="n"/>
      <c r="L532" s="1" t="n"/>
    </row>
    <row r="533" ht="15.75" customHeight="1" s="311">
      <c r="A533" s="1" t="n"/>
      <c r="B533" s="1" t="n"/>
      <c r="C533" s="1" t="n"/>
      <c r="D533" s="1" t="n"/>
      <c r="E533" s="1" t="n"/>
      <c r="F533" s="1" t="n"/>
      <c r="G533" s="1" t="n"/>
      <c r="H533" s="1" t="n"/>
      <c r="I533" s="1" t="n"/>
      <c r="J533" s="1" t="n"/>
      <c r="K533" s="1" t="n"/>
      <c r="L533" s="1" t="n"/>
    </row>
    <row r="534" ht="15.75" customHeight="1" s="311">
      <c r="A534" s="1" t="n"/>
      <c r="B534" s="1" t="n"/>
      <c r="C534" s="1" t="n"/>
      <c r="D534" s="1" t="n"/>
      <c r="E534" s="1" t="n"/>
      <c r="F534" s="1" t="n"/>
      <c r="G534" s="1" t="n"/>
      <c r="H534" s="1" t="n"/>
      <c r="I534" s="1" t="n"/>
      <c r="J534" s="1" t="n"/>
      <c r="K534" s="1" t="n"/>
      <c r="L534" s="1" t="n"/>
    </row>
    <row r="535" ht="15.75" customHeight="1" s="311">
      <c r="A535" s="1" t="n"/>
      <c r="B535" s="1" t="n"/>
      <c r="C535" s="1" t="n"/>
      <c r="D535" s="1" t="n"/>
      <c r="E535" s="1" t="n"/>
      <c r="F535" s="1" t="n"/>
      <c r="G535" s="1" t="n"/>
      <c r="H535" s="1" t="n"/>
      <c r="I535" s="1" t="n"/>
      <c r="J535" s="1" t="n"/>
      <c r="K535" s="1" t="n"/>
      <c r="L535" s="1" t="n"/>
    </row>
    <row r="536" ht="15.75" customHeight="1" s="311">
      <c r="A536" s="1" t="n"/>
      <c r="B536" s="1" t="n"/>
      <c r="C536" s="1" t="n"/>
      <c r="D536" s="1" t="n"/>
      <c r="E536" s="1" t="n"/>
      <c r="F536" s="1" t="n"/>
      <c r="G536" s="1" t="n"/>
      <c r="H536" s="1" t="n"/>
      <c r="I536" s="1" t="n"/>
      <c r="J536" s="1" t="n"/>
      <c r="K536" s="1" t="n"/>
      <c r="L536" s="1" t="n"/>
    </row>
    <row r="537" ht="15.75" customHeight="1" s="311">
      <c r="A537" s="1" t="n"/>
      <c r="B537" s="1" t="n"/>
      <c r="C537" s="1" t="n"/>
      <c r="D537" s="1" t="n"/>
      <c r="E537" s="1" t="n"/>
      <c r="F537" s="1" t="n"/>
      <c r="G537" s="1" t="n"/>
      <c r="H537" s="1" t="n"/>
      <c r="I537" s="1" t="n"/>
      <c r="J537" s="1" t="n"/>
      <c r="K537" s="1" t="n"/>
      <c r="L537" s="1" t="n"/>
    </row>
    <row r="538" ht="15.75" customHeight="1" s="311">
      <c r="A538" s="1" t="n"/>
      <c r="B538" s="1" t="n"/>
      <c r="C538" s="1" t="n"/>
      <c r="D538" s="1" t="n"/>
      <c r="E538" s="1" t="n"/>
      <c r="F538" s="1" t="n"/>
      <c r="G538" s="1" t="n"/>
      <c r="H538" s="1" t="n"/>
      <c r="I538" s="1" t="n"/>
      <c r="J538" s="1" t="n"/>
      <c r="K538" s="1" t="n"/>
      <c r="L538" s="1" t="n"/>
    </row>
    <row r="539" ht="15.75" customHeight="1" s="311">
      <c r="A539" s="1" t="n"/>
      <c r="B539" s="1" t="n"/>
      <c r="C539" s="1" t="n"/>
      <c r="D539" s="1" t="n"/>
      <c r="E539" s="1" t="n"/>
      <c r="F539" s="1" t="n"/>
      <c r="G539" s="1" t="n"/>
      <c r="H539" s="1" t="n"/>
      <c r="I539" s="1" t="n"/>
      <c r="J539" s="1" t="n"/>
      <c r="K539" s="1" t="n"/>
      <c r="L539" s="1" t="n"/>
    </row>
    <row r="540" ht="15.75" customHeight="1" s="311">
      <c r="A540" s="1" t="n"/>
      <c r="B540" s="1" t="n"/>
      <c r="C540" s="1" t="n"/>
      <c r="D540" s="1" t="n"/>
      <c r="E540" s="1" t="n"/>
      <c r="F540" s="1" t="n"/>
      <c r="G540" s="1" t="n"/>
      <c r="H540" s="1" t="n"/>
      <c r="I540" s="1" t="n"/>
      <c r="J540" s="1" t="n"/>
      <c r="K540" s="1" t="n"/>
      <c r="L540" s="1" t="n"/>
    </row>
    <row r="541" ht="15.75" customHeight="1" s="311">
      <c r="A541" s="1" t="n"/>
      <c r="B541" s="1" t="n"/>
      <c r="C541" s="1" t="n"/>
      <c r="D541" s="1" t="n"/>
      <c r="E541" s="1" t="n"/>
      <c r="F541" s="1" t="n"/>
      <c r="G541" s="1" t="n"/>
      <c r="H541" s="1" t="n"/>
      <c r="I541" s="1" t="n"/>
      <c r="J541" s="1" t="n"/>
      <c r="K541" s="1" t="n"/>
      <c r="L541" s="1" t="n"/>
    </row>
    <row r="542" ht="15.75" customHeight="1" s="311">
      <c r="A542" s="1" t="n"/>
      <c r="B542" s="1" t="n"/>
      <c r="C542" s="1" t="n"/>
      <c r="D542" s="1" t="n"/>
      <c r="E542" s="1" t="n"/>
      <c r="F542" s="1" t="n"/>
      <c r="G542" s="1" t="n"/>
      <c r="H542" s="1" t="n"/>
      <c r="I542" s="1" t="n"/>
      <c r="J542" s="1" t="n"/>
      <c r="K542" s="1" t="n"/>
      <c r="L542" s="1" t="n"/>
    </row>
    <row r="543" ht="15.75" customHeight="1" s="311">
      <c r="A543" s="1" t="n"/>
      <c r="B543" s="1" t="n"/>
      <c r="C543" s="1" t="n"/>
      <c r="D543" s="1" t="n"/>
      <c r="E543" s="1" t="n"/>
      <c r="F543" s="1" t="n"/>
      <c r="G543" s="1" t="n"/>
      <c r="H543" s="1" t="n"/>
      <c r="I543" s="1" t="n"/>
      <c r="J543" s="1" t="n"/>
      <c r="K543" s="1" t="n"/>
      <c r="L543" s="1" t="n"/>
    </row>
    <row r="544" ht="15.75" customHeight="1" s="311">
      <c r="A544" s="1" t="n"/>
      <c r="B544" s="1" t="n"/>
      <c r="C544" s="1" t="n"/>
      <c r="D544" s="1" t="n"/>
      <c r="E544" s="1" t="n"/>
      <c r="F544" s="1" t="n"/>
      <c r="G544" s="1" t="n"/>
      <c r="H544" s="1" t="n"/>
      <c r="I544" s="1" t="n"/>
      <c r="J544" s="1" t="n"/>
      <c r="K544" s="1" t="n"/>
      <c r="L544" s="1" t="n"/>
    </row>
    <row r="545" ht="15.75" customHeight="1" s="311">
      <c r="A545" s="1" t="n"/>
      <c r="B545" s="1" t="n"/>
      <c r="C545" s="1" t="n"/>
      <c r="D545" s="1" t="n"/>
      <c r="E545" s="1" t="n"/>
      <c r="F545" s="1" t="n"/>
      <c r="G545" s="1" t="n"/>
      <c r="H545" s="1" t="n"/>
      <c r="I545" s="1" t="n"/>
      <c r="J545" s="1" t="n"/>
      <c r="K545" s="1" t="n"/>
      <c r="L545" s="1" t="n"/>
    </row>
    <row r="546" ht="15.75" customHeight="1" s="311">
      <c r="A546" s="1" t="n"/>
      <c r="B546" s="1" t="n"/>
      <c r="C546" s="1" t="n"/>
      <c r="D546" s="1" t="n"/>
      <c r="E546" s="1" t="n"/>
      <c r="F546" s="1" t="n"/>
      <c r="G546" s="1" t="n"/>
      <c r="H546" s="1" t="n"/>
      <c r="I546" s="1" t="n"/>
      <c r="J546" s="1" t="n"/>
      <c r="K546" s="1" t="n"/>
      <c r="L546" s="1" t="n"/>
    </row>
    <row r="547" ht="15.75" customHeight="1" s="311">
      <c r="A547" s="1" t="n"/>
      <c r="B547" s="1" t="n"/>
      <c r="C547" s="1" t="n"/>
      <c r="D547" s="1" t="n"/>
      <c r="E547" s="1" t="n"/>
      <c r="F547" s="1" t="n"/>
      <c r="G547" s="1" t="n"/>
      <c r="H547" s="1" t="n"/>
      <c r="I547" s="1" t="n"/>
      <c r="J547" s="1" t="n"/>
      <c r="K547" s="1" t="n"/>
      <c r="L547" s="1" t="n"/>
    </row>
    <row r="548" ht="15.75" customHeight="1" s="311">
      <c r="A548" s="1" t="n"/>
      <c r="B548" s="1" t="n"/>
      <c r="C548" s="1" t="n"/>
      <c r="D548" s="1" t="n"/>
      <c r="E548" s="1" t="n"/>
      <c r="F548" s="1" t="n"/>
      <c r="G548" s="1" t="n"/>
      <c r="H548" s="1" t="n"/>
      <c r="I548" s="1" t="n"/>
      <c r="J548" s="1" t="n"/>
      <c r="K548" s="1" t="n"/>
      <c r="L548" s="1" t="n"/>
    </row>
    <row r="549" ht="15.75" customHeight="1" s="311">
      <c r="A549" s="1" t="n"/>
      <c r="B549" s="1" t="n"/>
      <c r="C549" s="1" t="n"/>
      <c r="D549" s="1" t="n"/>
      <c r="E549" s="1" t="n"/>
      <c r="F549" s="1" t="n"/>
      <c r="G549" s="1" t="n"/>
      <c r="H549" s="1" t="n"/>
      <c r="I549" s="1" t="n"/>
      <c r="J549" s="1" t="n"/>
      <c r="K549" s="1" t="n"/>
      <c r="L549" s="1" t="n"/>
    </row>
    <row r="550" ht="15.75" customHeight="1" s="311">
      <c r="A550" s="1" t="n"/>
      <c r="B550" s="1" t="n"/>
      <c r="C550" s="1" t="n"/>
      <c r="D550" s="1" t="n"/>
      <c r="E550" s="1" t="n"/>
      <c r="F550" s="1" t="n"/>
      <c r="G550" s="1" t="n"/>
      <c r="H550" s="1" t="n"/>
      <c r="I550" s="1" t="n"/>
      <c r="J550" s="1" t="n"/>
      <c r="K550" s="1" t="n"/>
      <c r="L550" s="1" t="n"/>
    </row>
    <row r="551" ht="15.75" customHeight="1" s="311">
      <c r="A551" s="1" t="n"/>
      <c r="B551" s="1" t="n"/>
      <c r="C551" s="1" t="n"/>
      <c r="D551" s="1" t="n"/>
      <c r="E551" s="1" t="n"/>
      <c r="F551" s="1" t="n"/>
      <c r="G551" s="1" t="n"/>
      <c r="H551" s="1" t="n"/>
      <c r="I551" s="1" t="n"/>
      <c r="J551" s="1" t="n"/>
      <c r="K551" s="1" t="n"/>
      <c r="L551" s="1" t="n"/>
    </row>
    <row r="552" ht="15.75" customHeight="1" s="311">
      <c r="A552" s="1" t="n"/>
      <c r="B552" s="1" t="n"/>
      <c r="C552" s="1" t="n"/>
      <c r="D552" s="1" t="n"/>
      <c r="E552" s="1" t="n"/>
      <c r="F552" s="1" t="n"/>
      <c r="G552" s="1" t="n"/>
      <c r="H552" s="1" t="n"/>
      <c r="I552" s="1" t="n"/>
      <c r="J552" s="1" t="n"/>
      <c r="K552" s="1" t="n"/>
      <c r="L552" s="1" t="n"/>
    </row>
    <row r="553" ht="15.75" customHeight="1" s="311">
      <c r="A553" s="1" t="n"/>
      <c r="B553" s="1" t="n"/>
      <c r="C553" s="1" t="n"/>
      <c r="D553" s="1" t="n"/>
      <c r="E553" s="1" t="n"/>
      <c r="F553" s="1" t="n"/>
      <c r="G553" s="1" t="n"/>
      <c r="H553" s="1" t="n"/>
      <c r="I553" s="1" t="n"/>
      <c r="J553" s="1" t="n"/>
      <c r="K553" s="1" t="n"/>
      <c r="L553" s="1" t="n"/>
    </row>
    <row r="554" ht="15.75" customHeight="1" s="311">
      <c r="A554" s="1" t="n"/>
      <c r="B554" s="1" t="n"/>
      <c r="C554" s="1" t="n"/>
      <c r="D554" s="1" t="n"/>
      <c r="E554" s="1" t="n"/>
      <c r="F554" s="1" t="n"/>
      <c r="G554" s="1" t="n"/>
      <c r="H554" s="1" t="n"/>
      <c r="I554" s="1" t="n"/>
      <c r="J554" s="1" t="n"/>
      <c r="K554" s="1" t="n"/>
      <c r="L554" s="1" t="n"/>
    </row>
    <row r="555" ht="15.75" customHeight="1" s="311">
      <c r="A555" s="1" t="n"/>
      <c r="B555" s="1" t="n"/>
      <c r="C555" s="1" t="n"/>
      <c r="D555" s="1" t="n"/>
      <c r="E555" s="1" t="n"/>
      <c r="F555" s="1" t="n"/>
      <c r="G555" s="1" t="n"/>
      <c r="H555" s="1" t="n"/>
      <c r="I555" s="1" t="n"/>
      <c r="J555" s="1" t="n"/>
      <c r="K555" s="1" t="n"/>
      <c r="L555" s="1" t="n"/>
    </row>
    <row r="556" ht="15.75" customHeight="1" s="311">
      <c r="A556" s="1" t="n"/>
      <c r="B556" s="1" t="n"/>
      <c r="C556" s="1" t="n"/>
      <c r="D556" s="1" t="n"/>
      <c r="E556" s="1" t="n"/>
      <c r="F556" s="1" t="n"/>
      <c r="G556" s="1" t="n"/>
      <c r="H556" s="1" t="n"/>
      <c r="I556" s="1" t="n"/>
      <c r="J556" s="1" t="n"/>
      <c r="K556" s="1" t="n"/>
      <c r="L556" s="1" t="n"/>
    </row>
    <row r="557" ht="15.75" customHeight="1" s="311">
      <c r="A557" s="1" t="n"/>
      <c r="B557" s="1" t="n"/>
      <c r="C557" s="1" t="n"/>
      <c r="D557" s="1" t="n"/>
      <c r="E557" s="1" t="n"/>
      <c r="F557" s="1" t="n"/>
      <c r="G557" s="1" t="n"/>
      <c r="H557" s="1" t="n"/>
      <c r="I557" s="1" t="n"/>
      <c r="J557" s="1" t="n"/>
      <c r="K557" s="1" t="n"/>
      <c r="L557" s="1" t="n"/>
    </row>
    <row r="558" ht="15.75" customHeight="1" s="311">
      <c r="A558" s="1" t="n"/>
      <c r="B558" s="1" t="n"/>
      <c r="C558" s="1" t="n"/>
      <c r="D558" s="1" t="n"/>
      <c r="E558" s="1" t="n"/>
      <c r="F558" s="1" t="n"/>
      <c r="G558" s="1" t="n"/>
      <c r="H558" s="1" t="n"/>
      <c r="I558" s="1" t="n"/>
      <c r="J558" s="1" t="n"/>
      <c r="K558" s="1" t="n"/>
      <c r="L558" s="1" t="n"/>
    </row>
    <row r="559" ht="15.75" customHeight="1" s="311">
      <c r="A559" s="1" t="n"/>
      <c r="B559" s="1" t="n"/>
      <c r="C559" s="1" t="n"/>
      <c r="D559" s="1" t="n"/>
      <c r="E559" s="1" t="n"/>
      <c r="F559" s="1" t="n"/>
      <c r="G559" s="1" t="n"/>
      <c r="H559" s="1" t="n"/>
      <c r="I559" s="1" t="n"/>
      <c r="J559" s="1" t="n"/>
      <c r="K559" s="1" t="n"/>
      <c r="L559" s="1" t="n"/>
    </row>
    <row r="560" ht="15.75" customHeight="1" s="311">
      <c r="A560" s="1" t="n"/>
      <c r="B560" s="1" t="n"/>
      <c r="C560" s="1" t="n"/>
      <c r="D560" s="1" t="n"/>
      <c r="E560" s="1" t="n"/>
      <c r="F560" s="1" t="n"/>
      <c r="G560" s="1" t="n"/>
      <c r="H560" s="1" t="n"/>
      <c r="I560" s="1" t="n"/>
      <c r="J560" s="1" t="n"/>
      <c r="K560" s="1" t="n"/>
      <c r="L560" s="1" t="n"/>
    </row>
    <row r="561" ht="15.75" customHeight="1" s="311">
      <c r="A561" s="1" t="n"/>
      <c r="B561" s="1" t="n"/>
      <c r="C561" s="1" t="n"/>
      <c r="D561" s="1" t="n"/>
      <c r="E561" s="1" t="n"/>
      <c r="F561" s="1" t="n"/>
      <c r="G561" s="1" t="n"/>
      <c r="H561" s="1" t="n"/>
      <c r="I561" s="1" t="n"/>
      <c r="J561" s="1" t="n"/>
      <c r="K561" s="1" t="n"/>
      <c r="L561" s="1" t="n"/>
    </row>
    <row r="562" ht="15.75" customHeight="1" s="311">
      <c r="A562" s="1" t="n"/>
      <c r="B562" s="1" t="n"/>
      <c r="C562" s="1" t="n"/>
      <c r="D562" s="1" t="n"/>
      <c r="E562" s="1" t="n"/>
      <c r="F562" s="1" t="n"/>
      <c r="G562" s="1" t="n"/>
      <c r="H562" s="1" t="n"/>
      <c r="I562" s="1" t="n"/>
      <c r="J562" s="1" t="n"/>
      <c r="K562" s="1" t="n"/>
      <c r="L562" s="1" t="n"/>
    </row>
    <row r="563" ht="15.75" customHeight="1" s="311">
      <c r="A563" s="1" t="n"/>
      <c r="B563" s="1" t="n"/>
      <c r="C563" s="1" t="n"/>
      <c r="D563" s="1" t="n"/>
      <c r="E563" s="1" t="n"/>
      <c r="F563" s="1" t="n"/>
      <c r="G563" s="1" t="n"/>
      <c r="H563" s="1" t="n"/>
      <c r="I563" s="1" t="n"/>
      <c r="J563" s="1" t="n"/>
      <c r="K563" s="1" t="n"/>
      <c r="L563" s="1" t="n"/>
    </row>
    <row r="564" ht="15.75" customHeight="1" s="311">
      <c r="A564" s="1" t="n"/>
      <c r="B564" s="1" t="n"/>
      <c r="C564" s="1" t="n"/>
      <c r="D564" s="1" t="n"/>
      <c r="E564" s="1" t="n"/>
      <c r="F564" s="1" t="n"/>
      <c r="G564" s="1" t="n"/>
      <c r="H564" s="1" t="n"/>
      <c r="I564" s="1" t="n"/>
      <c r="J564" s="1" t="n"/>
      <c r="K564" s="1" t="n"/>
      <c r="L564" s="1" t="n"/>
    </row>
    <row r="565" ht="15.75" customHeight="1" s="311">
      <c r="A565" s="1" t="n"/>
      <c r="B565" s="1" t="n"/>
      <c r="C565" s="1" t="n"/>
      <c r="D565" s="1" t="n"/>
      <c r="E565" s="1" t="n"/>
      <c r="F565" s="1" t="n"/>
      <c r="G565" s="1" t="n"/>
      <c r="H565" s="1" t="n"/>
      <c r="I565" s="1" t="n"/>
      <c r="J565" s="1" t="n"/>
      <c r="K565" s="1" t="n"/>
      <c r="L565" s="1" t="n"/>
    </row>
    <row r="566" ht="15.75" customHeight="1" s="311">
      <c r="A566" s="1" t="n"/>
      <c r="B566" s="1" t="n"/>
      <c r="C566" s="1" t="n"/>
      <c r="D566" s="1" t="n"/>
      <c r="E566" s="1" t="n"/>
      <c r="F566" s="1" t="n"/>
      <c r="G566" s="1" t="n"/>
      <c r="H566" s="1" t="n"/>
      <c r="I566" s="1" t="n"/>
      <c r="J566" s="1" t="n"/>
      <c r="K566" s="1" t="n"/>
      <c r="L566" s="1" t="n"/>
    </row>
    <row r="567" ht="15.75" customHeight="1" s="311">
      <c r="A567" s="1" t="n"/>
      <c r="B567" s="1" t="n"/>
      <c r="C567" s="1" t="n"/>
      <c r="D567" s="1" t="n"/>
      <c r="E567" s="1" t="n"/>
      <c r="F567" s="1" t="n"/>
      <c r="G567" s="1" t="n"/>
      <c r="H567" s="1" t="n"/>
      <c r="I567" s="1" t="n"/>
      <c r="J567" s="1" t="n"/>
      <c r="K567" s="1" t="n"/>
      <c r="L567" s="1" t="n"/>
    </row>
    <row r="568" ht="15.75" customHeight="1" s="311">
      <c r="A568" s="1" t="n"/>
      <c r="B568" s="1" t="n"/>
      <c r="C568" s="1" t="n"/>
      <c r="D568" s="1" t="n"/>
      <c r="E568" s="1" t="n"/>
      <c r="F568" s="1" t="n"/>
      <c r="G568" s="1" t="n"/>
      <c r="H568" s="1" t="n"/>
      <c r="I568" s="1" t="n"/>
      <c r="J568" s="1" t="n"/>
      <c r="K568" s="1" t="n"/>
      <c r="L568" s="1" t="n"/>
    </row>
    <row r="569" ht="15.75" customHeight="1" s="311">
      <c r="A569" s="1" t="n"/>
      <c r="B569" s="1" t="n"/>
      <c r="C569" s="1" t="n"/>
      <c r="D569" s="1" t="n"/>
      <c r="E569" s="1" t="n"/>
      <c r="F569" s="1" t="n"/>
      <c r="G569" s="1" t="n"/>
      <c r="H569" s="1" t="n"/>
      <c r="I569" s="1" t="n"/>
      <c r="J569" s="1" t="n"/>
      <c r="K569" s="1" t="n"/>
      <c r="L569" s="1" t="n"/>
    </row>
    <row r="570" ht="15.75" customHeight="1" s="311">
      <c r="A570" s="1" t="n"/>
      <c r="B570" s="1" t="n"/>
      <c r="C570" s="1" t="n"/>
      <c r="D570" s="1" t="n"/>
      <c r="E570" s="1" t="n"/>
      <c r="F570" s="1" t="n"/>
      <c r="G570" s="1" t="n"/>
      <c r="H570" s="1" t="n"/>
      <c r="I570" s="1" t="n"/>
      <c r="J570" s="1" t="n"/>
      <c r="K570" s="1" t="n"/>
      <c r="L570" s="1" t="n"/>
    </row>
    <row r="571" ht="15.75" customHeight="1" s="311">
      <c r="A571" s="1" t="n"/>
      <c r="B571" s="1" t="n"/>
      <c r="C571" s="1" t="n"/>
      <c r="D571" s="1" t="n"/>
      <c r="E571" s="1" t="n"/>
      <c r="F571" s="1" t="n"/>
      <c r="G571" s="1" t="n"/>
      <c r="H571" s="1" t="n"/>
      <c r="I571" s="1" t="n"/>
      <c r="J571" s="1" t="n"/>
      <c r="K571" s="1" t="n"/>
      <c r="L571" s="1" t="n"/>
    </row>
    <row r="572" ht="15.75" customHeight="1" s="311">
      <c r="A572" s="1" t="n"/>
      <c r="B572" s="1" t="n"/>
      <c r="C572" s="1" t="n"/>
      <c r="D572" s="1" t="n"/>
      <c r="E572" s="1" t="n"/>
      <c r="F572" s="1" t="n"/>
      <c r="G572" s="1" t="n"/>
      <c r="H572" s="1" t="n"/>
      <c r="I572" s="1" t="n"/>
      <c r="J572" s="1" t="n"/>
      <c r="K572" s="1" t="n"/>
      <c r="L572" s="1" t="n"/>
    </row>
    <row r="573" ht="15.75" customHeight="1" s="311">
      <c r="A573" s="1" t="n"/>
      <c r="B573" s="1" t="n"/>
      <c r="C573" s="1" t="n"/>
      <c r="D573" s="1" t="n"/>
      <c r="E573" s="1" t="n"/>
      <c r="F573" s="1" t="n"/>
      <c r="G573" s="1" t="n"/>
      <c r="H573" s="1" t="n"/>
      <c r="I573" s="1" t="n"/>
      <c r="J573" s="1" t="n"/>
      <c r="K573" s="1" t="n"/>
      <c r="L573" s="1" t="n"/>
    </row>
    <row r="574" ht="15.75" customHeight="1" s="311">
      <c r="A574" s="1" t="n"/>
      <c r="B574" s="1" t="n"/>
      <c r="C574" s="1" t="n"/>
      <c r="D574" s="1" t="n"/>
      <c r="E574" s="1" t="n"/>
      <c r="F574" s="1" t="n"/>
      <c r="G574" s="1" t="n"/>
      <c r="H574" s="1" t="n"/>
      <c r="I574" s="1" t="n"/>
      <c r="J574" s="1" t="n"/>
      <c r="K574" s="1" t="n"/>
      <c r="L574" s="1" t="n"/>
    </row>
    <row r="575" ht="15.75" customHeight="1" s="311">
      <c r="A575" s="1" t="n"/>
      <c r="B575" s="1" t="n"/>
      <c r="C575" s="1" t="n"/>
      <c r="D575" s="1" t="n"/>
      <c r="E575" s="1" t="n"/>
      <c r="F575" s="1" t="n"/>
      <c r="G575" s="1" t="n"/>
      <c r="H575" s="1" t="n"/>
      <c r="I575" s="1" t="n"/>
      <c r="J575" s="1" t="n"/>
      <c r="K575" s="1" t="n"/>
      <c r="L575" s="1" t="n"/>
    </row>
    <row r="576" ht="15.75" customHeight="1" s="311">
      <c r="A576" s="1" t="n"/>
      <c r="B576" s="1" t="n"/>
      <c r="C576" s="1" t="n"/>
      <c r="D576" s="1" t="n"/>
      <c r="E576" s="1" t="n"/>
      <c r="F576" s="1" t="n"/>
      <c r="G576" s="1" t="n"/>
      <c r="H576" s="1" t="n"/>
      <c r="I576" s="1" t="n"/>
      <c r="J576" s="1" t="n"/>
      <c r="K576" s="1" t="n"/>
      <c r="L576" s="1" t="n"/>
    </row>
    <row r="577" ht="15.75" customHeight="1" s="311">
      <c r="A577" s="1" t="n"/>
      <c r="B577" s="1" t="n"/>
      <c r="C577" s="1" t="n"/>
      <c r="D577" s="1" t="n"/>
      <c r="E577" s="1" t="n"/>
      <c r="F577" s="1" t="n"/>
      <c r="G577" s="1" t="n"/>
      <c r="H577" s="1" t="n"/>
      <c r="I577" s="1" t="n"/>
      <c r="J577" s="1" t="n"/>
      <c r="K577" s="1" t="n"/>
      <c r="L577" s="1" t="n"/>
    </row>
    <row r="578" ht="15.75" customHeight="1" s="311">
      <c r="A578" s="1" t="n"/>
      <c r="B578" s="1" t="n"/>
      <c r="C578" s="1" t="n"/>
      <c r="D578" s="1" t="n"/>
      <c r="E578" s="1" t="n"/>
      <c r="F578" s="1" t="n"/>
      <c r="G578" s="1" t="n"/>
      <c r="H578" s="1" t="n"/>
      <c r="I578" s="1" t="n"/>
      <c r="J578" s="1" t="n"/>
      <c r="K578" s="1" t="n"/>
      <c r="L578" s="1" t="n"/>
    </row>
    <row r="579" ht="15.75" customHeight="1" s="311">
      <c r="A579" s="1" t="n"/>
      <c r="B579" s="1" t="n"/>
      <c r="C579" s="1" t="n"/>
      <c r="D579" s="1" t="n"/>
      <c r="E579" s="1" t="n"/>
      <c r="F579" s="1" t="n"/>
      <c r="G579" s="1" t="n"/>
      <c r="H579" s="1" t="n"/>
      <c r="I579" s="1" t="n"/>
      <c r="J579" s="1" t="n"/>
      <c r="K579" s="1" t="n"/>
      <c r="L579" s="1" t="n"/>
    </row>
    <row r="580" ht="15.75" customHeight="1" s="311">
      <c r="A580" s="1" t="n"/>
      <c r="B580" s="1" t="n"/>
      <c r="C580" s="1" t="n"/>
      <c r="D580" s="1" t="n"/>
      <c r="E580" s="1" t="n"/>
      <c r="F580" s="1" t="n"/>
      <c r="G580" s="1" t="n"/>
      <c r="H580" s="1" t="n"/>
      <c r="I580" s="1" t="n"/>
      <c r="J580" s="1" t="n"/>
      <c r="K580" s="1" t="n"/>
      <c r="L580" s="1" t="n"/>
    </row>
    <row r="581" ht="15.75" customHeight="1" s="311">
      <c r="A581" s="1" t="n"/>
      <c r="B581" s="1" t="n"/>
      <c r="C581" s="1" t="n"/>
      <c r="D581" s="1" t="n"/>
      <c r="E581" s="1" t="n"/>
      <c r="F581" s="1" t="n"/>
      <c r="G581" s="1" t="n"/>
      <c r="H581" s="1" t="n"/>
      <c r="I581" s="1" t="n"/>
      <c r="J581" s="1" t="n"/>
      <c r="K581" s="1" t="n"/>
      <c r="L581" s="1" t="n"/>
    </row>
    <row r="582" ht="15.75" customHeight="1" s="311">
      <c r="A582" s="1" t="n"/>
      <c r="B582" s="1" t="n"/>
      <c r="C582" s="1" t="n"/>
      <c r="D582" s="1" t="n"/>
      <c r="E582" s="1" t="n"/>
      <c r="F582" s="1" t="n"/>
      <c r="G582" s="1" t="n"/>
      <c r="H582" s="1" t="n"/>
      <c r="I582" s="1" t="n"/>
      <c r="J582" s="1" t="n"/>
      <c r="K582" s="1" t="n"/>
      <c r="L582" s="1" t="n"/>
    </row>
    <row r="583" ht="15.75" customHeight="1" s="311">
      <c r="A583" s="1" t="n"/>
      <c r="B583" s="1" t="n"/>
      <c r="C583" s="1" t="n"/>
      <c r="D583" s="1" t="n"/>
      <c r="E583" s="1" t="n"/>
      <c r="F583" s="1" t="n"/>
      <c r="G583" s="1" t="n"/>
      <c r="H583" s="1" t="n"/>
      <c r="I583" s="1" t="n"/>
      <c r="J583" s="1" t="n"/>
      <c r="K583" s="1" t="n"/>
      <c r="L583" s="1" t="n"/>
    </row>
    <row r="584" ht="15.75" customHeight="1" s="311">
      <c r="A584" s="1" t="n"/>
      <c r="B584" s="1" t="n"/>
      <c r="C584" s="1" t="n"/>
      <c r="D584" s="1" t="n"/>
      <c r="E584" s="1" t="n"/>
      <c r="F584" s="1" t="n"/>
      <c r="G584" s="1" t="n"/>
      <c r="H584" s="1" t="n"/>
      <c r="I584" s="1" t="n"/>
      <c r="J584" s="1" t="n"/>
      <c r="K584" s="1" t="n"/>
      <c r="L584" s="1" t="n"/>
    </row>
    <row r="585" ht="15.75" customHeight="1" s="311">
      <c r="A585" s="1" t="n"/>
      <c r="B585" s="1" t="n"/>
      <c r="C585" s="1" t="n"/>
      <c r="D585" s="1" t="n"/>
      <c r="E585" s="1" t="n"/>
      <c r="F585" s="1" t="n"/>
      <c r="G585" s="1" t="n"/>
      <c r="H585" s="1" t="n"/>
      <c r="I585" s="1" t="n"/>
      <c r="J585" s="1" t="n"/>
      <c r="K585" s="1" t="n"/>
      <c r="L585" s="1" t="n"/>
    </row>
    <row r="586" ht="15.75" customHeight="1" s="311">
      <c r="A586" s="1" t="n"/>
      <c r="B586" s="1" t="n"/>
      <c r="C586" s="1" t="n"/>
      <c r="D586" s="1" t="n"/>
      <c r="E586" s="1" t="n"/>
      <c r="F586" s="1" t="n"/>
      <c r="G586" s="1" t="n"/>
      <c r="H586" s="1" t="n"/>
      <c r="I586" s="1" t="n"/>
      <c r="J586" s="1" t="n"/>
      <c r="K586" s="1" t="n"/>
      <c r="L586" s="1" t="n"/>
    </row>
    <row r="587" ht="15.75" customHeight="1" s="311">
      <c r="A587" s="1" t="n"/>
      <c r="B587" s="1" t="n"/>
      <c r="C587" s="1" t="n"/>
      <c r="D587" s="1" t="n"/>
      <c r="E587" s="1" t="n"/>
      <c r="F587" s="1" t="n"/>
      <c r="G587" s="1" t="n"/>
      <c r="H587" s="1" t="n"/>
      <c r="I587" s="1" t="n"/>
      <c r="J587" s="1" t="n"/>
      <c r="K587" s="1" t="n"/>
      <c r="L587" s="1" t="n"/>
    </row>
    <row r="588" ht="15.75" customHeight="1" s="311">
      <c r="A588" s="1" t="n"/>
      <c r="B588" s="1" t="n"/>
      <c r="C588" s="1" t="n"/>
      <c r="D588" s="1" t="n"/>
      <c r="E588" s="1" t="n"/>
      <c r="F588" s="1" t="n"/>
      <c r="G588" s="1" t="n"/>
      <c r="H588" s="1" t="n"/>
      <c r="I588" s="1" t="n"/>
      <c r="J588" s="1" t="n"/>
      <c r="K588" s="1" t="n"/>
      <c r="L588" s="1" t="n"/>
    </row>
    <row r="589" ht="15.75" customHeight="1" s="311">
      <c r="A589" s="1" t="n"/>
      <c r="B589" s="1" t="n"/>
      <c r="C589" s="1" t="n"/>
      <c r="D589" s="1" t="n"/>
      <c r="E589" s="1" t="n"/>
      <c r="F589" s="1" t="n"/>
      <c r="G589" s="1" t="n"/>
      <c r="H589" s="1" t="n"/>
      <c r="I589" s="1" t="n"/>
      <c r="J589" s="1" t="n"/>
      <c r="K589" s="1" t="n"/>
      <c r="L589" s="1" t="n"/>
    </row>
    <row r="590" ht="15.75" customHeight="1" s="311">
      <c r="A590" s="1" t="n"/>
      <c r="B590" s="1" t="n"/>
      <c r="C590" s="1" t="n"/>
      <c r="D590" s="1" t="n"/>
      <c r="E590" s="1" t="n"/>
      <c r="F590" s="1" t="n"/>
      <c r="G590" s="1" t="n"/>
      <c r="H590" s="1" t="n"/>
      <c r="I590" s="1" t="n"/>
      <c r="J590" s="1" t="n"/>
      <c r="K590" s="1" t="n"/>
      <c r="L590" s="1" t="n"/>
    </row>
    <row r="591" ht="15.75" customHeight="1" s="311">
      <c r="A591" s="1" t="n"/>
      <c r="B591" s="1" t="n"/>
      <c r="C591" s="1" t="n"/>
      <c r="D591" s="1" t="n"/>
      <c r="E591" s="1" t="n"/>
      <c r="F591" s="1" t="n"/>
      <c r="G591" s="1" t="n"/>
      <c r="H591" s="1" t="n"/>
      <c r="I591" s="1" t="n"/>
      <c r="J591" s="1" t="n"/>
      <c r="K591" s="1" t="n"/>
      <c r="L591" s="1" t="n"/>
    </row>
    <row r="592" ht="15.75" customHeight="1" s="311">
      <c r="A592" s="1" t="n"/>
      <c r="B592" s="1" t="n"/>
      <c r="C592" s="1" t="n"/>
      <c r="D592" s="1" t="n"/>
      <c r="E592" s="1" t="n"/>
      <c r="F592" s="1" t="n"/>
      <c r="G592" s="1" t="n"/>
      <c r="H592" s="1" t="n"/>
      <c r="I592" s="1" t="n"/>
      <c r="J592" s="1" t="n"/>
      <c r="K592" s="1" t="n"/>
      <c r="L592" s="1" t="n"/>
    </row>
    <row r="593" ht="15.75" customHeight="1" s="311">
      <c r="A593" s="1" t="n"/>
      <c r="B593" s="1" t="n"/>
      <c r="C593" s="1" t="n"/>
      <c r="D593" s="1" t="n"/>
      <c r="E593" s="1" t="n"/>
      <c r="F593" s="1" t="n"/>
      <c r="G593" s="1" t="n"/>
      <c r="H593" s="1" t="n"/>
      <c r="I593" s="1" t="n"/>
      <c r="J593" s="1" t="n"/>
      <c r="K593" s="1" t="n"/>
      <c r="L593" s="1" t="n"/>
    </row>
    <row r="594" ht="15.75" customHeight="1" s="311">
      <c r="A594" s="1" t="n"/>
      <c r="B594" s="1" t="n"/>
      <c r="C594" s="1" t="n"/>
      <c r="D594" s="1" t="n"/>
      <c r="E594" s="1" t="n"/>
      <c r="F594" s="1" t="n"/>
      <c r="G594" s="1" t="n"/>
      <c r="H594" s="1" t="n"/>
      <c r="I594" s="1" t="n"/>
      <c r="J594" s="1" t="n"/>
      <c r="K594" s="1" t="n"/>
      <c r="L594" s="1" t="n"/>
    </row>
    <row r="595" ht="15.75" customHeight="1" s="311">
      <c r="A595" s="1" t="n"/>
      <c r="B595" s="1" t="n"/>
      <c r="C595" s="1" t="n"/>
      <c r="D595" s="1" t="n"/>
      <c r="E595" s="1" t="n"/>
      <c r="F595" s="1" t="n"/>
      <c r="G595" s="1" t="n"/>
      <c r="H595" s="1" t="n"/>
      <c r="I595" s="1" t="n"/>
      <c r="J595" s="1" t="n"/>
      <c r="K595" s="1" t="n"/>
      <c r="L595" s="1" t="n"/>
    </row>
    <row r="596" ht="15.75" customHeight="1" s="311">
      <c r="A596" s="1" t="n"/>
      <c r="B596" s="1" t="n"/>
      <c r="C596" s="1" t="n"/>
      <c r="D596" s="1" t="n"/>
      <c r="E596" s="1" t="n"/>
      <c r="F596" s="1" t="n"/>
      <c r="G596" s="1" t="n"/>
      <c r="H596" s="1" t="n"/>
      <c r="I596" s="1" t="n"/>
      <c r="J596" s="1" t="n"/>
      <c r="K596" s="1" t="n"/>
      <c r="L596" s="1" t="n"/>
    </row>
    <row r="597" ht="15.75" customHeight="1" s="311">
      <c r="A597" s="1" t="n"/>
      <c r="B597" s="1" t="n"/>
      <c r="C597" s="1" t="n"/>
      <c r="D597" s="1" t="n"/>
      <c r="E597" s="1" t="n"/>
      <c r="F597" s="1" t="n"/>
      <c r="G597" s="1" t="n"/>
      <c r="H597" s="1" t="n"/>
      <c r="I597" s="1" t="n"/>
      <c r="J597" s="1" t="n"/>
      <c r="K597" s="1" t="n"/>
      <c r="L597" s="1" t="n"/>
    </row>
    <row r="598" ht="15.75" customHeight="1" s="311">
      <c r="A598" s="1" t="n"/>
      <c r="B598" s="1" t="n"/>
      <c r="C598" s="1" t="n"/>
      <c r="D598" s="1" t="n"/>
      <c r="E598" s="1" t="n"/>
      <c r="F598" s="1" t="n"/>
      <c r="G598" s="1" t="n"/>
      <c r="H598" s="1" t="n"/>
      <c r="I598" s="1" t="n"/>
      <c r="J598" s="1" t="n"/>
      <c r="K598" s="1" t="n"/>
      <c r="L598" s="1" t="n"/>
    </row>
    <row r="599" ht="15.75" customHeight="1" s="311">
      <c r="A599" s="1" t="n"/>
      <c r="B599" s="1" t="n"/>
      <c r="C599" s="1" t="n"/>
      <c r="D599" s="1" t="n"/>
      <c r="E599" s="1" t="n"/>
      <c r="F599" s="1" t="n"/>
      <c r="G599" s="1" t="n"/>
      <c r="H599" s="1" t="n"/>
      <c r="I599" s="1" t="n"/>
      <c r="J599" s="1" t="n"/>
      <c r="K599" s="1" t="n"/>
      <c r="L599" s="1" t="n"/>
    </row>
    <row r="600" ht="15.75" customHeight="1" s="311">
      <c r="A600" s="1" t="n"/>
      <c r="B600" s="1" t="n"/>
      <c r="C600" s="1" t="n"/>
      <c r="D600" s="1" t="n"/>
      <c r="E600" s="1" t="n"/>
      <c r="F600" s="1" t="n"/>
      <c r="G600" s="1" t="n"/>
      <c r="H600" s="1" t="n"/>
      <c r="I600" s="1" t="n"/>
      <c r="J600" s="1" t="n"/>
      <c r="K600" s="1" t="n"/>
      <c r="L600" s="1" t="n"/>
    </row>
    <row r="601" ht="15.75" customHeight="1" s="311">
      <c r="A601" s="1" t="n"/>
      <c r="B601" s="1" t="n"/>
      <c r="C601" s="1" t="n"/>
      <c r="D601" s="1" t="n"/>
      <c r="E601" s="1" t="n"/>
      <c r="F601" s="1" t="n"/>
      <c r="G601" s="1" t="n"/>
      <c r="H601" s="1" t="n"/>
      <c r="I601" s="1" t="n"/>
      <c r="J601" s="1" t="n"/>
      <c r="K601" s="1" t="n"/>
      <c r="L601" s="1" t="n"/>
    </row>
    <row r="602" ht="15.75" customHeight="1" s="311">
      <c r="A602" s="1" t="n"/>
      <c r="B602" s="1" t="n"/>
      <c r="C602" s="1" t="n"/>
      <c r="D602" s="1" t="n"/>
      <c r="E602" s="1" t="n"/>
      <c r="F602" s="1" t="n"/>
      <c r="G602" s="1" t="n"/>
      <c r="H602" s="1" t="n"/>
      <c r="I602" s="1" t="n"/>
      <c r="J602" s="1" t="n"/>
      <c r="K602" s="1" t="n"/>
      <c r="L602" s="1" t="n"/>
    </row>
    <row r="603" ht="15.75" customHeight="1" s="311">
      <c r="A603" s="1" t="n"/>
      <c r="B603" s="1" t="n"/>
      <c r="C603" s="1" t="n"/>
      <c r="D603" s="1" t="n"/>
      <c r="E603" s="1" t="n"/>
      <c r="F603" s="1" t="n"/>
      <c r="G603" s="1" t="n"/>
      <c r="H603" s="1" t="n"/>
      <c r="I603" s="1" t="n"/>
      <c r="J603" s="1" t="n"/>
      <c r="K603" s="1" t="n"/>
      <c r="L603" s="1" t="n"/>
    </row>
    <row r="604" ht="15.75" customHeight="1" s="311">
      <c r="A604" s="1" t="n"/>
      <c r="B604" s="1" t="n"/>
      <c r="C604" s="1" t="n"/>
      <c r="D604" s="1" t="n"/>
      <c r="E604" s="1" t="n"/>
      <c r="F604" s="1" t="n"/>
      <c r="G604" s="1" t="n"/>
      <c r="H604" s="1" t="n"/>
      <c r="I604" s="1" t="n"/>
      <c r="J604" s="1" t="n"/>
      <c r="K604" s="1" t="n"/>
      <c r="L604" s="1" t="n"/>
    </row>
    <row r="605" ht="15.75" customHeight="1" s="311">
      <c r="A605" s="1" t="n"/>
      <c r="B605" s="1" t="n"/>
      <c r="C605" s="1" t="n"/>
      <c r="D605" s="1" t="n"/>
      <c r="E605" s="1" t="n"/>
      <c r="F605" s="1" t="n"/>
      <c r="G605" s="1" t="n"/>
      <c r="H605" s="1" t="n"/>
      <c r="I605" s="1" t="n"/>
      <c r="J605" s="1" t="n"/>
      <c r="K605" s="1" t="n"/>
      <c r="L605" s="1" t="n"/>
    </row>
    <row r="606" ht="15.75" customHeight="1" s="311">
      <c r="A606" s="1" t="n"/>
      <c r="B606" s="1" t="n"/>
      <c r="C606" s="1" t="n"/>
      <c r="D606" s="1" t="n"/>
      <c r="E606" s="1" t="n"/>
      <c r="F606" s="1" t="n"/>
      <c r="G606" s="1" t="n"/>
      <c r="H606" s="1" t="n"/>
      <c r="I606" s="1" t="n"/>
      <c r="J606" s="1" t="n"/>
      <c r="K606" s="1" t="n"/>
      <c r="L606" s="1" t="n"/>
    </row>
    <row r="607" ht="15.75" customHeight="1" s="311">
      <c r="A607" s="1" t="n"/>
      <c r="B607" s="1" t="n"/>
      <c r="C607" s="1" t="n"/>
      <c r="D607" s="1" t="n"/>
      <c r="E607" s="1" t="n"/>
      <c r="F607" s="1" t="n"/>
      <c r="G607" s="1" t="n"/>
      <c r="H607" s="1" t="n"/>
      <c r="I607" s="1" t="n"/>
      <c r="J607" s="1" t="n"/>
      <c r="K607" s="1" t="n"/>
      <c r="L607" s="1" t="n"/>
    </row>
    <row r="608" ht="15.75" customHeight="1" s="311">
      <c r="A608" s="1" t="n"/>
      <c r="B608" s="1" t="n"/>
      <c r="C608" s="1" t="n"/>
      <c r="D608" s="1" t="n"/>
      <c r="E608" s="1" t="n"/>
      <c r="F608" s="1" t="n"/>
      <c r="G608" s="1" t="n"/>
      <c r="H608" s="1" t="n"/>
      <c r="I608" s="1" t="n"/>
      <c r="J608" s="1" t="n"/>
      <c r="K608" s="1" t="n"/>
      <c r="L608" s="1" t="n"/>
    </row>
    <row r="609" ht="15.75" customHeight="1" s="311">
      <c r="A609" s="1" t="n"/>
      <c r="B609" s="1" t="n"/>
      <c r="C609" s="1" t="n"/>
      <c r="D609" s="1" t="n"/>
      <c r="E609" s="1" t="n"/>
      <c r="F609" s="1" t="n"/>
      <c r="G609" s="1" t="n"/>
      <c r="H609" s="1" t="n"/>
      <c r="I609" s="1" t="n"/>
      <c r="J609" s="1" t="n"/>
      <c r="K609" s="1" t="n"/>
      <c r="L609" s="1" t="n"/>
    </row>
    <row r="610" ht="15.75" customHeight="1" s="311">
      <c r="A610" s="1" t="n"/>
      <c r="B610" s="1" t="n"/>
      <c r="C610" s="1" t="n"/>
      <c r="D610" s="1" t="n"/>
      <c r="E610" s="1" t="n"/>
      <c r="F610" s="1" t="n"/>
      <c r="G610" s="1" t="n"/>
      <c r="H610" s="1" t="n"/>
      <c r="I610" s="1" t="n"/>
      <c r="J610" s="1" t="n"/>
      <c r="K610" s="1" t="n"/>
      <c r="L610" s="1" t="n"/>
    </row>
    <row r="611" ht="15.75" customHeight="1" s="311">
      <c r="A611" s="1" t="n"/>
      <c r="B611" s="1" t="n"/>
      <c r="C611" s="1" t="n"/>
      <c r="D611" s="1" t="n"/>
      <c r="E611" s="1" t="n"/>
      <c r="F611" s="1" t="n"/>
      <c r="G611" s="1" t="n"/>
      <c r="H611" s="1" t="n"/>
      <c r="I611" s="1" t="n"/>
      <c r="J611" s="1" t="n"/>
      <c r="K611" s="1" t="n"/>
      <c r="L611" s="1" t="n"/>
    </row>
    <row r="612" ht="15.75" customHeight="1" s="311">
      <c r="A612" s="1" t="n"/>
      <c r="B612" s="1" t="n"/>
      <c r="C612" s="1" t="n"/>
      <c r="D612" s="1" t="n"/>
      <c r="E612" s="1" t="n"/>
      <c r="F612" s="1" t="n"/>
      <c r="G612" s="1" t="n"/>
      <c r="H612" s="1" t="n"/>
      <c r="I612" s="1" t="n"/>
      <c r="J612" s="1" t="n"/>
      <c r="K612" s="1" t="n"/>
      <c r="L612" s="1" t="n"/>
    </row>
    <row r="613" ht="15.75" customHeight="1" s="311">
      <c r="A613" s="1" t="n"/>
      <c r="B613" s="1" t="n"/>
      <c r="C613" s="1" t="n"/>
      <c r="D613" s="1" t="n"/>
      <c r="E613" s="1" t="n"/>
      <c r="F613" s="1" t="n"/>
      <c r="G613" s="1" t="n"/>
      <c r="H613" s="1" t="n"/>
      <c r="I613" s="1" t="n"/>
      <c r="J613" s="1" t="n"/>
      <c r="K613" s="1" t="n"/>
      <c r="L613" s="1" t="n"/>
    </row>
    <row r="614" ht="15.75" customHeight="1" s="311">
      <c r="A614" s="1" t="n"/>
      <c r="B614" s="1" t="n"/>
      <c r="C614" s="1" t="n"/>
      <c r="D614" s="1" t="n"/>
      <c r="E614" s="1" t="n"/>
      <c r="F614" s="1" t="n"/>
      <c r="G614" s="1" t="n"/>
      <c r="H614" s="1" t="n"/>
      <c r="I614" s="1" t="n"/>
      <c r="J614" s="1" t="n"/>
      <c r="K614" s="1" t="n"/>
      <c r="L614" s="1" t="n"/>
    </row>
    <row r="615" ht="15.75" customHeight="1" s="311">
      <c r="A615" s="1" t="n"/>
      <c r="B615" s="1" t="n"/>
      <c r="C615" s="1" t="n"/>
      <c r="D615" s="1" t="n"/>
      <c r="E615" s="1" t="n"/>
      <c r="F615" s="1" t="n"/>
      <c r="G615" s="1" t="n"/>
      <c r="H615" s="1" t="n"/>
      <c r="I615" s="1" t="n"/>
      <c r="J615" s="1" t="n"/>
      <c r="K615" s="1" t="n"/>
      <c r="L615" s="1" t="n"/>
    </row>
    <row r="616" ht="15.75" customHeight="1" s="311">
      <c r="A616" s="1" t="n"/>
      <c r="B616" s="1" t="n"/>
      <c r="C616" s="1" t="n"/>
      <c r="D616" s="1" t="n"/>
      <c r="E616" s="1" t="n"/>
      <c r="F616" s="1" t="n"/>
      <c r="G616" s="1" t="n"/>
      <c r="H616" s="1" t="n"/>
      <c r="I616" s="1" t="n"/>
      <c r="J616" s="1" t="n"/>
      <c r="K616" s="1" t="n"/>
      <c r="L616" s="1" t="n"/>
    </row>
    <row r="617" ht="15.75" customHeight="1" s="311">
      <c r="A617" s="1" t="n"/>
      <c r="B617" s="1" t="n"/>
      <c r="C617" s="1" t="n"/>
      <c r="D617" s="1" t="n"/>
      <c r="E617" s="1" t="n"/>
      <c r="F617" s="1" t="n"/>
      <c r="G617" s="1" t="n"/>
      <c r="H617" s="1" t="n"/>
      <c r="I617" s="1" t="n"/>
      <c r="J617" s="1" t="n"/>
      <c r="K617" s="1" t="n"/>
      <c r="L617" s="1" t="n"/>
    </row>
    <row r="618" ht="15.75" customHeight="1" s="311">
      <c r="A618" s="1" t="n"/>
      <c r="B618" s="1" t="n"/>
      <c r="C618" s="1" t="n"/>
      <c r="D618" s="1" t="n"/>
      <c r="E618" s="1" t="n"/>
      <c r="F618" s="1" t="n"/>
      <c r="G618" s="1" t="n"/>
      <c r="H618" s="1" t="n"/>
      <c r="I618" s="1" t="n"/>
      <c r="J618" s="1" t="n"/>
      <c r="K618" s="1" t="n"/>
      <c r="L618" s="1" t="n"/>
    </row>
    <row r="619" ht="15.75" customHeight="1" s="311">
      <c r="A619" s="1" t="n"/>
      <c r="B619" s="1" t="n"/>
      <c r="C619" s="1" t="n"/>
      <c r="D619" s="1" t="n"/>
      <c r="E619" s="1" t="n"/>
      <c r="F619" s="1" t="n"/>
      <c r="G619" s="1" t="n"/>
      <c r="H619" s="1" t="n"/>
      <c r="I619" s="1" t="n"/>
      <c r="J619" s="1" t="n"/>
      <c r="K619" s="1" t="n"/>
      <c r="L619" s="1" t="n"/>
    </row>
    <row r="620" ht="15.75" customHeight="1" s="311">
      <c r="A620" s="1" t="n"/>
      <c r="B620" s="1" t="n"/>
      <c r="C620" s="1" t="n"/>
      <c r="D620" s="1" t="n"/>
      <c r="E620" s="1" t="n"/>
      <c r="F620" s="1" t="n"/>
      <c r="G620" s="1" t="n"/>
      <c r="H620" s="1" t="n"/>
      <c r="I620" s="1" t="n"/>
      <c r="J620" s="1" t="n"/>
      <c r="K620" s="1" t="n"/>
      <c r="L620" s="1" t="n"/>
    </row>
    <row r="621" ht="15.75" customHeight="1" s="311">
      <c r="A621" s="1" t="n"/>
      <c r="B621" s="1" t="n"/>
      <c r="C621" s="1" t="n"/>
      <c r="D621" s="1" t="n"/>
      <c r="E621" s="1" t="n"/>
      <c r="F621" s="1" t="n"/>
      <c r="G621" s="1" t="n"/>
      <c r="H621" s="1" t="n"/>
      <c r="I621" s="1" t="n"/>
      <c r="J621" s="1" t="n"/>
      <c r="K621" s="1" t="n"/>
      <c r="L621" s="1" t="n"/>
    </row>
    <row r="622" ht="15.75" customHeight="1" s="311">
      <c r="A622" s="1" t="n"/>
      <c r="B622" s="1" t="n"/>
      <c r="C622" s="1" t="n"/>
      <c r="D622" s="1" t="n"/>
      <c r="E622" s="1" t="n"/>
      <c r="F622" s="1" t="n"/>
      <c r="G622" s="1" t="n"/>
      <c r="H622" s="1" t="n"/>
      <c r="I622" s="1" t="n"/>
      <c r="J622" s="1" t="n"/>
      <c r="K622" s="1" t="n"/>
      <c r="L622" s="1" t="n"/>
    </row>
    <row r="623" ht="15.75" customHeight="1" s="311">
      <c r="A623" s="1" t="n"/>
      <c r="B623" s="1" t="n"/>
      <c r="C623" s="1" t="n"/>
      <c r="D623" s="1" t="n"/>
      <c r="E623" s="1" t="n"/>
      <c r="F623" s="1" t="n"/>
      <c r="G623" s="1" t="n"/>
      <c r="H623" s="1" t="n"/>
      <c r="I623" s="1" t="n"/>
      <c r="J623" s="1" t="n"/>
      <c r="K623" s="1" t="n"/>
      <c r="L623" s="1" t="n"/>
    </row>
    <row r="624" ht="15.75" customHeight="1" s="311">
      <c r="A624" s="1" t="n"/>
      <c r="B624" s="1" t="n"/>
      <c r="C624" s="1" t="n"/>
      <c r="D624" s="1" t="n"/>
      <c r="E624" s="1" t="n"/>
      <c r="F624" s="1" t="n"/>
      <c r="G624" s="1" t="n"/>
      <c r="H624" s="1" t="n"/>
      <c r="I624" s="1" t="n"/>
      <c r="J624" s="1" t="n"/>
      <c r="K624" s="1" t="n"/>
      <c r="L624" s="1" t="n"/>
    </row>
    <row r="625" ht="15.75" customHeight="1" s="311">
      <c r="A625" s="1" t="n"/>
      <c r="B625" s="1" t="n"/>
      <c r="C625" s="1" t="n"/>
      <c r="D625" s="1" t="n"/>
      <c r="E625" s="1" t="n"/>
      <c r="F625" s="1" t="n"/>
      <c r="G625" s="1" t="n"/>
      <c r="H625" s="1" t="n"/>
      <c r="I625" s="1" t="n"/>
      <c r="J625" s="1" t="n"/>
      <c r="K625" s="1" t="n"/>
      <c r="L625" s="1" t="n"/>
    </row>
    <row r="626" ht="15.75" customHeight="1" s="311">
      <c r="A626" s="1" t="n"/>
      <c r="B626" s="1" t="n"/>
      <c r="C626" s="1" t="n"/>
      <c r="D626" s="1" t="n"/>
      <c r="E626" s="1" t="n"/>
      <c r="F626" s="1" t="n"/>
      <c r="G626" s="1" t="n"/>
      <c r="H626" s="1" t="n"/>
      <c r="I626" s="1" t="n"/>
      <c r="J626" s="1" t="n"/>
      <c r="K626" s="1" t="n"/>
      <c r="L626" s="1" t="n"/>
    </row>
    <row r="627" ht="15.75" customHeight="1" s="311">
      <c r="A627" s="1" t="n"/>
      <c r="B627" s="1" t="n"/>
      <c r="C627" s="1" t="n"/>
      <c r="D627" s="1" t="n"/>
      <c r="E627" s="1" t="n"/>
      <c r="F627" s="1" t="n"/>
      <c r="G627" s="1" t="n"/>
      <c r="H627" s="1" t="n"/>
      <c r="I627" s="1" t="n"/>
      <c r="J627" s="1" t="n"/>
      <c r="K627" s="1" t="n"/>
      <c r="L627" s="1" t="n"/>
    </row>
    <row r="628" ht="15.75" customHeight="1" s="311">
      <c r="A628" s="1" t="n"/>
      <c r="B628" s="1" t="n"/>
      <c r="C628" s="1" t="n"/>
      <c r="D628" s="1" t="n"/>
      <c r="E628" s="1" t="n"/>
      <c r="F628" s="1" t="n"/>
      <c r="G628" s="1" t="n"/>
      <c r="H628" s="1" t="n"/>
      <c r="I628" s="1" t="n"/>
      <c r="J628" s="1" t="n"/>
      <c r="K628" s="1" t="n"/>
      <c r="L628" s="1" t="n"/>
    </row>
    <row r="629" ht="15.75" customHeight="1" s="311">
      <c r="A629" s="1" t="n"/>
      <c r="B629" s="1" t="n"/>
      <c r="C629" s="1" t="n"/>
      <c r="D629" s="1" t="n"/>
      <c r="E629" s="1" t="n"/>
      <c r="F629" s="1" t="n"/>
      <c r="G629" s="1" t="n"/>
      <c r="H629" s="1" t="n"/>
      <c r="I629" s="1" t="n"/>
      <c r="J629" s="1" t="n"/>
      <c r="K629" s="1" t="n"/>
      <c r="L629" s="1" t="n"/>
    </row>
    <row r="630" ht="15.75" customHeight="1" s="311">
      <c r="A630" s="1" t="n"/>
      <c r="B630" s="1" t="n"/>
      <c r="C630" s="1" t="n"/>
      <c r="D630" s="1" t="n"/>
      <c r="E630" s="1" t="n"/>
      <c r="F630" s="1" t="n"/>
      <c r="G630" s="1" t="n"/>
      <c r="H630" s="1" t="n"/>
      <c r="I630" s="1" t="n"/>
      <c r="J630" s="1" t="n"/>
      <c r="K630" s="1" t="n"/>
      <c r="L630" s="1" t="n"/>
    </row>
    <row r="631" ht="15.75" customHeight="1" s="311">
      <c r="A631" s="1" t="n"/>
      <c r="B631" s="1" t="n"/>
      <c r="C631" s="1" t="n"/>
      <c r="D631" s="1" t="n"/>
      <c r="E631" s="1" t="n"/>
      <c r="F631" s="1" t="n"/>
      <c r="G631" s="1" t="n"/>
      <c r="H631" s="1" t="n"/>
      <c r="I631" s="1" t="n"/>
      <c r="J631" s="1" t="n"/>
      <c r="K631" s="1" t="n"/>
      <c r="L631" s="1" t="n"/>
    </row>
    <row r="632" ht="15.75" customHeight="1" s="311">
      <c r="A632" s="1" t="n"/>
      <c r="B632" s="1" t="n"/>
      <c r="C632" s="1" t="n"/>
      <c r="D632" s="1" t="n"/>
      <c r="E632" s="1" t="n"/>
      <c r="F632" s="1" t="n"/>
      <c r="G632" s="1" t="n"/>
      <c r="H632" s="1" t="n"/>
      <c r="I632" s="1" t="n"/>
      <c r="J632" s="1" t="n"/>
      <c r="K632" s="1" t="n"/>
      <c r="L632" s="1" t="n"/>
    </row>
    <row r="633" ht="15.75" customHeight="1" s="311">
      <c r="A633" s="1" t="n"/>
      <c r="B633" s="1" t="n"/>
      <c r="C633" s="1" t="n"/>
      <c r="D633" s="1" t="n"/>
      <c r="E633" s="1" t="n"/>
      <c r="F633" s="1" t="n"/>
      <c r="G633" s="1" t="n"/>
      <c r="H633" s="1" t="n"/>
      <c r="I633" s="1" t="n"/>
      <c r="J633" s="1" t="n"/>
      <c r="K633" s="1" t="n"/>
      <c r="L633" s="1" t="n"/>
    </row>
    <row r="634" ht="15.75" customHeight="1" s="311">
      <c r="A634" s="1" t="n"/>
      <c r="B634" s="1" t="n"/>
      <c r="C634" s="1" t="n"/>
      <c r="D634" s="1" t="n"/>
      <c r="E634" s="1" t="n"/>
      <c r="F634" s="1" t="n"/>
      <c r="G634" s="1" t="n"/>
      <c r="H634" s="1" t="n"/>
      <c r="I634" s="1" t="n"/>
      <c r="J634" s="1" t="n"/>
      <c r="K634" s="1" t="n"/>
      <c r="L634" s="1" t="n"/>
    </row>
    <row r="635" ht="15.75" customHeight="1" s="311">
      <c r="A635" s="1" t="n"/>
      <c r="B635" s="1" t="n"/>
      <c r="C635" s="1" t="n"/>
      <c r="D635" s="1" t="n"/>
      <c r="E635" s="1" t="n"/>
      <c r="F635" s="1" t="n"/>
      <c r="G635" s="1" t="n"/>
      <c r="H635" s="1" t="n"/>
      <c r="I635" s="1" t="n"/>
      <c r="J635" s="1" t="n"/>
      <c r="K635" s="1" t="n"/>
      <c r="L635" s="1" t="n"/>
    </row>
    <row r="636" ht="15.75" customHeight="1" s="311">
      <c r="A636" s="1" t="n"/>
      <c r="B636" s="1" t="n"/>
      <c r="C636" s="1" t="n"/>
      <c r="D636" s="1" t="n"/>
      <c r="E636" s="1" t="n"/>
      <c r="F636" s="1" t="n"/>
      <c r="G636" s="1" t="n"/>
      <c r="H636" s="1" t="n"/>
      <c r="I636" s="1" t="n"/>
      <c r="J636" s="1" t="n"/>
      <c r="K636" s="1" t="n"/>
      <c r="L636" s="1" t="n"/>
    </row>
    <row r="637" ht="15.75" customHeight="1" s="311">
      <c r="A637" s="1" t="n"/>
      <c r="B637" s="1" t="n"/>
      <c r="C637" s="1" t="n"/>
      <c r="D637" s="1" t="n"/>
      <c r="E637" s="1" t="n"/>
      <c r="F637" s="1" t="n"/>
      <c r="G637" s="1" t="n"/>
      <c r="H637" s="1" t="n"/>
      <c r="I637" s="1" t="n"/>
      <c r="J637" s="1" t="n"/>
      <c r="K637" s="1" t="n"/>
      <c r="L637" s="1" t="n"/>
    </row>
    <row r="638" ht="15.75" customHeight="1" s="311">
      <c r="A638" s="1" t="n"/>
      <c r="B638" s="1" t="n"/>
      <c r="C638" s="1" t="n"/>
      <c r="D638" s="1" t="n"/>
      <c r="E638" s="1" t="n"/>
      <c r="F638" s="1" t="n"/>
      <c r="G638" s="1" t="n"/>
      <c r="H638" s="1" t="n"/>
      <c r="I638" s="1" t="n"/>
      <c r="J638" s="1" t="n"/>
      <c r="K638" s="1" t="n"/>
      <c r="L638" s="1" t="n"/>
    </row>
    <row r="639" ht="15.75" customHeight="1" s="311">
      <c r="A639" s="1" t="n"/>
      <c r="B639" s="1" t="n"/>
      <c r="C639" s="1" t="n"/>
      <c r="D639" s="1" t="n"/>
      <c r="E639" s="1" t="n"/>
      <c r="F639" s="1" t="n"/>
      <c r="G639" s="1" t="n"/>
      <c r="H639" s="1" t="n"/>
      <c r="I639" s="1" t="n"/>
      <c r="J639" s="1" t="n"/>
      <c r="K639" s="1" t="n"/>
      <c r="L639" s="1" t="n"/>
    </row>
    <row r="640" ht="15.75" customHeight="1" s="311">
      <c r="A640" s="1" t="n"/>
      <c r="B640" s="1" t="n"/>
      <c r="C640" s="1" t="n"/>
      <c r="D640" s="1" t="n"/>
      <c r="E640" s="1" t="n"/>
      <c r="F640" s="1" t="n"/>
      <c r="G640" s="1" t="n"/>
      <c r="H640" s="1" t="n"/>
      <c r="I640" s="1" t="n"/>
      <c r="J640" s="1" t="n"/>
      <c r="K640" s="1" t="n"/>
      <c r="L640" s="1" t="n"/>
    </row>
    <row r="641" ht="15.75" customHeight="1" s="311">
      <c r="A641" s="1" t="n"/>
      <c r="B641" s="1" t="n"/>
      <c r="C641" s="1" t="n"/>
      <c r="D641" s="1" t="n"/>
      <c r="E641" s="1" t="n"/>
      <c r="F641" s="1" t="n"/>
      <c r="G641" s="1" t="n"/>
      <c r="H641" s="1" t="n"/>
      <c r="I641" s="1" t="n"/>
      <c r="J641" s="1" t="n"/>
      <c r="K641" s="1" t="n"/>
      <c r="L641" s="1" t="n"/>
    </row>
    <row r="642" ht="15.75" customHeight="1" s="311">
      <c r="A642" s="1" t="n"/>
      <c r="B642" s="1" t="n"/>
      <c r="C642" s="1" t="n"/>
      <c r="D642" s="1" t="n"/>
      <c r="E642" s="1" t="n"/>
      <c r="F642" s="1" t="n"/>
      <c r="G642" s="1" t="n"/>
      <c r="H642" s="1" t="n"/>
      <c r="I642" s="1" t="n"/>
      <c r="J642" s="1" t="n"/>
      <c r="K642" s="1" t="n"/>
      <c r="L642" s="1" t="n"/>
    </row>
    <row r="643" ht="15.75" customHeight="1" s="311">
      <c r="A643" s="1" t="n"/>
      <c r="B643" s="1" t="n"/>
      <c r="C643" s="1" t="n"/>
      <c r="D643" s="1" t="n"/>
      <c r="E643" s="1" t="n"/>
      <c r="F643" s="1" t="n"/>
      <c r="G643" s="1" t="n"/>
      <c r="H643" s="1" t="n"/>
      <c r="I643" s="1" t="n"/>
      <c r="J643" s="1" t="n"/>
      <c r="K643" s="1" t="n"/>
      <c r="L643" s="1" t="n"/>
    </row>
    <row r="644" ht="15.75" customHeight="1" s="311">
      <c r="A644" s="1" t="n"/>
      <c r="B644" s="1" t="n"/>
      <c r="C644" s="1" t="n"/>
      <c r="D644" s="1" t="n"/>
      <c r="E644" s="1" t="n"/>
      <c r="F644" s="1" t="n"/>
      <c r="G644" s="1" t="n"/>
      <c r="H644" s="1" t="n"/>
      <c r="I644" s="1" t="n"/>
      <c r="J644" s="1" t="n"/>
      <c r="K644" s="1" t="n"/>
      <c r="L644" s="1" t="n"/>
    </row>
    <row r="645" ht="15.75" customHeight="1" s="311">
      <c r="A645" s="1" t="n"/>
      <c r="B645" s="1" t="n"/>
      <c r="C645" s="1" t="n"/>
      <c r="D645" s="1" t="n"/>
      <c r="E645" s="1" t="n"/>
      <c r="F645" s="1" t="n"/>
      <c r="G645" s="1" t="n"/>
      <c r="H645" s="1" t="n"/>
      <c r="I645" s="1" t="n"/>
      <c r="J645" s="1" t="n"/>
      <c r="K645" s="1" t="n"/>
      <c r="L645" s="1" t="n"/>
    </row>
    <row r="646" ht="15.75" customHeight="1" s="311">
      <c r="A646" s="1" t="n"/>
      <c r="B646" s="1" t="n"/>
      <c r="C646" s="1" t="n"/>
      <c r="D646" s="1" t="n"/>
      <c r="E646" s="1" t="n"/>
      <c r="F646" s="1" t="n"/>
      <c r="G646" s="1" t="n"/>
      <c r="H646" s="1" t="n"/>
      <c r="I646" s="1" t="n"/>
      <c r="J646" s="1" t="n"/>
      <c r="K646" s="1" t="n"/>
      <c r="L646" s="1" t="n"/>
    </row>
    <row r="647" ht="15.75" customHeight="1" s="311">
      <c r="A647" s="1" t="n"/>
      <c r="B647" s="1" t="n"/>
      <c r="C647" s="1" t="n"/>
      <c r="D647" s="1" t="n"/>
      <c r="E647" s="1" t="n"/>
      <c r="F647" s="1" t="n"/>
      <c r="G647" s="1" t="n"/>
      <c r="H647" s="1" t="n"/>
      <c r="I647" s="1" t="n"/>
      <c r="J647" s="1" t="n"/>
      <c r="K647" s="1" t="n"/>
      <c r="L647" s="1" t="n"/>
    </row>
    <row r="648" ht="15.75" customHeight="1" s="311">
      <c r="A648" s="1" t="n"/>
      <c r="B648" s="1" t="n"/>
      <c r="C648" s="1" t="n"/>
      <c r="D648" s="1" t="n"/>
      <c r="E648" s="1" t="n"/>
      <c r="F648" s="1" t="n"/>
      <c r="G648" s="1" t="n"/>
      <c r="H648" s="1" t="n"/>
      <c r="I648" s="1" t="n"/>
      <c r="J648" s="1" t="n"/>
      <c r="K648" s="1" t="n"/>
      <c r="L648" s="1" t="n"/>
    </row>
    <row r="649" ht="15.75" customHeight="1" s="311">
      <c r="A649" s="1" t="n"/>
      <c r="B649" s="1" t="n"/>
      <c r="C649" s="1" t="n"/>
      <c r="D649" s="1" t="n"/>
      <c r="E649" s="1" t="n"/>
      <c r="F649" s="1" t="n"/>
      <c r="G649" s="1" t="n"/>
      <c r="H649" s="1" t="n"/>
      <c r="I649" s="1" t="n"/>
      <c r="J649" s="1" t="n"/>
      <c r="K649" s="1" t="n"/>
      <c r="L649" s="1" t="n"/>
    </row>
    <row r="650" ht="15.75" customHeight="1" s="311">
      <c r="A650" s="1" t="n"/>
      <c r="B650" s="1" t="n"/>
      <c r="C650" s="1" t="n"/>
      <c r="D650" s="1" t="n"/>
      <c r="E650" s="1" t="n"/>
      <c r="F650" s="1" t="n"/>
      <c r="G650" s="1" t="n"/>
      <c r="H650" s="1" t="n"/>
      <c r="I650" s="1" t="n"/>
      <c r="J650" s="1" t="n"/>
      <c r="K650" s="1" t="n"/>
      <c r="L650" s="1" t="n"/>
    </row>
    <row r="651" ht="15.75" customHeight="1" s="311">
      <c r="A651" s="1" t="n"/>
      <c r="B651" s="1" t="n"/>
      <c r="C651" s="1" t="n"/>
      <c r="D651" s="1" t="n"/>
      <c r="E651" s="1" t="n"/>
      <c r="F651" s="1" t="n"/>
      <c r="G651" s="1" t="n"/>
      <c r="H651" s="1" t="n"/>
      <c r="I651" s="1" t="n"/>
      <c r="J651" s="1" t="n"/>
      <c r="K651" s="1" t="n"/>
      <c r="L651" s="1" t="n"/>
    </row>
    <row r="652" ht="15.75" customHeight="1" s="311">
      <c r="A652" s="1" t="n"/>
      <c r="B652" s="1" t="n"/>
      <c r="C652" s="1" t="n"/>
      <c r="D652" s="1" t="n"/>
      <c r="E652" s="1" t="n"/>
      <c r="F652" s="1" t="n"/>
      <c r="G652" s="1" t="n"/>
      <c r="H652" s="1" t="n"/>
      <c r="I652" s="1" t="n"/>
      <c r="J652" s="1" t="n"/>
      <c r="K652" s="1" t="n"/>
      <c r="L652" s="1" t="n"/>
    </row>
    <row r="653" ht="15.75" customHeight="1" s="311">
      <c r="A653" s="1" t="n"/>
      <c r="B653" s="1" t="n"/>
      <c r="C653" s="1" t="n"/>
      <c r="D653" s="1" t="n"/>
      <c r="E653" s="1" t="n"/>
      <c r="F653" s="1" t="n"/>
      <c r="G653" s="1" t="n"/>
      <c r="H653" s="1" t="n"/>
      <c r="I653" s="1" t="n"/>
      <c r="J653" s="1" t="n"/>
      <c r="K653" s="1" t="n"/>
      <c r="L653" s="1" t="n"/>
    </row>
    <row r="654" ht="15.75" customHeight="1" s="311">
      <c r="A654" s="1" t="n"/>
      <c r="B654" s="1" t="n"/>
      <c r="C654" s="1" t="n"/>
      <c r="D654" s="1" t="n"/>
      <c r="E654" s="1" t="n"/>
      <c r="F654" s="1" t="n"/>
      <c r="G654" s="1" t="n"/>
      <c r="H654" s="1" t="n"/>
      <c r="I654" s="1" t="n"/>
      <c r="J654" s="1" t="n"/>
      <c r="K654" s="1" t="n"/>
      <c r="L654" s="1" t="n"/>
    </row>
    <row r="655" ht="15.75" customHeight="1" s="311">
      <c r="A655" s="1" t="n"/>
      <c r="B655" s="1" t="n"/>
      <c r="C655" s="1" t="n"/>
      <c r="D655" s="1" t="n"/>
      <c r="E655" s="1" t="n"/>
      <c r="F655" s="1" t="n"/>
      <c r="G655" s="1" t="n"/>
      <c r="H655" s="1" t="n"/>
      <c r="I655" s="1" t="n"/>
      <c r="J655" s="1" t="n"/>
      <c r="K655" s="1" t="n"/>
      <c r="L655" s="1" t="n"/>
    </row>
    <row r="656" ht="15.75" customHeight="1" s="311">
      <c r="A656" s="1" t="n"/>
      <c r="B656" s="1" t="n"/>
      <c r="C656" s="1" t="n"/>
      <c r="D656" s="1" t="n"/>
      <c r="E656" s="1" t="n"/>
      <c r="F656" s="1" t="n"/>
      <c r="G656" s="1" t="n"/>
      <c r="H656" s="1" t="n"/>
      <c r="I656" s="1" t="n"/>
      <c r="J656" s="1" t="n"/>
      <c r="K656" s="1" t="n"/>
      <c r="L656" s="1" t="n"/>
    </row>
    <row r="657" ht="15.75" customHeight="1" s="311">
      <c r="A657" s="1" t="n"/>
      <c r="B657" s="1" t="n"/>
      <c r="C657" s="1" t="n"/>
      <c r="D657" s="1" t="n"/>
      <c r="E657" s="1" t="n"/>
      <c r="F657" s="1" t="n"/>
      <c r="G657" s="1" t="n"/>
      <c r="H657" s="1" t="n"/>
      <c r="I657" s="1" t="n"/>
      <c r="J657" s="1" t="n"/>
      <c r="K657" s="1" t="n"/>
      <c r="L657" s="1" t="n"/>
    </row>
    <row r="658" ht="15.75" customHeight="1" s="311">
      <c r="A658" s="1" t="n"/>
      <c r="B658" s="1" t="n"/>
      <c r="C658" s="1" t="n"/>
      <c r="D658" s="1" t="n"/>
      <c r="E658" s="1" t="n"/>
      <c r="F658" s="1" t="n"/>
      <c r="G658" s="1" t="n"/>
      <c r="H658" s="1" t="n"/>
      <c r="I658" s="1" t="n"/>
      <c r="J658" s="1" t="n"/>
      <c r="K658" s="1" t="n"/>
      <c r="L658" s="1" t="n"/>
    </row>
    <row r="659" ht="15.75" customHeight="1" s="311">
      <c r="A659" s="1" t="n"/>
      <c r="B659" s="1" t="n"/>
      <c r="C659" s="1" t="n"/>
      <c r="D659" s="1" t="n"/>
      <c r="E659" s="1" t="n"/>
      <c r="F659" s="1" t="n"/>
      <c r="G659" s="1" t="n"/>
      <c r="H659" s="1" t="n"/>
      <c r="I659" s="1" t="n"/>
      <c r="J659" s="1" t="n"/>
      <c r="K659" s="1" t="n"/>
      <c r="L659" s="1" t="n"/>
    </row>
    <row r="660" ht="15.75" customHeight="1" s="311">
      <c r="A660" s="1" t="n"/>
      <c r="B660" s="1" t="n"/>
      <c r="C660" s="1" t="n"/>
      <c r="D660" s="1" t="n"/>
      <c r="E660" s="1" t="n"/>
      <c r="F660" s="1" t="n"/>
      <c r="G660" s="1" t="n"/>
      <c r="H660" s="1" t="n"/>
      <c r="I660" s="1" t="n"/>
      <c r="J660" s="1" t="n"/>
      <c r="K660" s="1" t="n"/>
      <c r="L660" s="1" t="n"/>
    </row>
    <row r="661" ht="15.75" customHeight="1" s="311">
      <c r="A661" s="1" t="n"/>
      <c r="B661" s="1" t="n"/>
      <c r="C661" s="1" t="n"/>
      <c r="D661" s="1" t="n"/>
      <c r="E661" s="1" t="n"/>
      <c r="F661" s="1" t="n"/>
      <c r="G661" s="1" t="n"/>
      <c r="H661" s="1" t="n"/>
      <c r="I661" s="1" t="n"/>
      <c r="J661" s="1" t="n"/>
      <c r="K661" s="1" t="n"/>
      <c r="L661" s="1" t="n"/>
    </row>
    <row r="662" ht="15.75" customHeight="1" s="311">
      <c r="A662" s="1" t="n"/>
      <c r="B662" s="1" t="n"/>
      <c r="C662" s="1" t="n"/>
      <c r="D662" s="1" t="n"/>
      <c r="E662" s="1" t="n"/>
      <c r="F662" s="1" t="n"/>
      <c r="G662" s="1" t="n"/>
      <c r="H662" s="1" t="n"/>
      <c r="I662" s="1" t="n"/>
      <c r="J662" s="1" t="n"/>
      <c r="K662" s="1" t="n"/>
      <c r="L662" s="1" t="n"/>
    </row>
    <row r="663" ht="15.75" customHeight="1" s="311">
      <c r="A663" s="1" t="n"/>
      <c r="B663" s="1" t="n"/>
      <c r="C663" s="1" t="n"/>
      <c r="D663" s="1" t="n"/>
      <c r="E663" s="1" t="n"/>
      <c r="F663" s="1" t="n"/>
      <c r="G663" s="1" t="n"/>
      <c r="H663" s="1" t="n"/>
      <c r="I663" s="1" t="n"/>
      <c r="J663" s="1" t="n"/>
      <c r="K663" s="1" t="n"/>
      <c r="L663" s="1" t="n"/>
    </row>
    <row r="664" ht="15.75" customHeight="1" s="311">
      <c r="A664" s="1" t="n"/>
      <c r="B664" s="1" t="n"/>
      <c r="C664" s="1" t="n"/>
      <c r="D664" s="1" t="n"/>
      <c r="E664" s="1" t="n"/>
      <c r="F664" s="1" t="n"/>
      <c r="G664" s="1" t="n"/>
      <c r="H664" s="1" t="n"/>
      <c r="I664" s="1" t="n"/>
      <c r="J664" s="1" t="n"/>
      <c r="K664" s="1" t="n"/>
      <c r="L664" s="1" t="n"/>
    </row>
    <row r="665" ht="15.75" customHeight="1" s="311">
      <c r="A665" s="1" t="n"/>
      <c r="B665" s="1" t="n"/>
      <c r="C665" s="1" t="n"/>
      <c r="D665" s="1" t="n"/>
      <c r="E665" s="1" t="n"/>
      <c r="F665" s="1" t="n"/>
      <c r="G665" s="1" t="n"/>
      <c r="H665" s="1" t="n"/>
      <c r="I665" s="1" t="n"/>
      <c r="J665" s="1" t="n"/>
      <c r="K665" s="1" t="n"/>
      <c r="L665" s="1" t="n"/>
    </row>
    <row r="666" ht="15.75" customHeight="1" s="311">
      <c r="A666" s="1" t="n"/>
      <c r="B666" s="1" t="n"/>
      <c r="C666" s="1" t="n"/>
      <c r="D666" s="1" t="n"/>
      <c r="E666" s="1" t="n"/>
      <c r="F666" s="1" t="n"/>
      <c r="G666" s="1" t="n"/>
      <c r="H666" s="1" t="n"/>
      <c r="I666" s="1" t="n"/>
      <c r="J666" s="1" t="n"/>
      <c r="K666" s="1" t="n"/>
      <c r="L666" s="1" t="n"/>
    </row>
    <row r="667" ht="15.75" customHeight="1" s="311">
      <c r="A667" s="1" t="n"/>
      <c r="B667" s="1" t="n"/>
      <c r="C667" s="1" t="n"/>
      <c r="D667" s="1" t="n"/>
      <c r="E667" s="1" t="n"/>
      <c r="F667" s="1" t="n"/>
      <c r="G667" s="1" t="n"/>
      <c r="H667" s="1" t="n"/>
      <c r="I667" s="1" t="n"/>
      <c r="J667" s="1" t="n"/>
      <c r="K667" s="1" t="n"/>
      <c r="L667" s="1" t="n"/>
    </row>
    <row r="668" ht="15.75" customHeight="1" s="311">
      <c r="A668" s="1" t="n"/>
      <c r="B668" s="1" t="n"/>
      <c r="C668" s="1" t="n"/>
      <c r="D668" s="1" t="n"/>
      <c r="E668" s="1" t="n"/>
      <c r="F668" s="1" t="n"/>
      <c r="G668" s="1" t="n"/>
      <c r="H668" s="1" t="n"/>
      <c r="I668" s="1" t="n"/>
      <c r="J668" s="1" t="n"/>
      <c r="K668" s="1" t="n"/>
      <c r="L668" s="1" t="n"/>
    </row>
    <row r="669" ht="15.75" customHeight="1" s="311">
      <c r="A669" s="1" t="n"/>
      <c r="B669" s="1" t="n"/>
      <c r="C669" s="1" t="n"/>
      <c r="D669" s="1" t="n"/>
      <c r="E669" s="1" t="n"/>
      <c r="F669" s="1" t="n"/>
      <c r="G669" s="1" t="n"/>
      <c r="H669" s="1" t="n"/>
      <c r="I669" s="1" t="n"/>
      <c r="J669" s="1" t="n"/>
      <c r="K669" s="1" t="n"/>
      <c r="L669" s="1" t="n"/>
    </row>
    <row r="670" ht="15.75" customHeight="1" s="311">
      <c r="A670" s="1" t="n"/>
      <c r="B670" s="1" t="n"/>
      <c r="C670" s="1" t="n"/>
      <c r="D670" s="1" t="n"/>
      <c r="E670" s="1" t="n"/>
      <c r="F670" s="1" t="n"/>
      <c r="G670" s="1" t="n"/>
      <c r="H670" s="1" t="n"/>
      <c r="I670" s="1" t="n"/>
      <c r="J670" s="1" t="n"/>
      <c r="K670" s="1" t="n"/>
      <c r="L670" s="1" t="n"/>
    </row>
    <row r="671" ht="15.75" customHeight="1" s="311">
      <c r="A671" s="1" t="n"/>
      <c r="B671" s="1" t="n"/>
      <c r="C671" s="1" t="n"/>
      <c r="D671" s="1" t="n"/>
      <c r="E671" s="1" t="n"/>
      <c r="F671" s="1" t="n"/>
      <c r="G671" s="1" t="n"/>
      <c r="H671" s="1" t="n"/>
      <c r="I671" s="1" t="n"/>
      <c r="J671" s="1" t="n"/>
      <c r="K671" s="1" t="n"/>
      <c r="L671" s="1" t="n"/>
    </row>
    <row r="672" ht="15.75" customHeight="1" s="311">
      <c r="A672" s="1" t="n"/>
      <c r="B672" s="1" t="n"/>
      <c r="C672" s="1" t="n"/>
      <c r="D672" s="1" t="n"/>
      <c r="E672" s="1" t="n"/>
      <c r="F672" s="1" t="n"/>
      <c r="G672" s="1" t="n"/>
      <c r="H672" s="1" t="n"/>
      <c r="I672" s="1" t="n"/>
      <c r="J672" s="1" t="n"/>
      <c r="K672" s="1" t="n"/>
      <c r="L672" s="1" t="n"/>
    </row>
    <row r="673" ht="15.75" customHeight="1" s="311">
      <c r="A673" s="1" t="n"/>
      <c r="B673" s="1" t="n"/>
      <c r="C673" s="1" t="n"/>
      <c r="D673" s="1" t="n"/>
      <c r="E673" s="1" t="n"/>
      <c r="F673" s="1" t="n"/>
      <c r="G673" s="1" t="n"/>
      <c r="H673" s="1" t="n"/>
      <c r="I673" s="1" t="n"/>
      <c r="J673" s="1" t="n"/>
      <c r="K673" s="1" t="n"/>
      <c r="L673" s="1" t="n"/>
    </row>
    <row r="674" ht="15.75" customHeight="1" s="311">
      <c r="A674" s="1" t="n"/>
      <c r="B674" s="1" t="n"/>
      <c r="C674" s="1" t="n"/>
      <c r="D674" s="1" t="n"/>
      <c r="E674" s="1" t="n"/>
      <c r="F674" s="1" t="n"/>
      <c r="G674" s="1" t="n"/>
      <c r="H674" s="1" t="n"/>
      <c r="I674" s="1" t="n"/>
      <c r="J674" s="1" t="n"/>
      <c r="K674" s="1" t="n"/>
      <c r="L674" s="1" t="n"/>
    </row>
    <row r="675" ht="15.75" customHeight="1" s="311">
      <c r="A675" s="1" t="n"/>
      <c r="B675" s="1" t="n"/>
      <c r="C675" s="1" t="n"/>
      <c r="D675" s="1" t="n"/>
      <c r="E675" s="1" t="n"/>
      <c r="F675" s="1" t="n"/>
      <c r="G675" s="1" t="n"/>
      <c r="H675" s="1" t="n"/>
      <c r="I675" s="1" t="n"/>
      <c r="J675" s="1" t="n"/>
      <c r="K675" s="1" t="n"/>
      <c r="L675" s="1" t="n"/>
    </row>
    <row r="676" ht="15.75" customHeight="1" s="311">
      <c r="A676" s="1" t="n"/>
      <c r="B676" s="1" t="n"/>
      <c r="C676" s="1" t="n"/>
      <c r="D676" s="1" t="n"/>
      <c r="E676" s="1" t="n"/>
      <c r="F676" s="1" t="n"/>
      <c r="G676" s="1" t="n"/>
      <c r="H676" s="1" t="n"/>
      <c r="I676" s="1" t="n"/>
      <c r="J676" s="1" t="n"/>
      <c r="K676" s="1" t="n"/>
      <c r="L676" s="1" t="n"/>
    </row>
    <row r="677" ht="15.75" customHeight="1" s="311">
      <c r="A677" s="1" t="n"/>
      <c r="B677" s="1" t="n"/>
      <c r="C677" s="1" t="n"/>
      <c r="D677" s="1" t="n"/>
      <c r="E677" s="1" t="n"/>
      <c r="F677" s="1" t="n"/>
      <c r="G677" s="1" t="n"/>
      <c r="H677" s="1" t="n"/>
      <c r="I677" s="1" t="n"/>
      <c r="J677" s="1" t="n"/>
      <c r="K677" s="1" t="n"/>
      <c r="L677" s="1" t="n"/>
    </row>
    <row r="678" ht="15.75" customHeight="1" s="311">
      <c r="A678" s="1" t="n"/>
      <c r="B678" s="1" t="n"/>
      <c r="C678" s="1" t="n"/>
      <c r="D678" s="1" t="n"/>
      <c r="E678" s="1" t="n"/>
      <c r="F678" s="1" t="n"/>
      <c r="G678" s="1" t="n"/>
      <c r="H678" s="1" t="n"/>
      <c r="I678" s="1" t="n"/>
      <c r="J678" s="1" t="n"/>
      <c r="K678" s="1" t="n"/>
      <c r="L678" s="1" t="n"/>
    </row>
    <row r="679" ht="15.75" customHeight="1" s="311">
      <c r="A679" s="1" t="n"/>
      <c r="B679" s="1" t="n"/>
      <c r="C679" s="1" t="n"/>
      <c r="D679" s="1" t="n"/>
      <c r="E679" s="1" t="n"/>
      <c r="F679" s="1" t="n"/>
      <c r="G679" s="1" t="n"/>
      <c r="H679" s="1" t="n"/>
      <c r="I679" s="1" t="n"/>
      <c r="J679" s="1" t="n"/>
      <c r="K679" s="1" t="n"/>
      <c r="L679" s="1" t="n"/>
    </row>
    <row r="680" ht="15.75" customHeight="1" s="311">
      <c r="A680" s="1" t="n"/>
      <c r="B680" s="1" t="n"/>
      <c r="C680" s="1" t="n"/>
      <c r="D680" s="1" t="n"/>
      <c r="E680" s="1" t="n"/>
      <c r="F680" s="1" t="n"/>
      <c r="G680" s="1" t="n"/>
      <c r="H680" s="1" t="n"/>
      <c r="I680" s="1" t="n"/>
      <c r="J680" s="1" t="n"/>
      <c r="K680" s="1" t="n"/>
      <c r="L680" s="1" t="n"/>
    </row>
    <row r="681" ht="15.75" customHeight="1" s="311">
      <c r="A681" s="1" t="n"/>
      <c r="B681" s="1" t="n"/>
      <c r="C681" s="1" t="n"/>
      <c r="D681" s="1" t="n"/>
      <c r="E681" s="1" t="n"/>
      <c r="F681" s="1" t="n"/>
      <c r="G681" s="1" t="n"/>
      <c r="H681" s="1" t="n"/>
      <c r="I681" s="1" t="n"/>
      <c r="J681" s="1" t="n"/>
      <c r="K681" s="1" t="n"/>
      <c r="L681" s="1" t="n"/>
    </row>
    <row r="682" ht="15.75" customHeight="1" s="311">
      <c r="A682" s="1" t="n"/>
      <c r="B682" s="1" t="n"/>
      <c r="C682" s="1" t="n"/>
      <c r="D682" s="1" t="n"/>
      <c r="E682" s="1" t="n"/>
      <c r="F682" s="1" t="n"/>
      <c r="G682" s="1" t="n"/>
      <c r="H682" s="1" t="n"/>
      <c r="I682" s="1" t="n"/>
      <c r="J682" s="1" t="n"/>
      <c r="K682" s="1" t="n"/>
      <c r="L682" s="1" t="n"/>
    </row>
    <row r="683" ht="15.75" customHeight="1" s="311">
      <c r="A683" s="1" t="n"/>
      <c r="B683" s="1" t="n"/>
      <c r="C683" s="1" t="n"/>
      <c r="D683" s="1" t="n"/>
      <c r="E683" s="1" t="n"/>
      <c r="F683" s="1" t="n"/>
      <c r="G683" s="1" t="n"/>
      <c r="H683" s="1" t="n"/>
      <c r="I683" s="1" t="n"/>
      <c r="J683" s="1" t="n"/>
      <c r="K683" s="1" t="n"/>
      <c r="L683" s="1" t="n"/>
    </row>
    <row r="684" ht="15.75" customHeight="1" s="311">
      <c r="A684" s="1" t="n"/>
      <c r="B684" s="1" t="n"/>
      <c r="C684" s="1" t="n"/>
      <c r="D684" s="1" t="n"/>
      <c r="E684" s="1" t="n"/>
      <c r="F684" s="1" t="n"/>
      <c r="G684" s="1" t="n"/>
      <c r="H684" s="1" t="n"/>
      <c r="I684" s="1" t="n"/>
      <c r="J684" s="1" t="n"/>
      <c r="K684" s="1" t="n"/>
      <c r="L684" s="1" t="n"/>
    </row>
    <row r="685" ht="15.75" customHeight="1" s="311">
      <c r="A685" s="1" t="n"/>
      <c r="B685" s="1" t="n"/>
      <c r="C685" s="1" t="n"/>
      <c r="D685" s="1" t="n"/>
      <c r="E685" s="1" t="n"/>
      <c r="F685" s="1" t="n"/>
      <c r="G685" s="1" t="n"/>
      <c r="H685" s="1" t="n"/>
      <c r="I685" s="1" t="n"/>
      <c r="J685" s="1" t="n"/>
      <c r="K685" s="1" t="n"/>
      <c r="L685" s="1" t="n"/>
    </row>
    <row r="686" ht="15.75" customHeight="1" s="311">
      <c r="A686" s="1" t="n"/>
      <c r="B686" s="1" t="n"/>
      <c r="C686" s="1" t="n"/>
      <c r="D686" s="1" t="n"/>
      <c r="E686" s="1" t="n"/>
      <c r="F686" s="1" t="n"/>
      <c r="G686" s="1" t="n"/>
      <c r="H686" s="1" t="n"/>
      <c r="I686" s="1" t="n"/>
      <c r="J686" s="1" t="n"/>
      <c r="K686" s="1" t="n"/>
      <c r="L686" s="1" t="n"/>
    </row>
    <row r="687" ht="15.75" customHeight="1" s="311">
      <c r="A687" s="1" t="n"/>
      <c r="B687" s="1" t="n"/>
      <c r="C687" s="1" t="n"/>
      <c r="D687" s="1" t="n"/>
      <c r="E687" s="1" t="n"/>
      <c r="F687" s="1" t="n"/>
      <c r="G687" s="1" t="n"/>
      <c r="H687" s="1" t="n"/>
      <c r="I687" s="1" t="n"/>
      <c r="J687" s="1" t="n"/>
      <c r="K687" s="1" t="n"/>
      <c r="L687" s="1" t="n"/>
    </row>
    <row r="688" ht="15.75" customHeight="1" s="311">
      <c r="A688" s="1" t="n"/>
      <c r="B688" s="1" t="n"/>
      <c r="C688" s="1" t="n"/>
      <c r="D688" s="1" t="n"/>
      <c r="E688" s="1" t="n"/>
      <c r="F688" s="1" t="n"/>
      <c r="G688" s="1" t="n"/>
      <c r="H688" s="1" t="n"/>
      <c r="I688" s="1" t="n"/>
      <c r="J688" s="1" t="n"/>
      <c r="K688" s="1" t="n"/>
      <c r="L688" s="1" t="n"/>
    </row>
    <row r="689" ht="15.75" customHeight="1" s="311">
      <c r="A689" s="1" t="n"/>
      <c r="B689" s="1" t="n"/>
      <c r="C689" s="1" t="n"/>
      <c r="D689" s="1" t="n"/>
      <c r="E689" s="1" t="n"/>
      <c r="F689" s="1" t="n"/>
      <c r="G689" s="1" t="n"/>
      <c r="H689" s="1" t="n"/>
      <c r="I689" s="1" t="n"/>
      <c r="J689" s="1" t="n"/>
      <c r="K689" s="1" t="n"/>
      <c r="L689" s="1" t="n"/>
    </row>
    <row r="690" ht="15.75" customHeight="1" s="311">
      <c r="A690" s="1" t="n"/>
      <c r="B690" s="1" t="n"/>
      <c r="C690" s="1" t="n"/>
      <c r="D690" s="1" t="n"/>
      <c r="E690" s="1" t="n"/>
      <c r="F690" s="1" t="n"/>
      <c r="G690" s="1" t="n"/>
      <c r="H690" s="1" t="n"/>
      <c r="I690" s="1" t="n"/>
      <c r="J690" s="1" t="n"/>
      <c r="K690" s="1" t="n"/>
      <c r="L690" s="1" t="n"/>
    </row>
    <row r="691" ht="15.75" customHeight="1" s="311">
      <c r="A691" s="1" t="n"/>
      <c r="B691" s="1" t="n"/>
      <c r="C691" s="1" t="n"/>
      <c r="D691" s="1" t="n"/>
      <c r="E691" s="1" t="n"/>
      <c r="F691" s="1" t="n"/>
      <c r="G691" s="1" t="n"/>
      <c r="H691" s="1" t="n"/>
      <c r="I691" s="1" t="n"/>
      <c r="J691" s="1" t="n"/>
      <c r="K691" s="1" t="n"/>
      <c r="L691" s="1" t="n"/>
    </row>
    <row r="692" ht="15.75" customHeight="1" s="311">
      <c r="A692" s="1" t="n"/>
      <c r="B692" s="1" t="n"/>
      <c r="C692" s="1" t="n"/>
      <c r="D692" s="1" t="n"/>
      <c r="E692" s="1" t="n"/>
      <c r="F692" s="1" t="n"/>
      <c r="G692" s="1" t="n"/>
      <c r="H692" s="1" t="n"/>
      <c r="I692" s="1" t="n"/>
      <c r="J692" s="1" t="n"/>
      <c r="K692" s="1" t="n"/>
      <c r="L692" s="1" t="n"/>
    </row>
    <row r="693" ht="15.75" customHeight="1" s="311">
      <c r="A693" s="1" t="n"/>
      <c r="B693" s="1" t="n"/>
      <c r="C693" s="1" t="n"/>
      <c r="D693" s="1" t="n"/>
      <c r="E693" s="1" t="n"/>
      <c r="F693" s="1" t="n"/>
      <c r="G693" s="1" t="n"/>
      <c r="H693" s="1" t="n"/>
      <c r="I693" s="1" t="n"/>
      <c r="J693" s="1" t="n"/>
      <c r="K693" s="1" t="n"/>
      <c r="L693" s="1" t="n"/>
    </row>
    <row r="694" ht="15.75" customHeight="1" s="311">
      <c r="A694" s="1" t="n"/>
      <c r="B694" s="1" t="n"/>
      <c r="C694" s="1" t="n"/>
      <c r="D694" s="1" t="n"/>
      <c r="E694" s="1" t="n"/>
      <c r="F694" s="1" t="n"/>
      <c r="G694" s="1" t="n"/>
      <c r="H694" s="1" t="n"/>
      <c r="I694" s="1" t="n"/>
      <c r="J694" s="1" t="n"/>
      <c r="K694" s="1" t="n"/>
      <c r="L694" s="1" t="n"/>
    </row>
    <row r="695" ht="15.75" customHeight="1" s="311">
      <c r="A695" s="1" t="n"/>
      <c r="B695" s="1" t="n"/>
      <c r="C695" s="1" t="n"/>
      <c r="D695" s="1" t="n"/>
      <c r="E695" s="1" t="n"/>
      <c r="F695" s="1" t="n"/>
      <c r="G695" s="1" t="n"/>
      <c r="H695" s="1" t="n"/>
      <c r="I695" s="1" t="n"/>
      <c r="J695" s="1" t="n"/>
      <c r="K695" s="1" t="n"/>
      <c r="L695" s="1" t="n"/>
    </row>
    <row r="696" ht="15.75" customHeight="1" s="311">
      <c r="A696" s="1" t="n"/>
      <c r="B696" s="1" t="n"/>
      <c r="C696" s="1" t="n"/>
      <c r="D696" s="1" t="n"/>
      <c r="E696" s="1" t="n"/>
      <c r="F696" s="1" t="n"/>
      <c r="G696" s="1" t="n"/>
      <c r="H696" s="1" t="n"/>
      <c r="I696" s="1" t="n"/>
      <c r="J696" s="1" t="n"/>
      <c r="K696" s="1" t="n"/>
      <c r="L696" s="1" t="n"/>
    </row>
    <row r="697" ht="15.75" customHeight="1" s="311">
      <c r="A697" s="1" t="n"/>
      <c r="B697" s="1" t="n"/>
      <c r="C697" s="1" t="n"/>
      <c r="D697" s="1" t="n"/>
      <c r="E697" s="1" t="n"/>
      <c r="F697" s="1" t="n"/>
      <c r="G697" s="1" t="n"/>
      <c r="H697" s="1" t="n"/>
      <c r="I697" s="1" t="n"/>
      <c r="J697" s="1" t="n"/>
      <c r="K697" s="1" t="n"/>
      <c r="L697" s="1" t="n"/>
    </row>
    <row r="698" ht="15.75" customHeight="1" s="311">
      <c r="A698" s="1" t="n"/>
      <c r="B698" s="1" t="n"/>
      <c r="C698" s="1" t="n"/>
      <c r="D698" s="1" t="n"/>
      <c r="E698" s="1" t="n"/>
      <c r="F698" s="1" t="n"/>
      <c r="G698" s="1" t="n"/>
      <c r="H698" s="1" t="n"/>
      <c r="I698" s="1" t="n"/>
      <c r="J698" s="1" t="n"/>
      <c r="K698" s="1" t="n"/>
      <c r="L698" s="1" t="n"/>
    </row>
    <row r="699" ht="15.75" customHeight="1" s="311">
      <c r="A699" s="1" t="n"/>
      <c r="B699" s="1" t="n"/>
      <c r="C699" s="1" t="n"/>
      <c r="D699" s="1" t="n"/>
      <c r="E699" s="1" t="n"/>
      <c r="F699" s="1" t="n"/>
      <c r="G699" s="1" t="n"/>
      <c r="H699" s="1" t="n"/>
      <c r="I699" s="1" t="n"/>
      <c r="J699" s="1" t="n"/>
      <c r="K699" s="1" t="n"/>
      <c r="L699" s="1" t="n"/>
    </row>
    <row r="700" ht="15.75" customHeight="1" s="311">
      <c r="A700" s="1" t="n"/>
      <c r="B700" s="1" t="n"/>
      <c r="C700" s="1" t="n"/>
      <c r="D700" s="1" t="n"/>
      <c r="E700" s="1" t="n"/>
      <c r="F700" s="1" t="n"/>
      <c r="G700" s="1" t="n"/>
      <c r="H700" s="1" t="n"/>
      <c r="I700" s="1" t="n"/>
      <c r="J700" s="1" t="n"/>
      <c r="K700" s="1" t="n"/>
      <c r="L700" s="1" t="n"/>
    </row>
    <row r="701" ht="15.75" customHeight="1" s="311">
      <c r="A701" s="1" t="n"/>
      <c r="B701" s="1" t="n"/>
      <c r="C701" s="1" t="n"/>
      <c r="D701" s="1" t="n"/>
      <c r="E701" s="1" t="n"/>
      <c r="F701" s="1" t="n"/>
      <c r="G701" s="1" t="n"/>
      <c r="H701" s="1" t="n"/>
      <c r="I701" s="1" t="n"/>
      <c r="J701" s="1" t="n"/>
      <c r="K701" s="1" t="n"/>
      <c r="L701" s="1" t="n"/>
    </row>
    <row r="702" ht="15.75" customHeight="1" s="311">
      <c r="A702" s="1" t="n"/>
      <c r="B702" s="1" t="n"/>
      <c r="C702" s="1" t="n"/>
      <c r="D702" s="1" t="n"/>
      <c r="E702" s="1" t="n"/>
      <c r="F702" s="1" t="n"/>
      <c r="G702" s="1" t="n"/>
      <c r="H702" s="1" t="n"/>
      <c r="I702" s="1" t="n"/>
      <c r="J702" s="1" t="n"/>
      <c r="K702" s="1" t="n"/>
      <c r="L702" s="1" t="n"/>
    </row>
    <row r="703" ht="15.75" customHeight="1" s="311">
      <c r="A703" s="1" t="n"/>
      <c r="B703" s="1" t="n"/>
      <c r="C703" s="1" t="n"/>
      <c r="D703" s="1" t="n"/>
      <c r="E703" s="1" t="n"/>
      <c r="F703" s="1" t="n"/>
      <c r="G703" s="1" t="n"/>
      <c r="H703" s="1" t="n"/>
      <c r="I703" s="1" t="n"/>
      <c r="J703" s="1" t="n"/>
      <c r="K703" s="1" t="n"/>
      <c r="L703" s="1" t="n"/>
    </row>
    <row r="704" ht="15.75" customHeight="1" s="311">
      <c r="A704" s="1" t="n"/>
      <c r="B704" s="1" t="n"/>
      <c r="C704" s="1" t="n"/>
      <c r="D704" s="1" t="n"/>
      <c r="E704" s="1" t="n"/>
      <c r="F704" s="1" t="n"/>
      <c r="G704" s="1" t="n"/>
      <c r="H704" s="1" t="n"/>
      <c r="I704" s="1" t="n"/>
      <c r="J704" s="1" t="n"/>
      <c r="K704" s="1" t="n"/>
      <c r="L704" s="1" t="n"/>
    </row>
    <row r="705" ht="15.75" customHeight="1" s="311">
      <c r="A705" s="1" t="n"/>
      <c r="B705" s="1" t="n"/>
      <c r="C705" s="1" t="n"/>
      <c r="D705" s="1" t="n"/>
      <c r="E705" s="1" t="n"/>
      <c r="F705" s="1" t="n"/>
      <c r="G705" s="1" t="n"/>
      <c r="H705" s="1" t="n"/>
      <c r="I705" s="1" t="n"/>
      <c r="J705" s="1" t="n"/>
      <c r="K705" s="1" t="n"/>
      <c r="L705" s="1" t="n"/>
    </row>
    <row r="706" ht="15.75" customHeight="1" s="311">
      <c r="A706" s="1" t="n"/>
      <c r="B706" s="1" t="n"/>
      <c r="C706" s="1" t="n"/>
      <c r="D706" s="1" t="n"/>
      <c r="E706" s="1" t="n"/>
      <c r="F706" s="1" t="n"/>
      <c r="G706" s="1" t="n"/>
      <c r="H706" s="1" t="n"/>
      <c r="I706" s="1" t="n"/>
      <c r="J706" s="1" t="n"/>
      <c r="K706" s="1" t="n"/>
      <c r="L706" s="1" t="n"/>
    </row>
    <row r="707" ht="15.75" customHeight="1" s="311">
      <c r="A707" s="1" t="n"/>
      <c r="B707" s="1" t="n"/>
      <c r="C707" s="1" t="n"/>
      <c r="D707" s="1" t="n"/>
      <c r="E707" s="1" t="n"/>
      <c r="F707" s="1" t="n"/>
      <c r="G707" s="1" t="n"/>
      <c r="H707" s="1" t="n"/>
      <c r="I707" s="1" t="n"/>
      <c r="J707" s="1" t="n"/>
      <c r="K707" s="1" t="n"/>
      <c r="L707" s="1" t="n"/>
    </row>
    <row r="708" ht="15.75" customHeight="1" s="311">
      <c r="A708" s="1" t="n"/>
      <c r="B708" s="1" t="n"/>
      <c r="C708" s="1" t="n"/>
      <c r="D708" s="1" t="n"/>
      <c r="E708" s="1" t="n"/>
      <c r="F708" s="1" t="n"/>
      <c r="G708" s="1" t="n"/>
      <c r="H708" s="1" t="n"/>
      <c r="I708" s="1" t="n"/>
      <c r="J708" s="1" t="n"/>
      <c r="K708" s="1" t="n"/>
      <c r="L708" s="1" t="n"/>
    </row>
    <row r="709" ht="15.75" customHeight="1" s="311">
      <c r="A709" s="1" t="n"/>
      <c r="B709" s="1" t="n"/>
      <c r="C709" s="1" t="n"/>
      <c r="D709" s="1" t="n"/>
      <c r="E709" s="1" t="n"/>
      <c r="F709" s="1" t="n"/>
      <c r="G709" s="1" t="n"/>
      <c r="H709" s="1" t="n"/>
      <c r="I709" s="1" t="n"/>
      <c r="J709" s="1" t="n"/>
      <c r="K709" s="1" t="n"/>
      <c r="L709" s="1" t="n"/>
    </row>
    <row r="710" ht="15.75" customHeight="1" s="311">
      <c r="A710" s="1" t="n"/>
      <c r="B710" s="1" t="n"/>
      <c r="C710" s="1" t="n"/>
      <c r="D710" s="1" t="n"/>
      <c r="E710" s="1" t="n"/>
      <c r="F710" s="1" t="n"/>
      <c r="G710" s="1" t="n"/>
      <c r="H710" s="1" t="n"/>
      <c r="I710" s="1" t="n"/>
      <c r="J710" s="1" t="n"/>
      <c r="K710" s="1" t="n"/>
      <c r="L710" s="1" t="n"/>
    </row>
    <row r="711" ht="15.75" customHeight="1" s="311">
      <c r="A711" s="1" t="n"/>
      <c r="B711" s="1" t="n"/>
      <c r="C711" s="1" t="n"/>
      <c r="D711" s="1" t="n"/>
      <c r="E711" s="1" t="n"/>
      <c r="F711" s="1" t="n"/>
      <c r="G711" s="1" t="n"/>
      <c r="H711" s="1" t="n"/>
      <c r="I711" s="1" t="n"/>
      <c r="J711" s="1" t="n"/>
      <c r="K711" s="1" t="n"/>
      <c r="L711" s="1" t="n"/>
    </row>
    <row r="712" ht="15.75" customHeight="1" s="311">
      <c r="A712" s="1" t="n"/>
      <c r="B712" s="1" t="n"/>
      <c r="C712" s="1" t="n"/>
      <c r="D712" s="1" t="n"/>
      <c r="E712" s="1" t="n"/>
      <c r="F712" s="1" t="n"/>
      <c r="G712" s="1" t="n"/>
      <c r="H712" s="1" t="n"/>
      <c r="I712" s="1" t="n"/>
      <c r="J712" s="1" t="n"/>
      <c r="K712" s="1" t="n"/>
      <c r="L712" s="1" t="n"/>
    </row>
    <row r="713" ht="15.75" customHeight="1" s="311">
      <c r="A713" s="1" t="n"/>
      <c r="B713" s="1" t="n"/>
      <c r="C713" s="1" t="n"/>
      <c r="D713" s="1" t="n"/>
      <c r="E713" s="1" t="n"/>
      <c r="F713" s="1" t="n"/>
      <c r="G713" s="1" t="n"/>
      <c r="H713" s="1" t="n"/>
      <c r="I713" s="1" t="n"/>
      <c r="J713" s="1" t="n"/>
      <c r="K713" s="1" t="n"/>
      <c r="L713" s="1" t="n"/>
    </row>
    <row r="714" ht="15.75" customHeight="1" s="311">
      <c r="A714" s="1" t="n"/>
      <c r="B714" s="1" t="n"/>
      <c r="C714" s="1" t="n"/>
      <c r="D714" s="1" t="n"/>
      <c r="E714" s="1" t="n"/>
      <c r="F714" s="1" t="n"/>
      <c r="G714" s="1" t="n"/>
      <c r="H714" s="1" t="n"/>
      <c r="I714" s="1" t="n"/>
      <c r="J714" s="1" t="n"/>
      <c r="K714" s="1" t="n"/>
      <c r="L714" s="1" t="n"/>
    </row>
    <row r="715" ht="15.75" customHeight="1" s="311">
      <c r="A715" s="1" t="n"/>
      <c r="B715" s="1" t="n"/>
      <c r="C715" s="1" t="n"/>
      <c r="D715" s="1" t="n"/>
      <c r="E715" s="1" t="n"/>
      <c r="F715" s="1" t="n"/>
      <c r="G715" s="1" t="n"/>
      <c r="H715" s="1" t="n"/>
      <c r="I715" s="1" t="n"/>
      <c r="J715" s="1" t="n"/>
      <c r="K715" s="1" t="n"/>
      <c r="L715" s="1" t="n"/>
    </row>
    <row r="716" ht="15.75" customHeight="1" s="311">
      <c r="A716" s="1" t="n"/>
      <c r="B716" s="1" t="n"/>
      <c r="C716" s="1" t="n"/>
      <c r="D716" s="1" t="n"/>
      <c r="E716" s="1" t="n"/>
      <c r="F716" s="1" t="n"/>
      <c r="G716" s="1" t="n"/>
      <c r="H716" s="1" t="n"/>
      <c r="I716" s="1" t="n"/>
      <c r="J716" s="1" t="n"/>
      <c r="K716" s="1" t="n"/>
      <c r="L716" s="1" t="n"/>
    </row>
    <row r="717" ht="15.75" customHeight="1" s="311">
      <c r="A717" s="1" t="n"/>
      <c r="B717" s="1" t="n"/>
      <c r="C717" s="1" t="n"/>
      <c r="D717" s="1" t="n"/>
      <c r="E717" s="1" t="n"/>
      <c r="F717" s="1" t="n"/>
      <c r="G717" s="1" t="n"/>
      <c r="H717" s="1" t="n"/>
      <c r="I717" s="1" t="n"/>
      <c r="J717" s="1" t="n"/>
      <c r="K717" s="1" t="n"/>
      <c r="L717" s="1" t="n"/>
    </row>
    <row r="718" ht="15.75" customHeight="1" s="311">
      <c r="A718" s="1" t="n"/>
      <c r="B718" s="1" t="n"/>
      <c r="C718" s="1" t="n"/>
      <c r="D718" s="1" t="n"/>
      <c r="E718" s="1" t="n"/>
      <c r="F718" s="1" t="n"/>
      <c r="G718" s="1" t="n"/>
      <c r="H718" s="1" t="n"/>
      <c r="I718" s="1" t="n"/>
      <c r="J718" s="1" t="n"/>
      <c r="K718" s="1" t="n"/>
      <c r="L718" s="1" t="n"/>
    </row>
    <row r="719" ht="15.75" customHeight="1" s="311">
      <c r="A719" s="1" t="n"/>
      <c r="B719" s="1" t="n"/>
      <c r="C719" s="1" t="n"/>
      <c r="D719" s="1" t="n"/>
      <c r="E719" s="1" t="n"/>
      <c r="F719" s="1" t="n"/>
      <c r="G719" s="1" t="n"/>
      <c r="H719" s="1" t="n"/>
      <c r="I719" s="1" t="n"/>
      <c r="J719" s="1" t="n"/>
      <c r="K719" s="1" t="n"/>
      <c r="L719" s="1" t="n"/>
    </row>
    <row r="720" ht="15.75" customHeight="1" s="311">
      <c r="A720" s="1" t="n"/>
      <c r="B720" s="1" t="n"/>
      <c r="C720" s="1" t="n"/>
      <c r="D720" s="1" t="n"/>
      <c r="E720" s="1" t="n"/>
      <c r="F720" s="1" t="n"/>
      <c r="G720" s="1" t="n"/>
      <c r="H720" s="1" t="n"/>
      <c r="I720" s="1" t="n"/>
      <c r="J720" s="1" t="n"/>
      <c r="K720" s="1" t="n"/>
      <c r="L720" s="1" t="n"/>
    </row>
    <row r="721" ht="15.75" customHeight="1" s="311">
      <c r="A721" s="1" t="n"/>
      <c r="B721" s="1" t="n"/>
      <c r="C721" s="1" t="n"/>
      <c r="D721" s="1" t="n"/>
      <c r="E721" s="1" t="n"/>
      <c r="F721" s="1" t="n"/>
      <c r="G721" s="1" t="n"/>
      <c r="H721" s="1" t="n"/>
      <c r="I721" s="1" t="n"/>
      <c r="J721" s="1" t="n"/>
      <c r="K721" s="1" t="n"/>
      <c r="L721" s="1" t="n"/>
    </row>
    <row r="722" ht="15.75" customHeight="1" s="311">
      <c r="A722" s="1" t="n"/>
      <c r="B722" s="1" t="n"/>
      <c r="C722" s="1" t="n"/>
      <c r="D722" s="1" t="n"/>
      <c r="E722" s="1" t="n"/>
      <c r="F722" s="1" t="n"/>
      <c r="G722" s="1" t="n"/>
      <c r="H722" s="1" t="n"/>
      <c r="I722" s="1" t="n"/>
      <c r="J722" s="1" t="n"/>
      <c r="K722" s="1" t="n"/>
      <c r="L722" s="1" t="n"/>
    </row>
    <row r="723" ht="15.75" customHeight="1" s="311">
      <c r="A723" s="1" t="n"/>
      <c r="B723" s="1" t="n"/>
      <c r="C723" s="1" t="n"/>
      <c r="D723" s="1" t="n"/>
      <c r="E723" s="1" t="n"/>
      <c r="F723" s="1" t="n"/>
      <c r="G723" s="1" t="n"/>
      <c r="H723" s="1" t="n"/>
      <c r="I723" s="1" t="n"/>
      <c r="J723" s="1" t="n"/>
      <c r="K723" s="1" t="n"/>
      <c r="L723" s="1" t="n"/>
    </row>
    <row r="724" ht="15.75" customHeight="1" s="311">
      <c r="A724" s="1" t="n"/>
      <c r="B724" s="1" t="n"/>
      <c r="C724" s="1" t="n"/>
      <c r="D724" s="1" t="n"/>
      <c r="E724" s="1" t="n"/>
      <c r="F724" s="1" t="n"/>
      <c r="G724" s="1" t="n"/>
      <c r="H724" s="1" t="n"/>
      <c r="I724" s="1" t="n"/>
      <c r="J724" s="1" t="n"/>
      <c r="K724" s="1" t="n"/>
      <c r="L724" s="1" t="n"/>
    </row>
    <row r="725" ht="15.75" customHeight="1" s="311">
      <c r="A725" s="1" t="n"/>
      <c r="B725" s="1" t="n"/>
      <c r="C725" s="1" t="n"/>
      <c r="D725" s="1" t="n"/>
      <c r="E725" s="1" t="n"/>
      <c r="F725" s="1" t="n"/>
      <c r="G725" s="1" t="n"/>
      <c r="H725" s="1" t="n"/>
      <c r="I725" s="1" t="n"/>
      <c r="J725" s="1" t="n"/>
      <c r="K725" s="1" t="n"/>
      <c r="L725" s="1" t="n"/>
    </row>
    <row r="726" ht="15.75" customHeight="1" s="311">
      <c r="A726" s="1" t="n"/>
      <c r="B726" s="1" t="n"/>
      <c r="C726" s="1" t="n"/>
      <c r="D726" s="1" t="n"/>
      <c r="E726" s="1" t="n"/>
      <c r="F726" s="1" t="n"/>
      <c r="G726" s="1" t="n"/>
      <c r="H726" s="1" t="n"/>
      <c r="I726" s="1" t="n"/>
      <c r="J726" s="1" t="n"/>
      <c r="K726" s="1" t="n"/>
      <c r="L726" s="1" t="n"/>
    </row>
    <row r="727" ht="15.75" customHeight="1" s="311">
      <c r="A727" s="1" t="n"/>
      <c r="B727" s="1" t="n"/>
      <c r="C727" s="1" t="n"/>
      <c r="D727" s="1" t="n"/>
      <c r="E727" s="1" t="n"/>
      <c r="F727" s="1" t="n"/>
      <c r="G727" s="1" t="n"/>
      <c r="H727" s="1" t="n"/>
      <c r="I727" s="1" t="n"/>
      <c r="J727" s="1" t="n"/>
      <c r="K727" s="1" t="n"/>
      <c r="L727" s="1" t="n"/>
    </row>
    <row r="728" ht="15.75" customHeight="1" s="311">
      <c r="A728" s="1" t="n"/>
      <c r="B728" s="1" t="n"/>
      <c r="C728" s="1" t="n"/>
      <c r="D728" s="1" t="n"/>
      <c r="E728" s="1" t="n"/>
      <c r="F728" s="1" t="n"/>
      <c r="G728" s="1" t="n"/>
      <c r="H728" s="1" t="n"/>
      <c r="I728" s="1" t="n"/>
      <c r="J728" s="1" t="n"/>
      <c r="K728" s="1" t="n"/>
      <c r="L728" s="1" t="n"/>
    </row>
    <row r="729" ht="15.75" customHeight="1" s="311">
      <c r="A729" s="1" t="n"/>
      <c r="B729" s="1" t="n"/>
      <c r="C729" s="1" t="n"/>
      <c r="D729" s="1" t="n"/>
      <c r="E729" s="1" t="n"/>
      <c r="F729" s="1" t="n"/>
      <c r="G729" s="1" t="n"/>
      <c r="H729" s="1" t="n"/>
      <c r="I729" s="1" t="n"/>
      <c r="J729" s="1" t="n"/>
      <c r="K729" s="1" t="n"/>
      <c r="L729" s="1" t="n"/>
    </row>
    <row r="730" ht="15.75" customHeight="1" s="311">
      <c r="A730" s="1" t="n"/>
      <c r="B730" s="1" t="n"/>
      <c r="C730" s="1" t="n"/>
      <c r="D730" s="1" t="n"/>
      <c r="E730" s="1" t="n"/>
      <c r="F730" s="1" t="n"/>
      <c r="G730" s="1" t="n"/>
      <c r="H730" s="1" t="n"/>
      <c r="I730" s="1" t="n"/>
      <c r="J730" s="1" t="n"/>
      <c r="K730" s="1" t="n"/>
      <c r="L730" s="1" t="n"/>
    </row>
    <row r="731" ht="15.75" customHeight="1" s="311">
      <c r="A731" s="1" t="n"/>
      <c r="B731" s="1" t="n"/>
      <c r="C731" s="1" t="n"/>
      <c r="D731" s="1" t="n"/>
      <c r="E731" s="1" t="n"/>
      <c r="F731" s="1" t="n"/>
      <c r="G731" s="1" t="n"/>
      <c r="H731" s="1" t="n"/>
      <c r="I731" s="1" t="n"/>
      <c r="J731" s="1" t="n"/>
      <c r="K731" s="1" t="n"/>
      <c r="L731" s="1" t="n"/>
    </row>
    <row r="732" ht="15.75" customHeight="1" s="311">
      <c r="A732" s="1" t="n"/>
      <c r="B732" s="1" t="n"/>
      <c r="C732" s="1" t="n"/>
      <c r="D732" s="1" t="n"/>
      <c r="E732" s="1" t="n"/>
      <c r="F732" s="1" t="n"/>
      <c r="G732" s="1" t="n"/>
      <c r="H732" s="1" t="n"/>
      <c r="I732" s="1" t="n"/>
      <c r="J732" s="1" t="n"/>
      <c r="K732" s="1" t="n"/>
      <c r="L732" s="1" t="n"/>
    </row>
    <row r="733" ht="15.75" customHeight="1" s="311">
      <c r="A733" s="1" t="n"/>
      <c r="B733" s="1" t="n"/>
      <c r="C733" s="1" t="n"/>
      <c r="D733" s="1" t="n"/>
      <c r="E733" s="1" t="n"/>
      <c r="F733" s="1" t="n"/>
      <c r="G733" s="1" t="n"/>
      <c r="H733" s="1" t="n"/>
      <c r="I733" s="1" t="n"/>
      <c r="J733" s="1" t="n"/>
      <c r="K733" s="1" t="n"/>
      <c r="L733" s="1" t="n"/>
    </row>
    <row r="734" ht="15.75" customHeight="1" s="311">
      <c r="A734" s="1" t="n"/>
      <c r="B734" s="1" t="n"/>
      <c r="C734" s="1" t="n"/>
      <c r="D734" s="1" t="n"/>
      <c r="E734" s="1" t="n"/>
      <c r="F734" s="1" t="n"/>
      <c r="G734" s="1" t="n"/>
      <c r="H734" s="1" t="n"/>
      <c r="I734" s="1" t="n"/>
      <c r="J734" s="1" t="n"/>
      <c r="K734" s="1" t="n"/>
      <c r="L734" s="1" t="n"/>
    </row>
    <row r="735" ht="15.75" customHeight="1" s="311">
      <c r="A735" s="1" t="n"/>
      <c r="B735" s="1" t="n"/>
      <c r="C735" s="1" t="n"/>
      <c r="D735" s="1" t="n"/>
      <c r="E735" s="1" t="n"/>
      <c r="F735" s="1" t="n"/>
      <c r="G735" s="1" t="n"/>
      <c r="H735" s="1" t="n"/>
      <c r="I735" s="1" t="n"/>
      <c r="J735" s="1" t="n"/>
      <c r="K735" s="1" t="n"/>
      <c r="L735" s="1" t="n"/>
    </row>
    <row r="736" ht="15.75" customHeight="1" s="311">
      <c r="A736" s="1" t="n"/>
      <c r="B736" s="1" t="n"/>
      <c r="C736" s="1" t="n"/>
      <c r="D736" s="1" t="n"/>
      <c r="E736" s="1" t="n"/>
      <c r="F736" s="1" t="n"/>
      <c r="G736" s="1" t="n"/>
      <c r="H736" s="1" t="n"/>
      <c r="I736" s="1" t="n"/>
      <c r="J736" s="1" t="n"/>
      <c r="K736" s="1" t="n"/>
      <c r="L736" s="1" t="n"/>
    </row>
    <row r="737" ht="15.75" customHeight="1" s="311">
      <c r="A737" s="1" t="n"/>
      <c r="B737" s="1" t="n"/>
      <c r="C737" s="1" t="n"/>
      <c r="D737" s="1" t="n"/>
      <c r="E737" s="1" t="n"/>
      <c r="F737" s="1" t="n"/>
      <c r="G737" s="1" t="n"/>
      <c r="H737" s="1" t="n"/>
      <c r="I737" s="1" t="n"/>
      <c r="J737" s="1" t="n"/>
      <c r="K737" s="1" t="n"/>
      <c r="L737" s="1" t="n"/>
    </row>
    <row r="738" ht="15.75" customHeight="1" s="311">
      <c r="A738" s="1" t="n"/>
      <c r="B738" s="1" t="n"/>
      <c r="C738" s="1" t="n"/>
      <c r="D738" s="1" t="n"/>
      <c r="E738" s="1" t="n"/>
      <c r="F738" s="1" t="n"/>
      <c r="G738" s="1" t="n"/>
      <c r="H738" s="1" t="n"/>
      <c r="I738" s="1" t="n"/>
      <c r="J738" s="1" t="n"/>
      <c r="K738" s="1" t="n"/>
      <c r="L738" s="1" t="n"/>
    </row>
    <row r="739" ht="15.75" customHeight="1" s="311">
      <c r="A739" s="1" t="n"/>
      <c r="B739" s="1" t="n"/>
      <c r="C739" s="1" t="n"/>
      <c r="D739" s="1" t="n"/>
      <c r="E739" s="1" t="n"/>
      <c r="F739" s="1" t="n"/>
      <c r="G739" s="1" t="n"/>
      <c r="H739" s="1" t="n"/>
      <c r="I739" s="1" t="n"/>
      <c r="J739" s="1" t="n"/>
      <c r="K739" s="1" t="n"/>
      <c r="L739" s="1" t="n"/>
    </row>
    <row r="740" ht="15.75" customHeight="1" s="311">
      <c r="A740" s="1" t="n"/>
      <c r="B740" s="1" t="n"/>
      <c r="C740" s="1" t="n"/>
      <c r="D740" s="1" t="n"/>
      <c r="E740" s="1" t="n"/>
      <c r="F740" s="1" t="n"/>
      <c r="G740" s="1" t="n"/>
      <c r="H740" s="1" t="n"/>
      <c r="I740" s="1" t="n"/>
      <c r="J740" s="1" t="n"/>
      <c r="K740" s="1" t="n"/>
      <c r="L740" s="1" t="n"/>
    </row>
    <row r="741" ht="15.75" customHeight="1" s="311">
      <c r="A741" s="1" t="n"/>
      <c r="B741" s="1" t="n"/>
      <c r="C741" s="1" t="n"/>
      <c r="D741" s="1" t="n"/>
      <c r="E741" s="1" t="n"/>
      <c r="F741" s="1" t="n"/>
      <c r="G741" s="1" t="n"/>
      <c r="H741" s="1" t="n"/>
      <c r="I741" s="1" t="n"/>
      <c r="J741" s="1" t="n"/>
      <c r="K741" s="1" t="n"/>
      <c r="L741" s="1" t="n"/>
    </row>
    <row r="742" ht="15.75" customHeight="1" s="311">
      <c r="A742" s="1" t="n"/>
      <c r="B742" s="1" t="n"/>
      <c r="C742" s="1" t="n"/>
      <c r="D742" s="1" t="n"/>
      <c r="E742" s="1" t="n"/>
      <c r="F742" s="1" t="n"/>
      <c r="G742" s="1" t="n"/>
      <c r="H742" s="1" t="n"/>
      <c r="I742" s="1" t="n"/>
      <c r="J742" s="1" t="n"/>
      <c r="K742" s="1" t="n"/>
      <c r="L742" s="1" t="n"/>
    </row>
    <row r="743" ht="15.75" customHeight="1" s="311">
      <c r="A743" s="1" t="n"/>
      <c r="B743" s="1" t="n"/>
      <c r="C743" s="1" t="n"/>
      <c r="D743" s="1" t="n"/>
      <c r="E743" s="1" t="n"/>
      <c r="F743" s="1" t="n"/>
      <c r="G743" s="1" t="n"/>
      <c r="H743" s="1" t="n"/>
      <c r="I743" s="1" t="n"/>
      <c r="J743" s="1" t="n"/>
      <c r="K743" s="1" t="n"/>
      <c r="L743" s="1" t="n"/>
    </row>
    <row r="744" ht="15.75" customHeight="1" s="311">
      <c r="A744" s="1" t="n"/>
      <c r="B744" s="1" t="n"/>
      <c r="C744" s="1" t="n"/>
      <c r="D744" s="1" t="n"/>
      <c r="E744" s="1" t="n"/>
      <c r="F744" s="1" t="n"/>
      <c r="G744" s="1" t="n"/>
      <c r="H744" s="1" t="n"/>
      <c r="I744" s="1" t="n"/>
      <c r="J744" s="1" t="n"/>
      <c r="K744" s="1" t="n"/>
      <c r="L744" s="1" t="n"/>
    </row>
    <row r="745" ht="15.75" customHeight="1" s="311">
      <c r="A745" s="1" t="n"/>
      <c r="B745" s="1" t="n"/>
      <c r="C745" s="1" t="n"/>
      <c r="D745" s="1" t="n"/>
      <c r="E745" s="1" t="n"/>
      <c r="F745" s="1" t="n"/>
      <c r="G745" s="1" t="n"/>
      <c r="H745" s="1" t="n"/>
      <c r="I745" s="1" t="n"/>
      <c r="J745" s="1" t="n"/>
      <c r="K745" s="1" t="n"/>
      <c r="L745" s="1" t="n"/>
    </row>
    <row r="746" ht="15.75" customHeight="1" s="311">
      <c r="A746" s="1" t="n"/>
      <c r="B746" s="1" t="n"/>
      <c r="C746" s="1" t="n"/>
      <c r="D746" s="1" t="n"/>
      <c r="E746" s="1" t="n"/>
      <c r="F746" s="1" t="n"/>
      <c r="G746" s="1" t="n"/>
      <c r="H746" s="1" t="n"/>
      <c r="I746" s="1" t="n"/>
      <c r="J746" s="1" t="n"/>
      <c r="K746" s="1" t="n"/>
      <c r="L746" s="1" t="n"/>
    </row>
    <row r="747" ht="15.75" customHeight="1" s="311">
      <c r="A747" s="1" t="n"/>
      <c r="B747" s="1" t="n"/>
      <c r="C747" s="1" t="n"/>
      <c r="D747" s="1" t="n"/>
      <c r="E747" s="1" t="n"/>
      <c r="F747" s="1" t="n"/>
      <c r="G747" s="1" t="n"/>
      <c r="H747" s="1" t="n"/>
      <c r="I747" s="1" t="n"/>
      <c r="J747" s="1" t="n"/>
      <c r="K747" s="1" t="n"/>
      <c r="L747" s="1" t="n"/>
    </row>
    <row r="748" ht="15.75" customHeight="1" s="311">
      <c r="A748" s="1" t="n"/>
      <c r="B748" s="1" t="n"/>
      <c r="C748" s="1" t="n"/>
      <c r="D748" s="1" t="n"/>
      <c r="E748" s="1" t="n"/>
      <c r="F748" s="1" t="n"/>
      <c r="G748" s="1" t="n"/>
      <c r="H748" s="1" t="n"/>
      <c r="I748" s="1" t="n"/>
      <c r="J748" s="1" t="n"/>
      <c r="K748" s="1" t="n"/>
      <c r="L748" s="1" t="n"/>
    </row>
    <row r="749" ht="15.75" customHeight="1" s="311">
      <c r="A749" s="1" t="n"/>
      <c r="B749" s="1" t="n"/>
      <c r="C749" s="1" t="n"/>
      <c r="D749" s="1" t="n"/>
      <c r="E749" s="1" t="n"/>
      <c r="F749" s="1" t="n"/>
      <c r="G749" s="1" t="n"/>
      <c r="H749" s="1" t="n"/>
      <c r="I749" s="1" t="n"/>
      <c r="J749" s="1" t="n"/>
      <c r="K749" s="1" t="n"/>
      <c r="L749" s="1" t="n"/>
    </row>
    <row r="750" ht="15.75" customHeight="1" s="311">
      <c r="A750" s="1" t="n"/>
      <c r="B750" s="1" t="n"/>
      <c r="C750" s="1" t="n"/>
      <c r="D750" s="1" t="n"/>
      <c r="E750" s="1" t="n"/>
      <c r="F750" s="1" t="n"/>
      <c r="G750" s="1" t="n"/>
      <c r="H750" s="1" t="n"/>
      <c r="I750" s="1" t="n"/>
      <c r="J750" s="1" t="n"/>
      <c r="K750" s="1" t="n"/>
      <c r="L750" s="1" t="n"/>
    </row>
    <row r="751" ht="15.75" customHeight="1" s="311">
      <c r="A751" s="1" t="n"/>
      <c r="B751" s="1" t="n"/>
      <c r="C751" s="1" t="n"/>
      <c r="D751" s="1" t="n"/>
      <c r="E751" s="1" t="n"/>
      <c r="F751" s="1" t="n"/>
      <c r="G751" s="1" t="n"/>
      <c r="H751" s="1" t="n"/>
      <c r="I751" s="1" t="n"/>
      <c r="J751" s="1" t="n"/>
      <c r="K751" s="1" t="n"/>
      <c r="L751" s="1" t="n"/>
    </row>
    <row r="752" ht="15.75" customHeight="1" s="311">
      <c r="A752" s="1" t="n"/>
      <c r="B752" s="1" t="n"/>
      <c r="C752" s="1" t="n"/>
      <c r="D752" s="1" t="n"/>
      <c r="E752" s="1" t="n"/>
      <c r="F752" s="1" t="n"/>
      <c r="G752" s="1" t="n"/>
      <c r="H752" s="1" t="n"/>
      <c r="I752" s="1" t="n"/>
      <c r="J752" s="1" t="n"/>
      <c r="K752" s="1" t="n"/>
      <c r="L752" s="1" t="n"/>
    </row>
    <row r="753" ht="15.75" customHeight="1" s="311">
      <c r="A753" s="1" t="n"/>
      <c r="B753" s="1" t="n"/>
      <c r="C753" s="1" t="n"/>
      <c r="D753" s="1" t="n"/>
      <c r="E753" s="1" t="n"/>
      <c r="F753" s="1" t="n"/>
      <c r="G753" s="1" t="n"/>
      <c r="H753" s="1" t="n"/>
      <c r="I753" s="1" t="n"/>
      <c r="J753" s="1" t="n"/>
      <c r="K753" s="1" t="n"/>
      <c r="L753" s="1" t="n"/>
    </row>
    <row r="754" ht="15.75" customHeight="1" s="311">
      <c r="A754" s="1" t="n"/>
      <c r="B754" s="1" t="n"/>
      <c r="C754" s="1" t="n"/>
      <c r="D754" s="1" t="n"/>
      <c r="E754" s="1" t="n"/>
      <c r="F754" s="1" t="n"/>
      <c r="G754" s="1" t="n"/>
      <c r="H754" s="1" t="n"/>
      <c r="I754" s="1" t="n"/>
      <c r="J754" s="1" t="n"/>
      <c r="K754" s="1" t="n"/>
      <c r="L754" s="1" t="n"/>
    </row>
    <row r="755" ht="15.75" customHeight="1" s="311">
      <c r="A755" s="1" t="n"/>
      <c r="B755" s="1" t="n"/>
      <c r="C755" s="1" t="n"/>
      <c r="D755" s="1" t="n"/>
      <c r="E755" s="1" t="n"/>
      <c r="F755" s="1" t="n"/>
      <c r="G755" s="1" t="n"/>
      <c r="H755" s="1" t="n"/>
      <c r="I755" s="1" t="n"/>
      <c r="J755" s="1" t="n"/>
      <c r="K755" s="1" t="n"/>
      <c r="L755" s="1" t="n"/>
    </row>
    <row r="756" ht="15.75" customHeight="1" s="311">
      <c r="A756" s="1" t="n"/>
      <c r="B756" s="1" t="n"/>
      <c r="C756" s="1" t="n"/>
      <c r="D756" s="1" t="n"/>
      <c r="E756" s="1" t="n"/>
      <c r="F756" s="1" t="n"/>
      <c r="G756" s="1" t="n"/>
      <c r="H756" s="1" t="n"/>
      <c r="I756" s="1" t="n"/>
      <c r="J756" s="1" t="n"/>
      <c r="K756" s="1" t="n"/>
      <c r="L756" s="1" t="n"/>
    </row>
    <row r="757" ht="15.75" customHeight="1" s="311">
      <c r="A757" s="1" t="n"/>
      <c r="B757" s="1" t="n"/>
      <c r="C757" s="1" t="n"/>
      <c r="D757" s="1" t="n"/>
      <c r="E757" s="1" t="n"/>
      <c r="F757" s="1" t="n"/>
      <c r="G757" s="1" t="n"/>
      <c r="H757" s="1" t="n"/>
      <c r="I757" s="1" t="n"/>
      <c r="J757" s="1" t="n"/>
      <c r="K757" s="1" t="n"/>
      <c r="L757" s="1" t="n"/>
    </row>
    <row r="758" ht="15.75" customHeight="1" s="311">
      <c r="A758" s="1" t="n"/>
      <c r="B758" s="1" t="n"/>
      <c r="C758" s="1" t="n"/>
      <c r="D758" s="1" t="n"/>
      <c r="E758" s="1" t="n"/>
      <c r="F758" s="1" t="n"/>
      <c r="G758" s="1" t="n"/>
      <c r="H758" s="1" t="n"/>
      <c r="I758" s="1" t="n"/>
      <c r="J758" s="1" t="n"/>
      <c r="K758" s="1" t="n"/>
      <c r="L758" s="1" t="n"/>
    </row>
    <row r="759" ht="15.75" customHeight="1" s="311">
      <c r="A759" s="1" t="n"/>
      <c r="B759" s="1" t="n"/>
      <c r="C759" s="1" t="n"/>
      <c r="D759" s="1" t="n"/>
      <c r="E759" s="1" t="n"/>
      <c r="F759" s="1" t="n"/>
      <c r="G759" s="1" t="n"/>
      <c r="H759" s="1" t="n"/>
      <c r="I759" s="1" t="n"/>
      <c r="J759" s="1" t="n"/>
      <c r="K759" s="1" t="n"/>
      <c r="L759" s="1" t="n"/>
    </row>
    <row r="760" ht="15.75" customHeight="1" s="311">
      <c r="A760" s="1" t="n"/>
      <c r="B760" s="1" t="n"/>
      <c r="C760" s="1" t="n"/>
      <c r="D760" s="1" t="n"/>
      <c r="E760" s="1" t="n"/>
      <c r="F760" s="1" t="n"/>
      <c r="G760" s="1" t="n"/>
      <c r="H760" s="1" t="n"/>
      <c r="I760" s="1" t="n"/>
      <c r="J760" s="1" t="n"/>
      <c r="K760" s="1" t="n"/>
      <c r="L760" s="1" t="n"/>
    </row>
    <row r="761" ht="15.75" customHeight="1" s="311">
      <c r="A761" s="1" t="n"/>
      <c r="B761" s="1" t="n"/>
      <c r="C761" s="1" t="n"/>
      <c r="D761" s="1" t="n"/>
      <c r="E761" s="1" t="n"/>
      <c r="F761" s="1" t="n"/>
      <c r="G761" s="1" t="n"/>
      <c r="H761" s="1" t="n"/>
      <c r="I761" s="1" t="n"/>
      <c r="J761" s="1" t="n"/>
      <c r="K761" s="1" t="n"/>
      <c r="L761" s="1" t="n"/>
    </row>
    <row r="762" ht="15.75" customHeight="1" s="311">
      <c r="A762" s="1" t="n"/>
      <c r="B762" s="1" t="n"/>
      <c r="C762" s="1" t="n"/>
      <c r="D762" s="1" t="n"/>
      <c r="E762" s="1" t="n"/>
      <c r="F762" s="1" t="n"/>
      <c r="G762" s="1" t="n"/>
      <c r="H762" s="1" t="n"/>
      <c r="I762" s="1" t="n"/>
      <c r="J762" s="1" t="n"/>
      <c r="K762" s="1" t="n"/>
      <c r="L762" s="1" t="n"/>
    </row>
    <row r="763" ht="15.75" customHeight="1" s="311">
      <c r="A763" s="1" t="n"/>
      <c r="B763" s="1" t="n"/>
      <c r="C763" s="1" t="n"/>
      <c r="D763" s="1" t="n"/>
      <c r="E763" s="1" t="n"/>
      <c r="F763" s="1" t="n"/>
      <c r="G763" s="1" t="n"/>
      <c r="H763" s="1" t="n"/>
      <c r="I763" s="1" t="n"/>
      <c r="J763" s="1" t="n"/>
      <c r="K763" s="1" t="n"/>
      <c r="L763" s="1" t="n"/>
    </row>
    <row r="764" ht="15.75" customHeight="1" s="311">
      <c r="A764" s="1" t="n"/>
      <c r="B764" s="1" t="n"/>
      <c r="C764" s="1" t="n"/>
      <c r="D764" s="1" t="n"/>
      <c r="E764" s="1" t="n"/>
      <c r="F764" s="1" t="n"/>
      <c r="G764" s="1" t="n"/>
      <c r="H764" s="1" t="n"/>
      <c r="I764" s="1" t="n"/>
      <c r="J764" s="1" t="n"/>
      <c r="K764" s="1" t="n"/>
      <c r="L764" s="1" t="n"/>
    </row>
    <row r="765" ht="15.75" customHeight="1" s="311">
      <c r="A765" s="1" t="n"/>
      <c r="B765" s="1" t="n"/>
      <c r="C765" s="1" t="n"/>
      <c r="D765" s="1" t="n"/>
      <c r="E765" s="1" t="n"/>
      <c r="F765" s="1" t="n"/>
      <c r="G765" s="1" t="n"/>
      <c r="H765" s="1" t="n"/>
      <c r="I765" s="1" t="n"/>
      <c r="J765" s="1" t="n"/>
      <c r="K765" s="1" t="n"/>
      <c r="L765" s="1" t="n"/>
    </row>
    <row r="766" ht="15.75" customHeight="1" s="311">
      <c r="A766" s="1" t="n"/>
      <c r="B766" s="1" t="n"/>
      <c r="C766" s="1" t="n"/>
      <c r="D766" s="1" t="n"/>
      <c r="E766" s="1" t="n"/>
      <c r="F766" s="1" t="n"/>
      <c r="G766" s="1" t="n"/>
      <c r="H766" s="1" t="n"/>
      <c r="I766" s="1" t="n"/>
      <c r="J766" s="1" t="n"/>
      <c r="K766" s="1" t="n"/>
      <c r="L766" s="1" t="n"/>
    </row>
    <row r="767" ht="15.75" customHeight="1" s="311">
      <c r="A767" s="1" t="n"/>
      <c r="B767" s="1" t="n"/>
      <c r="C767" s="1" t="n"/>
      <c r="D767" s="1" t="n"/>
      <c r="E767" s="1" t="n"/>
      <c r="F767" s="1" t="n"/>
      <c r="G767" s="1" t="n"/>
      <c r="H767" s="1" t="n"/>
      <c r="I767" s="1" t="n"/>
      <c r="J767" s="1" t="n"/>
      <c r="K767" s="1" t="n"/>
      <c r="L767" s="1" t="n"/>
    </row>
    <row r="768" ht="15.75" customHeight="1" s="311">
      <c r="A768" s="1" t="n"/>
      <c r="B768" s="1" t="n"/>
      <c r="C768" s="1" t="n"/>
      <c r="D768" s="1" t="n"/>
      <c r="E768" s="1" t="n"/>
      <c r="F768" s="1" t="n"/>
      <c r="G768" s="1" t="n"/>
      <c r="H768" s="1" t="n"/>
      <c r="I768" s="1" t="n"/>
      <c r="J768" s="1" t="n"/>
      <c r="K768" s="1" t="n"/>
      <c r="L768" s="1" t="n"/>
    </row>
    <row r="769" ht="15.75" customHeight="1" s="311">
      <c r="A769" s="1" t="n"/>
      <c r="B769" s="1" t="n"/>
      <c r="C769" s="1" t="n"/>
      <c r="D769" s="1" t="n"/>
      <c r="E769" s="1" t="n"/>
      <c r="F769" s="1" t="n"/>
      <c r="G769" s="1" t="n"/>
      <c r="H769" s="1" t="n"/>
      <c r="I769" s="1" t="n"/>
      <c r="J769" s="1" t="n"/>
      <c r="K769" s="1" t="n"/>
      <c r="L769" s="1" t="n"/>
    </row>
    <row r="770" ht="15.75" customHeight="1" s="311">
      <c r="A770" s="1" t="n"/>
      <c r="B770" s="1" t="n"/>
      <c r="C770" s="1" t="n"/>
      <c r="D770" s="1" t="n"/>
      <c r="E770" s="1" t="n"/>
      <c r="F770" s="1" t="n"/>
      <c r="G770" s="1" t="n"/>
      <c r="H770" s="1" t="n"/>
      <c r="I770" s="1" t="n"/>
      <c r="J770" s="1" t="n"/>
      <c r="K770" s="1" t="n"/>
      <c r="L770" s="1" t="n"/>
    </row>
    <row r="771" ht="15.75" customHeight="1" s="311">
      <c r="A771" s="1" t="n"/>
      <c r="B771" s="1" t="n"/>
      <c r="C771" s="1" t="n"/>
      <c r="D771" s="1" t="n"/>
      <c r="E771" s="1" t="n"/>
      <c r="F771" s="1" t="n"/>
      <c r="G771" s="1" t="n"/>
      <c r="H771" s="1" t="n"/>
      <c r="I771" s="1" t="n"/>
      <c r="J771" s="1" t="n"/>
      <c r="K771" s="1" t="n"/>
      <c r="L771" s="1" t="n"/>
    </row>
    <row r="772" ht="15.75" customHeight="1" s="311">
      <c r="A772" s="1" t="n"/>
      <c r="B772" s="1" t="n"/>
      <c r="C772" s="1" t="n"/>
      <c r="D772" s="1" t="n"/>
      <c r="E772" s="1" t="n"/>
      <c r="F772" s="1" t="n"/>
      <c r="G772" s="1" t="n"/>
      <c r="H772" s="1" t="n"/>
      <c r="I772" s="1" t="n"/>
      <c r="J772" s="1" t="n"/>
      <c r="K772" s="1" t="n"/>
      <c r="L772" s="1" t="n"/>
    </row>
    <row r="773" ht="15.75" customHeight="1" s="311">
      <c r="A773" s="1" t="n"/>
      <c r="B773" s="1" t="n"/>
      <c r="C773" s="1" t="n"/>
      <c r="D773" s="1" t="n"/>
      <c r="E773" s="1" t="n"/>
      <c r="F773" s="1" t="n"/>
      <c r="G773" s="1" t="n"/>
      <c r="H773" s="1" t="n"/>
      <c r="I773" s="1" t="n"/>
      <c r="J773" s="1" t="n"/>
      <c r="K773" s="1" t="n"/>
      <c r="L773" s="1" t="n"/>
    </row>
    <row r="774" ht="15.75" customHeight="1" s="311">
      <c r="A774" s="1" t="n"/>
      <c r="B774" s="1" t="n"/>
      <c r="C774" s="1" t="n"/>
      <c r="D774" s="1" t="n"/>
      <c r="E774" s="1" t="n"/>
      <c r="F774" s="1" t="n"/>
      <c r="G774" s="1" t="n"/>
      <c r="H774" s="1" t="n"/>
      <c r="I774" s="1" t="n"/>
      <c r="J774" s="1" t="n"/>
      <c r="K774" s="1" t="n"/>
      <c r="L774" s="1" t="n"/>
    </row>
    <row r="775" ht="15.75" customHeight="1" s="311">
      <c r="A775" s="1" t="n"/>
      <c r="B775" s="1" t="n"/>
      <c r="C775" s="1" t="n"/>
      <c r="D775" s="1" t="n"/>
      <c r="E775" s="1" t="n"/>
      <c r="F775" s="1" t="n"/>
      <c r="G775" s="1" t="n"/>
      <c r="H775" s="1" t="n"/>
      <c r="I775" s="1" t="n"/>
      <c r="J775" s="1" t="n"/>
      <c r="K775" s="1" t="n"/>
      <c r="L775" s="1" t="n"/>
    </row>
    <row r="776" ht="15.75" customHeight="1" s="311">
      <c r="A776" s="1" t="n"/>
      <c r="B776" s="1" t="n"/>
      <c r="C776" s="1" t="n"/>
      <c r="D776" s="1" t="n"/>
      <c r="E776" s="1" t="n"/>
      <c r="F776" s="1" t="n"/>
      <c r="G776" s="1" t="n"/>
      <c r="H776" s="1" t="n"/>
      <c r="I776" s="1" t="n"/>
      <c r="J776" s="1" t="n"/>
      <c r="K776" s="1" t="n"/>
      <c r="L776" s="1" t="n"/>
    </row>
    <row r="777" ht="15.75" customHeight="1" s="311">
      <c r="A777" s="1" t="n"/>
      <c r="B777" s="1" t="n"/>
      <c r="C777" s="1" t="n"/>
      <c r="D777" s="1" t="n"/>
      <c r="E777" s="1" t="n"/>
      <c r="F777" s="1" t="n"/>
      <c r="G777" s="1" t="n"/>
      <c r="H777" s="1" t="n"/>
      <c r="I777" s="1" t="n"/>
      <c r="J777" s="1" t="n"/>
      <c r="K777" s="1" t="n"/>
      <c r="L777" s="1" t="n"/>
    </row>
    <row r="778" ht="15.75" customHeight="1" s="311">
      <c r="A778" s="1" t="n"/>
      <c r="B778" s="1" t="n"/>
      <c r="C778" s="1" t="n"/>
      <c r="D778" s="1" t="n"/>
      <c r="E778" s="1" t="n"/>
      <c r="F778" s="1" t="n"/>
      <c r="G778" s="1" t="n"/>
      <c r="H778" s="1" t="n"/>
      <c r="I778" s="1" t="n"/>
      <c r="J778" s="1" t="n"/>
      <c r="K778" s="1" t="n"/>
      <c r="L778" s="1" t="n"/>
    </row>
    <row r="779" ht="15.75" customHeight="1" s="311">
      <c r="A779" s="1" t="n"/>
      <c r="B779" s="1" t="n"/>
      <c r="C779" s="1" t="n"/>
      <c r="D779" s="1" t="n"/>
      <c r="E779" s="1" t="n"/>
      <c r="F779" s="1" t="n"/>
      <c r="G779" s="1" t="n"/>
      <c r="H779" s="1" t="n"/>
      <c r="I779" s="1" t="n"/>
      <c r="J779" s="1" t="n"/>
      <c r="K779" s="1" t="n"/>
      <c r="L779" s="1" t="n"/>
    </row>
    <row r="780" ht="15.75" customHeight="1" s="311">
      <c r="A780" s="1" t="n"/>
      <c r="B780" s="1" t="n"/>
      <c r="C780" s="1" t="n"/>
      <c r="D780" s="1" t="n"/>
      <c r="E780" s="1" t="n"/>
      <c r="F780" s="1" t="n"/>
      <c r="G780" s="1" t="n"/>
      <c r="H780" s="1" t="n"/>
      <c r="I780" s="1" t="n"/>
      <c r="J780" s="1" t="n"/>
      <c r="K780" s="1" t="n"/>
      <c r="L780" s="1" t="n"/>
    </row>
    <row r="781" ht="15.75" customHeight="1" s="311">
      <c r="A781" s="1" t="n"/>
      <c r="B781" s="1" t="n"/>
      <c r="C781" s="1" t="n"/>
      <c r="D781" s="1" t="n"/>
      <c r="E781" s="1" t="n"/>
      <c r="F781" s="1" t="n"/>
      <c r="G781" s="1" t="n"/>
      <c r="H781" s="1" t="n"/>
      <c r="I781" s="1" t="n"/>
      <c r="J781" s="1" t="n"/>
      <c r="K781" s="1" t="n"/>
      <c r="L781" s="1" t="n"/>
    </row>
    <row r="782" ht="15.75" customHeight="1" s="311">
      <c r="A782" s="1" t="n"/>
      <c r="B782" s="1" t="n"/>
      <c r="C782" s="1" t="n"/>
      <c r="D782" s="1" t="n"/>
      <c r="E782" s="1" t="n"/>
      <c r="F782" s="1" t="n"/>
      <c r="G782" s="1" t="n"/>
      <c r="H782" s="1" t="n"/>
      <c r="I782" s="1" t="n"/>
      <c r="J782" s="1" t="n"/>
      <c r="K782" s="1" t="n"/>
      <c r="L782" s="1" t="n"/>
    </row>
    <row r="783" ht="15.75" customHeight="1" s="311">
      <c r="A783" s="1" t="n"/>
      <c r="B783" s="1" t="n"/>
      <c r="C783" s="1" t="n"/>
      <c r="D783" s="1" t="n"/>
      <c r="E783" s="1" t="n"/>
      <c r="F783" s="1" t="n"/>
      <c r="G783" s="1" t="n"/>
      <c r="H783" s="1" t="n"/>
      <c r="I783" s="1" t="n"/>
      <c r="J783" s="1" t="n"/>
      <c r="K783" s="1" t="n"/>
      <c r="L783" s="1" t="n"/>
    </row>
    <row r="784" ht="15.75" customHeight="1" s="311">
      <c r="A784" s="1" t="n"/>
      <c r="B784" s="1" t="n"/>
      <c r="C784" s="1" t="n"/>
      <c r="D784" s="1" t="n"/>
      <c r="E784" s="1" t="n"/>
      <c r="F784" s="1" t="n"/>
      <c r="G784" s="1" t="n"/>
      <c r="H784" s="1" t="n"/>
      <c r="I784" s="1" t="n"/>
      <c r="J784" s="1" t="n"/>
      <c r="K784" s="1" t="n"/>
      <c r="L784" s="1" t="n"/>
    </row>
    <row r="785" ht="15.75" customHeight="1" s="311">
      <c r="A785" s="1" t="n"/>
      <c r="B785" s="1" t="n"/>
      <c r="C785" s="1" t="n"/>
      <c r="D785" s="1" t="n"/>
      <c r="E785" s="1" t="n"/>
      <c r="F785" s="1" t="n"/>
      <c r="G785" s="1" t="n"/>
      <c r="H785" s="1" t="n"/>
      <c r="I785" s="1" t="n"/>
      <c r="J785" s="1" t="n"/>
      <c r="K785" s="1" t="n"/>
      <c r="L785" s="1" t="n"/>
    </row>
    <row r="786" ht="15.75" customHeight="1" s="311">
      <c r="A786" s="1" t="n"/>
      <c r="B786" s="1" t="n"/>
      <c r="C786" s="1" t="n"/>
      <c r="D786" s="1" t="n"/>
      <c r="E786" s="1" t="n"/>
      <c r="F786" s="1" t="n"/>
      <c r="G786" s="1" t="n"/>
      <c r="H786" s="1" t="n"/>
      <c r="I786" s="1" t="n"/>
      <c r="J786" s="1" t="n"/>
      <c r="K786" s="1" t="n"/>
      <c r="L786" s="1" t="n"/>
    </row>
    <row r="787" ht="15.75" customHeight="1" s="311">
      <c r="A787" s="1" t="n"/>
      <c r="B787" s="1" t="n"/>
      <c r="C787" s="1" t="n"/>
      <c r="D787" s="1" t="n"/>
      <c r="E787" s="1" t="n"/>
      <c r="F787" s="1" t="n"/>
      <c r="G787" s="1" t="n"/>
      <c r="H787" s="1" t="n"/>
      <c r="I787" s="1" t="n"/>
      <c r="J787" s="1" t="n"/>
      <c r="K787" s="1" t="n"/>
      <c r="L787" s="1" t="n"/>
    </row>
    <row r="788" ht="15.75" customHeight="1" s="311">
      <c r="A788" s="1" t="n"/>
      <c r="B788" s="1" t="n"/>
      <c r="C788" s="1" t="n"/>
      <c r="D788" s="1" t="n"/>
      <c r="E788" s="1" t="n"/>
      <c r="F788" s="1" t="n"/>
      <c r="G788" s="1" t="n"/>
      <c r="H788" s="1" t="n"/>
      <c r="I788" s="1" t="n"/>
      <c r="J788" s="1" t="n"/>
      <c r="K788" s="1" t="n"/>
      <c r="L788" s="1" t="n"/>
    </row>
    <row r="789" ht="15.75" customHeight="1" s="311">
      <c r="A789" s="1" t="n"/>
      <c r="B789" s="1" t="n"/>
      <c r="C789" s="1" t="n"/>
      <c r="D789" s="1" t="n"/>
      <c r="E789" s="1" t="n"/>
      <c r="F789" s="1" t="n"/>
      <c r="G789" s="1" t="n"/>
      <c r="H789" s="1" t="n"/>
      <c r="I789" s="1" t="n"/>
      <c r="J789" s="1" t="n"/>
      <c r="K789" s="1" t="n"/>
      <c r="L789" s="1" t="n"/>
    </row>
    <row r="790" ht="15.75" customHeight="1" s="311">
      <c r="A790" s="1" t="n"/>
      <c r="B790" s="1" t="n"/>
      <c r="C790" s="1" t="n"/>
      <c r="D790" s="1" t="n"/>
      <c r="E790" s="1" t="n"/>
      <c r="F790" s="1" t="n"/>
      <c r="G790" s="1" t="n"/>
      <c r="H790" s="1" t="n"/>
      <c r="I790" s="1" t="n"/>
      <c r="J790" s="1" t="n"/>
      <c r="K790" s="1" t="n"/>
      <c r="L790" s="1" t="n"/>
    </row>
    <row r="791" ht="15.75" customHeight="1" s="311">
      <c r="A791" s="1" t="n"/>
      <c r="B791" s="1" t="n"/>
      <c r="C791" s="1" t="n"/>
      <c r="D791" s="1" t="n"/>
      <c r="E791" s="1" t="n"/>
      <c r="F791" s="1" t="n"/>
      <c r="G791" s="1" t="n"/>
      <c r="H791" s="1" t="n"/>
      <c r="I791" s="1" t="n"/>
      <c r="J791" s="1" t="n"/>
      <c r="K791" s="1" t="n"/>
      <c r="L791" s="1" t="n"/>
    </row>
    <row r="792" ht="15.75" customHeight="1" s="311">
      <c r="A792" s="1" t="n"/>
      <c r="B792" s="1" t="n"/>
      <c r="C792" s="1" t="n"/>
      <c r="D792" s="1" t="n"/>
      <c r="E792" s="1" t="n"/>
      <c r="F792" s="1" t="n"/>
      <c r="G792" s="1" t="n"/>
      <c r="H792" s="1" t="n"/>
      <c r="I792" s="1" t="n"/>
      <c r="J792" s="1" t="n"/>
      <c r="K792" s="1" t="n"/>
      <c r="L792" s="1" t="n"/>
    </row>
    <row r="793" ht="15.75" customHeight="1" s="311">
      <c r="A793" s="1" t="n"/>
      <c r="B793" s="1" t="n"/>
      <c r="C793" s="1" t="n"/>
      <c r="D793" s="1" t="n"/>
      <c r="E793" s="1" t="n"/>
      <c r="F793" s="1" t="n"/>
      <c r="G793" s="1" t="n"/>
      <c r="H793" s="1" t="n"/>
      <c r="I793" s="1" t="n"/>
      <c r="J793" s="1" t="n"/>
      <c r="K793" s="1" t="n"/>
      <c r="L793" s="1" t="n"/>
    </row>
    <row r="794" ht="15.75" customHeight="1" s="311">
      <c r="A794" s="1" t="n"/>
      <c r="B794" s="1" t="n"/>
      <c r="C794" s="1" t="n"/>
      <c r="D794" s="1" t="n"/>
      <c r="E794" s="1" t="n"/>
      <c r="F794" s="1" t="n"/>
      <c r="G794" s="1" t="n"/>
      <c r="H794" s="1" t="n"/>
      <c r="I794" s="1" t="n"/>
      <c r="J794" s="1" t="n"/>
      <c r="K794" s="1" t="n"/>
      <c r="L794" s="1" t="n"/>
    </row>
    <row r="795" ht="15.75" customHeight="1" s="311">
      <c r="A795" s="1" t="n"/>
      <c r="B795" s="1" t="n"/>
      <c r="C795" s="1" t="n"/>
      <c r="D795" s="1" t="n"/>
      <c r="E795" s="1" t="n"/>
      <c r="F795" s="1" t="n"/>
      <c r="G795" s="1" t="n"/>
      <c r="H795" s="1" t="n"/>
      <c r="I795" s="1" t="n"/>
      <c r="J795" s="1" t="n"/>
      <c r="K795" s="1" t="n"/>
      <c r="L795" s="1" t="n"/>
    </row>
    <row r="796" ht="15.75" customHeight="1" s="311">
      <c r="A796" s="1" t="n"/>
      <c r="B796" s="1" t="n"/>
      <c r="C796" s="1" t="n"/>
      <c r="D796" s="1" t="n"/>
      <c r="E796" s="1" t="n"/>
      <c r="F796" s="1" t="n"/>
      <c r="G796" s="1" t="n"/>
      <c r="H796" s="1" t="n"/>
      <c r="I796" s="1" t="n"/>
      <c r="J796" s="1" t="n"/>
      <c r="K796" s="1" t="n"/>
      <c r="L796" s="1" t="n"/>
    </row>
    <row r="797" ht="15.75" customHeight="1" s="311">
      <c r="A797" s="1" t="n"/>
      <c r="B797" s="1" t="n"/>
      <c r="C797" s="1" t="n"/>
      <c r="D797" s="1" t="n"/>
      <c r="E797" s="1" t="n"/>
      <c r="F797" s="1" t="n"/>
      <c r="G797" s="1" t="n"/>
      <c r="H797" s="1" t="n"/>
      <c r="I797" s="1" t="n"/>
      <c r="J797" s="1" t="n"/>
      <c r="K797" s="1" t="n"/>
      <c r="L797" s="1" t="n"/>
    </row>
    <row r="798" ht="15.75" customHeight="1" s="311">
      <c r="A798" s="1" t="n"/>
      <c r="B798" s="1" t="n"/>
      <c r="C798" s="1" t="n"/>
      <c r="D798" s="1" t="n"/>
      <c r="E798" s="1" t="n"/>
      <c r="F798" s="1" t="n"/>
      <c r="G798" s="1" t="n"/>
      <c r="H798" s="1" t="n"/>
      <c r="I798" s="1" t="n"/>
      <c r="J798" s="1" t="n"/>
      <c r="K798" s="1" t="n"/>
      <c r="L798" s="1" t="n"/>
    </row>
    <row r="799" ht="15.75" customHeight="1" s="311">
      <c r="A799" s="1" t="n"/>
      <c r="B799" s="1" t="n"/>
      <c r="C799" s="1" t="n"/>
      <c r="D799" s="1" t="n"/>
      <c r="E799" s="1" t="n"/>
      <c r="F799" s="1" t="n"/>
      <c r="G799" s="1" t="n"/>
      <c r="H799" s="1" t="n"/>
      <c r="I799" s="1" t="n"/>
      <c r="J799" s="1" t="n"/>
      <c r="K799" s="1" t="n"/>
      <c r="L799" s="1" t="n"/>
    </row>
    <row r="800" ht="15.75" customHeight="1" s="311">
      <c r="A800" s="1" t="n"/>
      <c r="B800" s="1" t="n"/>
      <c r="C800" s="1" t="n"/>
      <c r="D800" s="1" t="n"/>
      <c r="E800" s="1" t="n"/>
      <c r="F800" s="1" t="n"/>
      <c r="G800" s="1" t="n"/>
      <c r="H800" s="1" t="n"/>
      <c r="I800" s="1" t="n"/>
      <c r="J800" s="1" t="n"/>
      <c r="K800" s="1" t="n"/>
      <c r="L800" s="1" t="n"/>
    </row>
    <row r="801" ht="15.75" customHeight="1" s="311">
      <c r="A801" s="1" t="n"/>
      <c r="B801" s="1" t="n"/>
      <c r="C801" s="1" t="n"/>
      <c r="D801" s="1" t="n"/>
      <c r="E801" s="1" t="n"/>
      <c r="F801" s="1" t="n"/>
      <c r="G801" s="1" t="n"/>
      <c r="H801" s="1" t="n"/>
      <c r="I801" s="1" t="n"/>
      <c r="J801" s="1" t="n"/>
      <c r="K801" s="1" t="n"/>
      <c r="L801" s="1" t="n"/>
    </row>
    <row r="802" ht="15.75" customHeight="1" s="311">
      <c r="A802" s="1" t="n"/>
      <c r="B802" s="1" t="n"/>
      <c r="C802" s="1" t="n"/>
      <c r="D802" s="1" t="n"/>
      <c r="E802" s="1" t="n"/>
      <c r="F802" s="1" t="n"/>
      <c r="G802" s="1" t="n"/>
      <c r="H802" s="1" t="n"/>
      <c r="I802" s="1" t="n"/>
      <c r="J802" s="1" t="n"/>
      <c r="K802" s="1" t="n"/>
      <c r="L802" s="1" t="n"/>
    </row>
    <row r="803" ht="15.75" customHeight="1" s="311">
      <c r="A803" s="1" t="n"/>
      <c r="B803" s="1" t="n"/>
      <c r="C803" s="1" t="n"/>
      <c r="D803" s="1" t="n"/>
      <c r="E803" s="1" t="n"/>
      <c r="F803" s="1" t="n"/>
      <c r="G803" s="1" t="n"/>
      <c r="H803" s="1" t="n"/>
      <c r="I803" s="1" t="n"/>
      <c r="J803" s="1" t="n"/>
      <c r="K803" s="1" t="n"/>
      <c r="L803" s="1" t="n"/>
    </row>
    <row r="804" ht="15.75" customHeight="1" s="311">
      <c r="A804" s="1" t="n"/>
      <c r="B804" s="1" t="n"/>
      <c r="C804" s="1" t="n"/>
      <c r="D804" s="1" t="n"/>
      <c r="E804" s="1" t="n"/>
      <c r="F804" s="1" t="n"/>
      <c r="G804" s="1" t="n"/>
      <c r="H804" s="1" t="n"/>
      <c r="I804" s="1" t="n"/>
      <c r="J804" s="1" t="n"/>
      <c r="K804" s="1" t="n"/>
      <c r="L804" s="1" t="n"/>
    </row>
    <row r="805" ht="15.75" customHeight="1" s="311">
      <c r="A805" s="1" t="n"/>
      <c r="B805" s="1" t="n"/>
      <c r="C805" s="1" t="n"/>
      <c r="D805" s="1" t="n"/>
      <c r="E805" s="1" t="n"/>
      <c r="F805" s="1" t="n"/>
      <c r="G805" s="1" t="n"/>
      <c r="H805" s="1" t="n"/>
      <c r="I805" s="1" t="n"/>
      <c r="J805" s="1" t="n"/>
      <c r="K805" s="1" t="n"/>
      <c r="L805" s="1" t="n"/>
    </row>
    <row r="806" ht="15.75" customHeight="1" s="311">
      <c r="A806" s="1" t="n"/>
      <c r="B806" s="1" t="n"/>
      <c r="C806" s="1" t="n"/>
      <c r="D806" s="1" t="n"/>
      <c r="E806" s="1" t="n"/>
      <c r="F806" s="1" t="n"/>
      <c r="G806" s="1" t="n"/>
      <c r="H806" s="1" t="n"/>
      <c r="I806" s="1" t="n"/>
      <c r="J806" s="1" t="n"/>
      <c r="K806" s="1" t="n"/>
      <c r="L806" s="1" t="n"/>
    </row>
    <row r="807" ht="15.75" customHeight="1" s="311">
      <c r="A807" s="1" t="n"/>
      <c r="B807" s="1" t="n"/>
      <c r="C807" s="1" t="n"/>
      <c r="D807" s="1" t="n"/>
      <c r="E807" s="1" t="n"/>
      <c r="F807" s="1" t="n"/>
      <c r="G807" s="1" t="n"/>
      <c r="H807" s="1" t="n"/>
      <c r="I807" s="1" t="n"/>
      <c r="J807" s="1" t="n"/>
      <c r="K807" s="1" t="n"/>
      <c r="L807" s="1" t="n"/>
    </row>
    <row r="808" ht="15.75" customHeight="1" s="311">
      <c r="A808" s="1" t="n"/>
      <c r="B808" s="1" t="n"/>
      <c r="C808" s="1" t="n"/>
      <c r="D808" s="1" t="n"/>
      <c r="E808" s="1" t="n"/>
      <c r="F808" s="1" t="n"/>
      <c r="G808" s="1" t="n"/>
      <c r="H808" s="1" t="n"/>
      <c r="I808" s="1" t="n"/>
      <c r="J808" s="1" t="n"/>
      <c r="K808" s="1" t="n"/>
      <c r="L808" s="1" t="n"/>
    </row>
    <row r="809" ht="15.75" customHeight="1" s="311">
      <c r="A809" s="1" t="n"/>
      <c r="B809" s="1" t="n"/>
      <c r="C809" s="1" t="n"/>
      <c r="D809" s="1" t="n"/>
      <c r="E809" s="1" t="n"/>
      <c r="F809" s="1" t="n"/>
      <c r="G809" s="1" t="n"/>
      <c r="H809" s="1" t="n"/>
      <c r="I809" s="1" t="n"/>
      <c r="J809" s="1" t="n"/>
      <c r="K809" s="1" t="n"/>
      <c r="L809" s="1" t="n"/>
    </row>
    <row r="810" ht="15.75" customHeight="1" s="311">
      <c r="A810" s="1" t="n"/>
      <c r="B810" s="1" t="n"/>
      <c r="C810" s="1" t="n"/>
      <c r="D810" s="1" t="n"/>
      <c r="E810" s="1" t="n"/>
      <c r="F810" s="1" t="n"/>
      <c r="G810" s="1" t="n"/>
      <c r="H810" s="1" t="n"/>
      <c r="I810" s="1" t="n"/>
      <c r="J810" s="1" t="n"/>
      <c r="K810" s="1" t="n"/>
      <c r="L810" s="1" t="n"/>
    </row>
    <row r="811" ht="15.75" customHeight="1" s="311">
      <c r="A811" s="1" t="n"/>
      <c r="B811" s="1" t="n"/>
      <c r="C811" s="1" t="n"/>
      <c r="D811" s="1" t="n"/>
      <c r="E811" s="1" t="n"/>
      <c r="F811" s="1" t="n"/>
      <c r="G811" s="1" t="n"/>
      <c r="H811" s="1" t="n"/>
      <c r="I811" s="1" t="n"/>
      <c r="J811" s="1" t="n"/>
      <c r="K811" s="1" t="n"/>
      <c r="L811" s="1" t="n"/>
    </row>
    <row r="812" ht="15.75" customHeight="1" s="311">
      <c r="A812" s="1" t="n"/>
      <c r="B812" s="1" t="n"/>
      <c r="C812" s="1" t="n"/>
      <c r="D812" s="1" t="n"/>
      <c r="E812" s="1" t="n"/>
      <c r="F812" s="1" t="n"/>
      <c r="G812" s="1" t="n"/>
      <c r="H812" s="1" t="n"/>
      <c r="I812" s="1" t="n"/>
      <c r="J812" s="1" t="n"/>
      <c r="K812" s="1" t="n"/>
      <c r="L812" s="1" t="n"/>
    </row>
    <row r="813" ht="15.75" customHeight="1" s="311">
      <c r="A813" s="1" t="n"/>
      <c r="B813" s="1" t="n"/>
      <c r="C813" s="1" t="n"/>
      <c r="D813" s="1" t="n"/>
      <c r="E813" s="1" t="n"/>
      <c r="F813" s="1" t="n"/>
      <c r="G813" s="1" t="n"/>
      <c r="H813" s="1" t="n"/>
      <c r="I813" s="1" t="n"/>
      <c r="J813" s="1" t="n"/>
      <c r="K813" s="1" t="n"/>
      <c r="L813" s="1" t="n"/>
    </row>
    <row r="814" ht="15.75" customHeight="1" s="311">
      <c r="A814" s="1" t="n"/>
      <c r="B814" s="1" t="n"/>
      <c r="C814" s="1" t="n"/>
      <c r="D814" s="1" t="n"/>
      <c r="E814" s="1" t="n"/>
      <c r="F814" s="1" t="n"/>
      <c r="G814" s="1" t="n"/>
      <c r="H814" s="1" t="n"/>
      <c r="I814" s="1" t="n"/>
      <c r="J814" s="1" t="n"/>
      <c r="K814" s="1" t="n"/>
      <c r="L814" s="1" t="n"/>
    </row>
    <row r="815" ht="15.75" customHeight="1" s="311">
      <c r="A815" s="1" t="n"/>
      <c r="B815" s="1" t="n"/>
      <c r="C815" s="1" t="n"/>
      <c r="D815" s="1" t="n"/>
      <c r="E815" s="1" t="n"/>
      <c r="F815" s="1" t="n"/>
      <c r="G815" s="1" t="n"/>
      <c r="H815" s="1" t="n"/>
      <c r="I815" s="1" t="n"/>
      <c r="J815" s="1" t="n"/>
      <c r="K815" s="1" t="n"/>
      <c r="L815" s="1" t="n"/>
    </row>
    <row r="816" ht="15.75" customHeight="1" s="311">
      <c r="A816" s="1" t="n"/>
      <c r="B816" s="1" t="n"/>
      <c r="C816" s="1" t="n"/>
      <c r="D816" s="1" t="n"/>
      <c r="E816" s="1" t="n"/>
      <c r="F816" s="1" t="n"/>
      <c r="G816" s="1" t="n"/>
      <c r="H816" s="1" t="n"/>
      <c r="I816" s="1" t="n"/>
      <c r="J816" s="1" t="n"/>
      <c r="K816" s="1" t="n"/>
      <c r="L816" s="1" t="n"/>
    </row>
    <row r="817" ht="15.75" customHeight="1" s="311">
      <c r="A817" s="1" t="n"/>
      <c r="B817" s="1" t="n"/>
      <c r="C817" s="1" t="n"/>
      <c r="D817" s="1" t="n"/>
      <c r="E817" s="1" t="n"/>
      <c r="F817" s="1" t="n"/>
      <c r="G817" s="1" t="n"/>
      <c r="H817" s="1" t="n"/>
      <c r="I817" s="1" t="n"/>
      <c r="J817" s="1" t="n"/>
      <c r="K817" s="1" t="n"/>
      <c r="L817" s="1" t="n"/>
    </row>
    <row r="818" ht="15.75" customHeight="1" s="311">
      <c r="A818" s="1" t="n"/>
      <c r="B818" s="1" t="n"/>
      <c r="C818" s="1" t="n"/>
      <c r="D818" s="1" t="n"/>
      <c r="E818" s="1" t="n"/>
      <c r="F818" s="1" t="n"/>
      <c r="G818" s="1" t="n"/>
      <c r="H818" s="1" t="n"/>
      <c r="I818" s="1" t="n"/>
      <c r="J818" s="1" t="n"/>
      <c r="K818" s="1" t="n"/>
      <c r="L818" s="1" t="n"/>
    </row>
    <row r="819" ht="15.75" customHeight="1" s="311">
      <c r="A819" s="1" t="n"/>
      <c r="B819" s="1" t="n"/>
      <c r="C819" s="1" t="n"/>
      <c r="D819" s="1" t="n"/>
      <c r="E819" s="1" t="n"/>
      <c r="F819" s="1" t="n"/>
      <c r="G819" s="1" t="n"/>
      <c r="H819" s="1" t="n"/>
      <c r="I819" s="1" t="n"/>
      <c r="J819" s="1" t="n"/>
      <c r="K819" s="1" t="n"/>
      <c r="L819" s="1" t="n"/>
    </row>
    <row r="820" ht="15.75" customHeight="1" s="311">
      <c r="A820" s="1" t="n"/>
      <c r="B820" s="1" t="n"/>
      <c r="C820" s="1" t="n"/>
      <c r="D820" s="1" t="n"/>
      <c r="E820" s="1" t="n"/>
      <c r="F820" s="1" t="n"/>
      <c r="G820" s="1" t="n"/>
      <c r="H820" s="1" t="n"/>
      <c r="I820" s="1" t="n"/>
      <c r="J820" s="1" t="n"/>
      <c r="K820" s="1" t="n"/>
      <c r="L820" s="1" t="n"/>
    </row>
    <row r="821" ht="15.75" customHeight="1" s="311">
      <c r="A821" s="1" t="n"/>
      <c r="B821" s="1" t="n"/>
      <c r="C821" s="1" t="n"/>
      <c r="D821" s="1" t="n"/>
      <c r="E821" s="1" t="n"/>
      <c r="F821" s="1" t="n"/>
      <c r="G821" s="1" t="n"/>
      <c r="H821" s="1" t="n"/>
      <c r="I821" s="1" t="n"/>
      <c r="J821" s="1" t="n"/>
      <c r="K821" s="1" t="n"/>
      <c r="L821" s="1" t="n"/>
    </row>
    <row r="822" ht="15.75" customHeight="1" s="311">
      <c r="A822" s="1" t="n"/>
      <c r="B822" s="1" t="n"/>
      <c r="C822" s="1" t="n"/>
      <c r="D822" s="1" t="n"/>
      <c r="E822" s="1" t="n"/>
      <c r="F822" s="1" t="n"/>
      <c r="G822" s="1" t="n"/>
      <c r="H822" s="1" t="n"/>
      <c r="I822" s="1" t="n"/>
      <c r="J822" s="1" t="n"/>
      <c r="K822" s="1" t="n"/>
      <c r="L822" s="1" t="n"/>
    </row>
    <row r="823" ht="15.75" customHeight="1" s="311">
      <c r="A823" s="1" t="n"/>
      <c r="B823" s="1" t="n"/>
      <c r="C823" s="1" t="n"/>
      <c r="D823" s="1" t="n"/>
      <c r="E823" s="1" t="n"/>
      <c r="F823" s="1" t="n"/>
      <c r="G823" s="1" t="n"/>
      <c r="H823" s="1" t="n"/>
      <c r="I823" s="1" t="n"/>
      <c r="J823" s="1" t="n"/>
      <c r="K823" s="1" t="n"/>
      <c r="L823" s="1" t="n"/>
    </row>
    <row r="824" ht="15.75" customHeight="1" s="311">
      <c r="A824" s="1" t="n"/>
      <c r="B824" s="1" t="n"/>
      <c r="C824" s="1" t="n"/>
      <c r="D824" s="1" t="n"/>
      <c r="E824" s="1" t="n"/>
      <c r="F824" s="1" t="n"/>
      <c r="G824" s="1" t="n"/>
      <c r="H824" s="1" t="n"/>
      <c r="I824" s="1" t="n"/>
      <c r="J824" s="1" t="n"/>
      <c r="K824" s="1" t="n"/>
      <c r="L824" s="1" t="n"/>
    </row>
    <row r="825" ht="15.75" customHeight="1" s="311">
      <c r="A825" s="1" t="n"/>
      <c r="B825" s="1" t="n"/>
      <c r="C825" s="1" t="n"/>
      <c r="D825" s="1" t="n"/>
      <c r="E825" s="1" t="n"/>
      <c r="F825" s="1" t="n"/>
      <c r="G825" s="1" t="n"/>
      <c r="H825" s="1" t="n"/>
      <c r="I825" s="1" t="n"/>
      <c r="J825" s="1" t="n"/>
      <c r="K825" s="1" t="n"/>
      <c r="L825" s="1" t="n"/>
    </row>
    <row r="826" ht="15.75" customHeight="1" s="311">
      <c r="A826" s="1" t="n"/>
      <c r="B826" s="1" t="n"/>
      <c r="C826" s="1" t="n"/>
      <c r="D826" s="1" t="n"/>
      <c r="E826" s="1" t="n"/>
      <c r="F826" s="1" t="n"/>
      <c r="G826" s="1" t="n"/>
      <c r="H826" s="1" t="n"/>
      <c r="I826" s="1" t="n"/>
      <c r="J826" s="1" t="n"/>
      <c r="K826" s="1" t="n"/>
      <c r="L826" s="1" t="n"/>
    </row>
    <row r="827" ht="15.75" customHeight="1" s="311">
      <c r="A827" s="1" t="n"/>
      <c r="B827" s="1" t="n"/>
      <c r="C827" s="1" t="n"/>
      <c r="D827" s="1" t="n"/>
      <c r="E827" s="1" t="n"/>
      <c r="F827" s="1" t="n"/>
      <c r="G827" s="1" t="n"/>
      <c r="H827" s="1" t="n"/>
      <c r="I827" s="1" t="n"/>
      <c r="J827" s="1" t="n"/>
      <c r="K827" s="1" t="n"/>
      <c r="L827" s="1" t="n"/>
    </row>
    <row r="828" ht="15.75" customHeight="1" s="311">
      <c r="A828" s="1" t="n"/>
      <c r="B828" s="1" t="n"/>
      <c r="C828" s="1" t="n"/>
      <c r="D828" s="1" t="n"/>
      <c r="E828" s="1" t="n"/>
      <c r="F828" s="1" t="n"/>
      <c r="G828" s="1" t="n"/>
      <c r="H828" s="1" t="n"/>
      <c r="I828" s="1" t="n"/>
      <c r="J828" s="1" t="n"/>
      <c r="K828" s="1" t="n"/>
      <c r="L828" s="1" t="n"/>
    </row>
    <row r="829" ht="15.75" customHeight="1" s="311">
      <c r="A829" s="1" t="n"/>
      <c r="B829" s="1" t="n"/>
      <c r="C829" s="1" t="n"/>
      <c r="D829" s="1" t="n"/>
      <c r="E829" s="1" t="n"/>
      <c r="F829" s="1" t="n"/>
      <c r="G829" s="1" t="n"/>
      <c r="H829" s="1" t="n"/>
      <c r="I829" s="1" t="n"/>
      <c r="J829" s="1" t="n"/>
      <c r="K829" s="1" t="n"/>
      <c r="L829" s="1" t="n"/>
    </row>
    <row r="830" ht="15.75" customHeight="1" s="311">
      <c r="A830" s="1" t="n"/>
      <c r="B830" s="1" t="n"/>
      <c r="C830" s="1" t="n"/>
      <c r="D830" s="1" t="n"/>
      <c r="E830" s="1" t="n"/>
      <c r="F830" s="1" t="n"/>
      <c r="G830" s="1" t="n"/>
      <c r="H830" s="1" t="n"/>
      <c r="I830" s="1" t="n"/>
      <c r="J830" s="1" t="n"/>
      <c r="K830" s="1" t="n"/>
      <c r="L830" s="1" t="n"/>
    </row>
    <row r="831" ht="15.75" customHeight="1" s="311">
      <c r="A831" s="1" t="n"/>
      <c r="B831" s="1" t="n"/>
      <c r="C831" s="1" t="n"/>
      <c r="D831" s="1" t="n"/>
      <c r="E831" s="1" t="n"/>
      <c r="F831" s="1" t="n"/>
      <c r="G831" s="1" t="n"/>
      <c r="H831" s="1" t="n"/>
      <c r="I831" s="1" t="n"/>
      <c r="J831" s="1" t="n"/>
      <c r="K831" s="1" t="n"/>
      <c r="L831" s="1" t="n"/>
    </row>
    <row r="832" ht="15.75" customHeight="1" s="311">
      <c r="A832" s="1" t="n"/>
      <c r="B832" s="1" t="n"/>
      <c r="C832" s="1" t="n"/>
      <c r="D832" s="1" t="n"/>
      <c r="E832" s="1" t="n"/>
      <c r="F832" s="1" t="n"/>
      <c r="G832" s="1" t="n"/>
      <c r="H832" s="1" t="n"/>
      <c r="I832" s="1" t="n"/>
      <c r="J832" s="1" t="n"/>
      <c r="K832" s="1" t="n"/>
      <c r="L832" s="1" t="n"/>
    </row>
    <row r="833" ht="15.75" customHeight="1" s="311">
      <c r="A833" s="1" t="n"/>
      <c r="B833" s="1" t="n"/>
      <c r="C833" s="1" t="n"/>
      <c r="D833" s="1" t="n"/>
      <c r="E833" s="1" t="n"/>
      <c r="F833" s="1" t="n"/>
      <c r="G833" s="1" t="n"/>
      <c r="H833" s="1" t="n"/>
      <c r="I833" s="1" t="n"/>
      <c r="J833" s="1" t="n"/>
      <c r="K833" s="1" t="n"/>
      <c r="L833" s="1" t="n"/>
    </row>
    <row r="834" ht="15.75" customHeight="1" s="311">
      <c r="A834" s="1" t="n"/>
      <c r="B834" s="1" t="n"/>
      <c r="C834" s="1" t="n"/>
      <c r="D834" s="1" t="n"/>
      <c r="E834" s="1" t="n"/>
      <c r="F834" s="1" t="n"/>
      <c r="G834" s="1" t="n"/>
      <c r="H834" s="1" t="n"/>
      <c r="I834" s="1" t="n"/>
      <c r="J834" s="1" t="n"/>
      <c r="K834" s="1" t="n"/>
      <c r="L834" s="1" t="n"/>
    </row>
    <row r="835" ht="15.75" customHeight="1" s="311">
      <c r="A835" s="1" t="n"/>
      <c r="B835" s="1" t="n"/>
      <c r="C835" s="1" t="n"/>
      <c r="D835" s="1" t="n"/>
      <c r="E835" s="1" t="n"/>
      <c r="F835" s="1" t="n"/>
      <c r="G835" s="1" t="n"/>
      <c r="H835" s="1" t="n"/>
      <c r="I835" s="1" t="n"/>
      <c r="J835" s="1" t="n"/>
      <c r="K835" s="1" t="n"/>
      <c r="L835" s="1" t="n"/>
    </row>
    <row r="836" ht="15.75" customHeight="1" s="311">
      <c r="A836" s="1" t="n"/>
      <c r="B836" s="1" t="n"/>
      <c r="C836" s="1" t="n"/>
      <c r="D836" s="1" t="n"/>
      <c r="E836" s="1" t="n"/>
      <c r="F836" s="1" t="n"/>
      <c r="G836" s="1" t="n"/>
      <c r="H836" s="1" t="n"/>
      <c r="I836" s="1" t="n"/>
      <c r="J836" s="1" t="n"/>
      <c r="K836" s="1" t="n"/>
      <c r="L836" s="1" t="n"/>
    </row>
    <row r="837" ht="15.75" customHeight="1" s="311">
      <c r="A837" s="1" t="n"/>
      <c r="B837" s="1" t="n"/>
      <c r="C837" s="1" t="n"/>
      <c r="D837" s="1" t="n"/>
      <c r="E837" s="1" t="n"/>
      <c r="F837" s="1" t="n"/>
      <c r="G837" s="1" t="n"/>
      <c r="H837" s="1" t="n"/>
      <c r="I837" s="1" t="n"/>
      <c r="J837" s="1" t="n"/>
      <c r="K837" s="1" t="n"/>
      <c r="L837" s="1" t="n"/>
    </row>
    <row r="838" ht="15.75" customHeight="1" s="311">
      <c r="A838" s="1" t="n"/>
      <c r="B838" s="1" t="n"/>
      <c r="C838" s="1" t="n"/>
      <c r="D838" s="1" t="n"/>
      <c r="E838" s="1" t="n"/>
      <c r="F838" s="1" t="n"/>
      <c r="G838" s="1" t="n"/>
      <c r="H838" s="1" t="n"/>
      <c r="I838" s="1" t="n"/>
      <c r="J838" s="1" t="n"/>
      <c r="K838" s="1" t="n"/>
      <c r="L838" s="1" t="n"/>
    </row>
    <row r="839" ht="15.75" customHeight="1" s="311">
      <c r="A839" s="1" t="n"/>
      <c r="B839" s="1" t="n"/>
      <c r="C839" s="1" t="n"/>
      <c r="D839" s="1" t="n"/>
      <c r="E839" s="1" t="n"/>
      <c r="F839" s="1" t="n"/>
      <c r="G839" s="1" t="n"/>
      <c r="H839" s="1" t="n"/>
      <c r="I839" s="1" t="n"/>
      <c r="J839" s="1" t="n"/>
      <c r="K839" s="1" t="n"/>
      <c r="L839" s="1" t="n"/>
    </row>
    <row r="840" ht="15.75" customHeight="1" s="311">
      <c r="A840" s="1" t="n"/>
      <c r="B840" s="1" t="n"/>
      <c r="C840" s="1" t="n"/>
      <c r="D840" s="1" t="n"/>
      <c r="E840" s="1" t="n"/>
      <c r="F840" s="1" t="n"/>
      <c r="G840" s="1" t="n"/>
      <c r="H840" s="1" t="n"/>
      <c r="I840" s="1" t="n"/>
      <c r="J840" s="1" t="n"/>
      <c r="K840" s="1" t="n"/>
      <c r="L840" s="1" t="n"/>
    </row>
    <row r="841" ht="15.75" customHeight="1" s="311">
      <c r="A841" s="1" t="n"/>
      <c r="B841" s="1" t="n"/>
      <c r="C841" s="1" t="n"/>
      <c r="D841" s="1" t="n"/>
      <c r="E841" s="1" t="n"/>
      <c r="F841" s="1" t="n"/>
      <c r="G841" s="1" t="n"/>
      <c r="H841" s="1" t="n"/>
      <c r="I841" s="1" t="n"/>
      <c r="J841" s="1" t="n"/>
      <c r="K841" s="1" t="n"/>
      <c r="L841" s="1" t="n"/>
    </row>
    <row r="842" ht="15.75" customHeight="1" s="311">
      <c r="A842" s="1" t="n"/>
      <c r="B842" s="1" t="n"/>
      <c r="C842" s="1" t="n"/>
      <c r="D842" s="1" t="n"/>
      <c r="E842" s="1" t="n"/>
      <c r="F842" s="1" t="n"/>
      <c r="G842" s="1" t="n"/>
      <c r="H842" s="1" t="n"/>
      <c r="I842" s="1" t="n"/>
      <c r="J842" s="1" t="n"/>
      <c r="K842" s="1" t="n"/>
      <c r="L842" s="1" t="n"/>
    </row>
    <row r="843" ht="15.75" customHeight="1" s="311">
      <c r="A843" s="1" t="n"/>
      <c r="B843" s="1" t="n"/>
      <c r="C843" s="1" t="n"/>
      <c r="D843" s="1" t="n"/>
      <c r="E843" s="1" t="n"/>
      <c r="F843" s="1" t="n"/>
      <c r="G843" s="1" t="n"/>
      <c r="H843" s="1" t="n"/>
      <c r="I843" s="1" t="n"/>
      <c r="J843" s="1" t="n"/>
      <c r="K843" s="1" t="n"/>
      <c r="L843" s="1" t="n"/>
    </row>
    <row r="844" ht="15.75" customHeight="1" s="311">
      <c r="A844" s="1" t="n"/>
      <c r="B844" s="1" t="n"/>
      <c r="C844" s="1" t="n"/>
      <c r="D844" s="1" t="n"/>
      <c r="E844" s="1" t="n"/>
      <c r="F844" s="1" t="n"/>
      <c r="G844" s="1" t="n"/>
      <c r="H844" s="1" t="n"/>
      <c r="I844" s="1" t="n"/>
      <c r="J844" s="1" t="n"/>
      <c r="K844" s="1" t="n"/>
      <c r="L844" s="1" t="n"/>
    </row>
    <row r="845" ht="15.75" customHeight="1" s="311">
      <c r="A845" s="1" t="n"/>
      <c r="B845" s="1" t="n"/>
      <c r="C845" s="1" t="n"/>
      <c r="D845" s="1" t="n"/>
      <c r="E845" s="1" t="n"/>
      <c r="F845" s="1" t="n"/>
      <c r="G845" s="1" t="n"/>
      <c r="H845" s="1" t="n"/>
      <c r="I845" s="1" t="n"/>
      <c r="J845" s="1" t="n"/>
      <c r="K845" s="1" t="n"/>
      <c r="L845" s="1" t="n"/>
    </row>
    <row r="846" ht="15.75" customHeight="1" s="311">
      <c r="A846" s="1" t="n"/>
      <c r="B846" s="1" t="n"/>
      <c r="C846" s="1" t="n"/>
      <c r="D846" s="1" t="n"/>
      <c r="E846" s="1" t="n"/>
      <c r="F846" s="1" t="n"/>
      <c r="G846" s="1" t="n"/>
      <c r="H846" s="1" t="n"/>
      <c r="I846" s="1" t="n"/>
      <c r="J846" s="1" t="n"/>
      <c r="K846" s="1" t="n"/>
      <c r="L846" s="1" t="n"/>
    </row>
    <row r="847" ht="15.75" customHeight="1" s="311">
      <c r="A847" s="1" t="n"/>
      <c r="B847" s="1" t="n"/>
      <c r="C847" s="1" t="n"/>
      <c r="D847" s="1" t="n"/>
      <c r="E847" s="1" t="n"/>
      <c r="F847" s="1" t="n"/>
      <c r="G847" s="1" t="n"/>
      <c r="H847" s="1" t="n"/>
      <c r="I847" s="1" t="n"/>
      <c r="J847" s="1" t="n"/>
      <c r="K847" s="1" t="n"/>
      <c r="L847" s="1" t="n"/>
    </row>
    <row r="848" ht="15.75" customHeight="1" s="311">
      <c r="A848" s="1" t="n"/>
      <c r="B848" s="1" t="n"/>
      <c r="C848" s="1" t="n"/>
      <c r="D848" s="1" t="n"/>
      <c r="E848" s="1" t="n"/>
      <c r="F848" s="1" t="n"/>
      <c r="G848" s="1" t="n"/>
      <c r="H848" s="1" t="n"/>
      <c r="I848" s="1" t="n"/>
      <c r="J848" s="1" t="n"/>
      <c r="K848" s="1" t="n"/>
      <c r="L848" s="1" t="n"/>
    </row>
    <row r="849" ht="15.75" customHeight="1" s="311">
      <c r="A849" s="1" t="n"/>
      <c r="B849" s="1" t="n"/>
      <c r="C849" s="1" t="n"/>
      <c r="D849" s="1" t="n"/>
      <c r="E849" s="1" t="n"/>
      <c r="F849" s="1" t="n"/>
      <c r="G849" s="1" t="n"/>
      <c r="H849" s="1" t="n"/>
      <c r="I849" s="1" t="n"/>
      <c r="J849" s="1" t="n"/>
      <c r="K849" s="1" t="n"/>
      <c r="L849" s="1" t="n"/>
    </row>
    <row r="850" ht="15.75" customHeight="1" s="311">
      <c r="A850" s="1" t="n"/>
      <c r="B850" s="1" t="n"/>
      <c r="C850" s="1" t="n"/>
      <c r="D850" s="1" t="n"/>
      <c r="E850" s="1" t="n"/>
      <c r="F850" s="1" t="n"/>
      <c r="G850" s="1" t="n"/>
      <c r="H850" s="1" t="n"/>
      <c r="I850" s="1" t="n"/>
      <c r="J850" s="1" t="n"/>
      <c r="K850" s="1" t="n"/>
      <c r="L850" s="1" t="n"/>
    </row>
    <row r="851" ht="15.75" customHeight="1" s="311">
      <c r="A851" s="1" t="n"/>
      <c r="B851" s="1" t="n"/>
      <c r="C851" s="1" t="n"/>
      <c r="D851" s="1" t="n"/>
      <c r="E851" s="1" t="n"/>
      <c r="F851" s="1" t="n"/>
      <c r="G851" s="1" t="n"/>
      <c r="H851" s="1" t="n"/>
      <c r="I851" s="1" t="n"/>
      <c r="J851" s="1" t="n"/>
      <c r="K851" s="1" t="n"/>
      <c r="L851" s="1" t="n"/>
    </row>
    <row r="852" ht="15.75" customHeight="1" s="311">
      <c r="A852" s="1" t="n"/>
      <c r="B852" s="1" t="n"/>
      <c r="C852" s="1" t="n"/>
      <c r="D852" s="1" t="n"/>
      <c r="E852" s="1" t="n"/>
      <c r="F852" s="1" t="n"/>
      <c r="G852" s="1" t="n"/>
      <c r="H852" s="1" t="n"/>
      <c r="I852" s="1" t="n"/>
      <c r="J852" s="1" t="n"/>
      <c r="K852" s="1" t="n"/>
      <c r="L852" s="1" t="n"/>
    </row>
    <row r="853" ht="15.75" customHeight="1" s="311">
      <c r="A853" s="1" t="n"/>
      <c r="B853" s="1" t="n"/>
      <c r="C853" s="1" t="n"/>
      <c r="D853" s="1" t="n"/>
      <c r="E853" s="1" t="n"/>
      <c r="F853" s="1" t="n"/>
      <c r="G853" s="1" t="n"/>
      <c r="H853" s="1" t="n"/>
      <c r="I853" s="1" t="n"/>
      <c r="J853" s="1" t="n"/>
      <c r="K853" s="1" t="n"/>
      <c r="L853" s="1" t="n"/>
    </row>
    <row r="854" ht="15.75" customHeight="1" s="311">
      <c r="A854" s="1" t="n"/>
      <c r="B854" s="1" t="n"/>
      <c r="C854" s="1" t="n"/>
      <c r="D854" s="1" t="n"/>
      <c r="E854" s="1" t="n"/>
      <c r="F854" s="1" t="n"/>
      <c r="G854" s="1" t="n"/>
      <c r="H854" s="1" t="n"/>
      <c r="I854" s="1" t="n"/>
      <c r="J854" s="1" t="n"/>
      <c r="K854" s="1" t="n"/>
      <c r="L854" s="1" t="n"/>
    </row>
    <row r="855" ht="15.75" customHeight="1" s="311">
      <c r="A855" s="1" t="n"/>
      <c r="B855" s="1" t="n"/>
      <c r="C855" s="1" t="n"/>
      <c r="D855" s="1" t="n"/>
      <c r="E855" s="1" t="n"/>
      <c r="F855" s="1" t="n"/>
      <c r="G855" s="1" t="n"/>
      <c r="H855" s="1" t="n"/>
      <c r="I855" s="1" t="n"/>
      <c r="J855" s="1" t="n"/>
      <c r="K855" s="1" t="n"/>
      <c r="L855" s="1" t="n"/>
    </row>
    <row r="856" ht="15.75" customHeight="1" s="311">
      <c r="A856" s="1" t="n"/>
      <c r="B856" s="1" t="n"/>
      <c r="C856" s="1" t="n"/>
      <c r="D856" s="1" t="n"/>
      <c r="E856" s="1" t="n"/>
      <c r="F856" s="1" t="n"/>
      <c r="G856" s="1" t="n"/>
      <c r="H856" s="1" t="n"/>
      <c r="I856" s="1" t="n"/>
      <c r="J856" s="1" t="n"/>
      <c r="K856" s="1" t="n"/>
      <c r="L856" s="1" t="n"/>
    </row>
    <row r="857" ht="15.75" customHeight="1" s="311">
      <c r="A857" s="1" t="n"/>
      <c r="B857" s="1" t="n"/>
      <c r="C857" s="1" t="n"/>
      <c r="D857" s="1" t="n"/>
      <c r="E857" s="1" t="n"/>
      <c r="F857" s="1" t="n"/>
      <c r="G857" s="1" t="n"/>
      <c r="H857" s="1" t="n"/>
      <c r="I857" s="1" t="n"/>
      <c r="J857" s="1" t="n"/>
      <c r="K857" s="1" t="n"/>
      <c r="L857" s="1" t="n"/>
    </row>
    <row r="858" ht="15.75" customHeight="1" s="311">
      <c r="A858" s="1" t="n"/>
      <c r="B858" s="1" t="n"/>
      <c r="C858" s="1" t="n"/>
      <c r="D858" s="1" t="n"/>
      <c r="E858" s="1" t="n"/>
      <c r="F858" s="1" t="n"/>
      <c r="G858" s="1" t="n"/>
      <c r="H858" s="1" t="n"/>
      <c r="I858" s="1" t="n"/>
      <c r="J858" s="1" t="n"/>
      <c r="K858" s="1" t="n"/>
      <c r="L858" s="1" t="n"/>
    </row>
    <row r="859" ht="15.75" customHeight="1" s="311">
      <c r="A859" s="1" t="n"/>
      <c r="B859" s="1" t="n"/>
      <c r="C859" s="1" t="n"/>
      <c r="D859" s="1" t="n"/>
      <c r="E859" s="1" t="n"/>
      <c r="F859" s="1" t="n"/>
      <c r="G859" s="1" t="n"/>
      <c r="H859" s="1" t="n"/>
      <c r="I859" s="1" t="n"/>
      <c r="J859" s="1" t="n"/>
      <c r="K859" s="1" t="n"/>
      <c r="L859" s="1" t="n"/>
    </row>
    <row r="860" ht="15.75" customHeight="1" s="311">
      <c r="A860" s="1" t="n"/>
      <c r="B860" s="1" t="n"/>
      <c r="C860" s="1" t="n"/>
      <c r="D860" s="1" t="n"/>
      <c r="E860" s="1" t="n"/>
      <c r="F860" s="1" t="n"/>
      <c r="G860" s="1" t="n"/>
      <c r="H860" s="1" t="n"/>
      <c r="I860" s="1" t="n"/>
      <c r="J860" s="1" t="n"/>
      <c r="K860" s="1" t="n"/>
      <c r="L860" s="1" t="n"/>
    </row>
    <row r="861" ht="15.75" customHeight="1" s="311">
      <c r="A861" s="1" t="n"/>
      <c r="B861" s="1" t="n"/>
      <c r="C861" s="1" t="n"/>
      <c r="D861" s="1" t="n"/>
      <c r="E861" s="1" t="n"/>
      <c r="F861" s="1" t="n"/>
      <c r="G861" s="1" t="n"/>
      <c r="H861" s="1" t="n"/>
      <c r="I861" s="1" t="n"/>
      <c r="J861" s="1" t="n"/>
      <c r="K861" s="1" t="n"/>
      <c r="L861" s="1" t="n"/>
    </row>
    <row r="862" ht="15.75" customHeight="1" s="311">
      <c r="A862" s="1" t="n"/>
      <c r="B862" s="1" t="n"/>
      <c r="C862" s="1" t="n"/>
      <c r="D862" s="1" t="n"/>
      <c r="E862" s="1" t="n"/>
      <c r="F862" s="1" t="n"/>
      <c r="G862" s="1" t="n"/>
      <c r="H862" s="1" t="n"/>
      <c r="I862" s="1" t="n"/>
      <c r="J862" s="1" t="n"/>
      <c r="K862" s="1" t="n"/>
      <c r="L862" s="1" t="n"/>
    </row>
    <row r="863" ht="15.75" customHeight="1" s="311">
      <c r="A863" s="1" t="n"/>
      <c r="B863" s="1" t="n"/>
      <c r="C863" s="1" t="n"/>
      <c r="D863" s="1" t="n"/>
      <c r="E863" s="1" t="n"/>
      <c r="F863" s="1" t="n"/>
      <c r="G863" s="1" t="n"/>
      <c r="H863" s="1" t="n"/>
      <c r="I863" s="1" t="n"/>
      <c r="J863" s="1" t="n"/>
      <c r="K863" s="1" t="n"/>
      <c r="L863" s="1" t="n"/>
    </row>
    <row r="864" ht="15.75" customHeight="1" s="311">
      <c r="A864" s="1" t="n"/>
      <c r="B864" s="1" t="n"/>
      <c r="C864" s="1" t="n"/>
      <c r="D864" s="1" t="n"/>
      <c r="E864" s="1" t="n"/>
      <c r="F864" s="1" t="n"/>
      <c r="G864" s="1" t="n"/>
      <c r="H864" s="1" t="n"/>
      <c r="I864" s="1" t="n"/>
      <c r="J864" s="1" t="n"/>
      <c r="K864" s="1" t="n"/>
      <c r="L864" s="1" t="n"/>
    </row>
    <row r="865" ht="15.75" customHeight="1" s="311">
      <c r="A865" s="1" t="n"/>
      <c r="B865" s="1" t="n"/>
      <c r="C865" s="1" t="n"/>
      <c r="D865" s="1" t="n"/>
      <c r="E865" s="1" t="n"/>
      <c r="F865" s="1" t="n"/>
      <c r="G865" s="1" t="n"/>
      <c r="H865" s="1" t="n"/>
      <c r="I865" s="1" t="n"/>
      <c r="J865" s="1" t="n"/>
      <c r="K865" s="1" t="n"/>
      <c r="L865" s="1" t="n"/>
    </row>
    <row r="866" ht="15.75" customHeight="1" s="311">
      <c r="A866" s="1" t="n"/>
      <c r="B866" s="1" t="n"/>
      <c r="C866" s="1" t="n"/>
      <c r="D866" s="1" t="n"/>
      <c r="E866" s="1" t="n"/>
      <c r="F866" s="1" t="n"/>
      <c r="G866" s="1" t="n"/>
      <c r="H866" s="1" t="n"/>
      <c r="I866" s="1" t="n"/>
      <c r="J866" s="1" t="n"/>
      <c r="K866" s="1" t="n"/>
      <c r="L866" s="1" t="n"/>
    </row>
    <row r="867" ht="15.75" customHeight="1" s="311">
      <c r="A867" s="1" t="n"/>
      <c r="B867" s="1" t="n"/>
      <c r="C867" s="1" t="n"/>
      <c r="D867" s="1" t="n"/>
      <c r="E867" s="1" t="n"/>
      <c r="F867" s="1" t="n"/>
      <c r="G867" s="1" t="n"/>
      <c r="H867" s="1" t="n"/>
      <c r="I867" s="1" t="n"/>
      <c r="J867" s="1" t="n"/>
      <c r="K867" s="1" t="n"/>
      <c r="L867" s="1" t="n"/>
    </row>
    <row r="868" ht="15.75" customHeight="1" s="311">
      <c r="A868" s="1" t="n"/>
      <c r="B868" s="1" t="n"/>
      <c r="C868" s="1" t="n"/>
      <c r="D868" s="1" t="n"/>
      <c r="E868" s="1" t="n"/>
      <c r="F868" s="1" t="n"/>
      <c r="G868" s="1" t="n"/>
      <c r="H868" s="1" t="n"/>
      <c r="I868" s="1" t="n"/>
      <c r="J868" s="1" t="n"/>
      <c r="K868" s="1" t="n"/>
      <c r="L868" s="1" t="n"/>
    </row>
    <row r="869" ht="15.75" customHeight="1" s="311">
      <c r="A869" s="1" t="n"/>
      <c r="B869" s="1" t="n"/>
      <c r="C869" s="1" t="n"/>
      <c r="D869" s="1" t="n"/>
      <c r="E869" s="1" t="n"/>
      <c r="F869" s="1" t="n"/>
      <c r="G869" s="1" t="n"/>
      <c r="H869" s="1" t="n"/>
      <c r="I869" s="1" t="n"/>
      <c r="J869" s="1" t="n"/>
      <c r="K869" s="1" t="n"/>
      <c r="L869" s="1" t="n"/>
    </row>
    <row r="870" ht="15.75" customHeight="1" s="311">
      <c r="A870" s="1" t="n"/>
      <c r="B870" s="1" t="n"/>
      <c r="C870" s="1" t="n"/>
      <c r="D870" s="1" t="n"/>
      <c r="E870" s="1" t="n"/>
      <c r="F870" s="1" t="n"/>
      <c r="G870" s="1" t="n"/>
      <c r="H870" s="1" t="n"/>
      <c r="I870" s="1" t="n"/>
      <c r="J870" s="1" t="n"/>
      <c r="K870" s="1" t="n"/>
      <c r="L870" s="1" t="n"/>
    </row>
    <row r="871" ht="15.75" customHeight="1" s="311">
      <c r="A871" s="1" t="n"/>
      <c r="B871" s="1" t="n"/>
      <c r="C871" s="1" t="n"/>
      <c r="D871" s="1" t="n"/>
      <c r="E871" s="1" t="n"/>
      <c r="F871" s="1" t="n"/>
      <c r="G871" s="1" t="n"/>
      <c r="H871" s="1" t="n"/>
      <c r="I871" s="1" t="n"/>
      <c r="J871" s="1" t="n"/>
      <c r="K871" s="1" t="n"/>
      <c r="L871" s="1" t="n"/>
    </row>
    <row r="872" ht="15.75" customHeight="1" s="311">
      <c r="A872" s="1" t="n"/>
      <c r="B872" s="1" t="n"/>
      <c r="C872" s="1" t="n"/>
      <c r="D872" s="1" t="n"/>
      <c r="E872" s="1" t="n"/>
      <c r="F872" s="1" t="n"/>
      <c r="G872" s="1" t="n"/>
      <c r="H872" s="1" t="n"/>
      <c r="I872" s="1" t="n"/>
      <c r="J872" s="1" t="n"/>
      <c r="K872" s="1" t="n"/>
      <c r="L872" s="1" t="n"/>
    </row>
    <row r="873" ht="15.75" customHeight="1" s="311">
      <c r="A873" s="1" t="n"/>
      <c r="B873" s="1" t="n"/>
      <c r="C873" s="1" t="n"/>
      <c r="D873" s="1" t="n"/>
      <c r="E873" s="1" t="n"/>
      <c r="F873" s="1" t="n"/>
      <c r="G873" s="1" t="n"/>
      <c r="H873" s="1" t="n"/>
      <c r="I873" s="1" t="n"/>
      <c r="J873" s="1" t="n"/>
      <c r="K873" s="1" t="n"/>
      <c r="L873" s="1" t="n"/>
    </row>
    <row r="874" ht="15.75" customHeight="1" s="311">
      <c r="A874" s="1" t="n"/>
      <c r="B874" s="1" t="n"/>
      <c r="C874" s="1" t="n"/>
      <c r="D874" s="1" t="n"/>
      <c r="E874" s="1" t="n"/>
      <c r="F874" s="1" t="n"/>
      <c r="G874" s="1" t="n"/>
      <c r="H874" s="1" t="n"/>
      <c r="I874" s="1" t="n"/>
      <c r="J874" s="1" t="n"/>
      <c r="K874" s="1" t="n"/>
      <c r="L874" s="1" t="n"/>
    </row>
    <row r="875" ht="15.75" customHeight="1" s="311">
      <c r="A875" s="1" t="n"/>
      <c r="B875" s="1" t="n"/>
      <c r="C875" s="1" t="n"/>
      <c r="D875" s="1" t="n"/>
      <c r="E875" s="1" t="n"/>
      <c r="F875" s="1" t="n"/>
      <c r="G875" s="1" t="n"/>
      <c r="H875" s="1" t="n"/>
      <c r="I875" s="1" t="n"/>
      <c r="J875" s="1" t="n"/>
      <c r="K875" s="1" t="n"/>
      <c r="L875" s="1" t="n"/>
    </row>
    <row r="876" ht="15.75" customHeight="1" s="311">
      <c r="A876" s="1" t="n"/>
      <c r="B876" s="1" t="n"/>
      <c r="C876" s="1" t="n"/>
      <c r="D876" s="1" t="n"/>
      <c r="E876" s="1" t="n"/>
      <c r="F876" s="1" t="n"/>
      <c r="G876" s="1" t="n"/>
      <c r="H876" s="1" t="n"/>
      <c r="I876" s="1" t="n"/>
      <c r="J876" s="1" t="n"/>
      <c r="K876" s="1" t="n"/>
      <c r="L876" s="1" t="n"/>
    </row>
    <row r="877" ht="15.75" customHeight="1" s="311">
      <c r="A877" s="1" t="n"/>
      <c r="B877" s="1" t="n"/>
      <c r="C877" s="1" t="n"/>
      <c r="D877" s="1" t="n"/>
      <c r="E877" s="1" t="n"/>
      <c r="F877" s="1" t="n"/>
      <c r="G877" s="1" t="n"/>
      <c r="H877" s="1" t="n"/>
      <c r="I877" s="1" t="n"/>
      <c r="J877" s="1" t="n"/>
      <c r="K877" s="1" t="n"/>
      <c r="L877" s="1" t="n"/>
    </row>
    <row r="878" ht="15.75" customHeight="1" s="311">
      <c r="A878" s="1" t="n"/>
      <c r="B878" s="1" t="n"/>
      <c r="C878" s="1" t="n"/>
      <c r="D878" s="1" t="n"/>
      <c r="E878" s="1" t="n"/>
      <c r="F878" s="1" t="n"/>
      <c r="G878" s="1" t="n"/>
      <c r="H878" s="1" t="n"/>
      <c r="I878" s="1" t="n"/>
      <c r="J878" s="1" t="n"/>
      <c r="K878" s="1" t="n"/>
      <c r="L878" s="1" t="n"/>
    </row>
    <row r="879" ht="15.75" customHeight="1" s="311">
      <c r="A879" s="1" t="n"/>
      <c r="B879" s="1" t="n"/>
      <c r="C879" s="1" t="n"/>
      <c r="D879" s="1" t="n"/>
      <c r="E879" s="1" t="n"/>
      <c r="F879" s="1" t="n"/>
      <c r="G879" s="1" t="n"/>
      <c r="H879" s="1" t="n"/>
      <c r="I879" s="1" t="n"/>
      <c r="J879" s="1" t="n"/>
      <c r="K879" s="1" t="n"/>
      <c r="L879" s="1" t="n"/>
    </row>
    <row r="880" ht="15.75" customHeight="1" s="311">
      <c r="A880" s="1" t="n"/>
      <c r="B880" s="1" t="n"/>
      <c r="C880" s="1" t="n"/>
      <c r="D880" s="1" t="n"/>
      <c r="E880" s="1" t="n"/>
      <c r="F880" s="1" t="n"/>
      <c r="G880" s="1" t="n"/>
      <c r="H880" s="1" t="n"/>
      <c r="I880" s="1" t="n"/>
      <c r="J880" s="1" t="n"/>
      <c r="K880" s="1" t="n"/>
      <c r="L880" s="1" t="n"/>
    </row>
    <row r="881" ht="15.75" customHeight="1" s="311">
      <c r="A881" s="1" t="n"/>
      <c r="B881" s="1" t="n"/>
      <c r="C881" s="1" t="n"/>
      <c r="D881" s="1" t="n"/>
      <c r="E881" s="1" t="n"/>
      <c r="F881" s="1" t="n"/>
      <c r="G881" s="1" t="n"/>
      <c r="H881" s="1" t="n"/>
      <c r="I881" s="1" t="n"/>
      <c r="J881" s="1" t="n"/>
      <c r="K881" s="1" t="n"/>
      <c r="L881" s="1" t="n"/>
    </row>
    <row r="882" ht="15.75" customHeight="1" s="311">
      <c r="A882" s="1" t="n"/>
      <c r="B882" s="1" t="n"/>
      <c r="C882" s="1" t="n"/>
      <c r="D882" s="1" t="n"/>
      <c r="E882" s="1" t="n"/>
      <c r="F882" s="1" t="n"/>
      <c r="G882" s="1" t="n"/>
      <c r="H882" s="1" t="n"/>
      <c r="I882" s="1" t="n"/>
      <c r="J882" s="1" t="n"/>
      <c r="K882" s="1" t="n"/>
      <c r="L882" s="1" t="n"/>
    </row>
    <row r="883" ht="15.75" customHeight="1" s="311">
      <c r="A883" s="1" t="n"/>
      <c r="B883" s="1" t="n"/>
      <c r="C883" s="1" t="n"/>
      <c r="D883" s="1" t="n"/>
      <c r="E883" s="1" t="n"/>
      <c r="F883" s="1" t="n"/>
      <c r="G883" s="1" t="n"/>
      <c r="H883" s="1" t="n"/>
      <c r="I883" s="1" t="n"/>
      <c r="J883" s="1" t="n"/>
      <c r="K883" s="1" t="n"/>
      <c r="L883" s="1" t="n"/>
    </row>
    <row r="884" ht="15.75" customHeight="1" s="311">
      <c r="A884" s="1" t="n"/>
      <c r="B884" s="1" t="n"/>
      <c r="C884" s="1" t="n"/>
      <c r="D884" s="1" t="n"/>
      <c r="E884" s="1" t="n"/>
      <c r="F884" s="1" t="n"/>
      <c r="G884" s="1" t="n"/>
      <c r="H884" s="1" t="n"/>
      <c r="I884" s="1" t="n"/>
      <c r="J884" s="1" t="n"/>
      <c r="K884" s="1" t="n"/>
      <c r="L884" s="1" t="n"/>
    </row>
    <row r="885" ht="15.75" customHeight="1" s="311">
      <c r="A885" s="1" t="n"/>
      <c r="B885" s="1" t="n"/>
      <c r="C885" s="1" t="n"/>
      <c r="D885" s="1" t="n"/>
      <c r="E885" s="1" t="n"/>
      <c r="F885" s="1" t="n"/>
      <c r="G885" s="1" t="n"/>
      <c r="H885" s="1" t="n"/>
      <c r="I885" s="1" t="n"/>
      <c r="J885" s="1" t="n"/>
      <c r="K885" s="1" t="n"/>
      <c r="L885" s="1" t="n"/>
    </row>
    <row r="886" ht="15.75" customHeight="1" s="311">
      <c r="A886" s="1" t="n"/>
      <c r="B886" s="1" t="n"/>
      <c r="C886" s="1" t="n"/>
      <c r="D886" s="1" t="n"/>
      <c r="E886" s="1" t="n"/>
      <c r="F886" s="1" t="n"/>
      <c r="G886" s="1" t="n"/>
      <c r="H886" s="1" t="n"/>
      <c r="I886" s="1" t="n"/>
      <c r="J886" s="1" t="n"/>
      <c r="K886" s="1" t="n"/>
      <c r="L886" s="1" t="n"/>
    </row>
    <row r="887" ht="15.75" customHeight="1" s="311">
      <c r="A887" s="1" t="n"/>
      <c r="B887" s="1" t="n"/>
      <c r="C887" s="1" t="n"/>
      <c r="D887" s="1" t="n"/>
      <c r="E887" s="1" t="n"/>
      <c r="F887" s="1" t="n"/>
      <c r="G887" s="1" t="n"/>
      <c r="H887" s="1" t="n"/>
      <c r="I887" s="1" t="n"/>
      <c r="J887" s="1" t="n"/>
      <c r="K887" s="1" t="n"/>
      <c r="L887" s="1" t="n"/>
    </row>
    <row r="888" ht="15.75" customHeight="1" s="311">
      <c r="A888" s="1" t="n"/>
      <c r="B888" s="1" t="n"/>
      <c r="C888" s="1" t="n"/>
      <c r="D888" s="1" t="n"/>
      <c r="E888" s="1" t="n"/>
      <c r="F888" s="1" t="n"/>
      <c r="G888" s="1" t="n"/>
      <c r="H888" s="1" t="n"/>
      <c r="I888" s="1" t="n"/>
      <c r="J888" s="1" t="n"/>
      <c r="K888" s="1" t="n"/>
      <c r="L888" s="1" t="n"/>
    </row>
    <row r="889" ht="15.75" customHeight="1" s="311">
      <c r="A889" s="1" t="n"/>
      <c r="B889" s="1" t="n"/>
      <c r="C889" s="1" t="n"/>
      <c r="D889" s="1" t="n"/>
      <c r="E889" s="1" t="n"/>
      <c r="F889" s="1" t="n"/>
      <c r="G889" s="1" t="n"/>
      <c r="H889" s="1" t="n"/>
      <c r="I889" s="1" t="n"/>
      <c r="J889" s="1" t="n"/>
      <c r="K889" s="1" t="n"/>
      <c r="L889" s="1" t="n"/>
    </row>
    <row r="890" ht="15.75" customHeight="1" s="311">
      <c r="A890" s="1" t="n"/>
      <c r="B890" s="1" t="n"/>
      <c r="C890" s="1" t="n"/>
      <c r="D890" s="1" t="n"/>
      <c r="E890" s="1" t="n"/>
      <c r="F890" s="1" t="n"/>
      <c r="G890" s="1" t="n"/>
      <c r="H890" s="1" t="n"/>
      <c r="I890" s="1" t="n"/>
      <c r="J890" s="1" t="n"/>
      <c r="K890" s="1" t="n"/>
      <c r="L890" s="1" t="n"/>
    </row>
    <row r="891" ht="15.75" customHeight="1" s="311">
      <c r="A891" s="1" t="n"/>
      <c r="B891" s="1" t="n"/>
      <c r="C891" s="1" t="n"/>
      <c r="D891" s="1" t="n"/>
      <c r="E891" s="1" t="n"/>
      <c r="F891" s="1" t="n"/>
      <c r="G891" s="1" t="n"/>
      <c r="H891" s="1" t="n"/>
      <c r="I891" s="1" t="n"/>
      <c r="J891" s="1" t="n"/>
      <c r="K891" s="1" t="n"/>
      <c r="L891" s="1" t="n"/>
    </row>
    <row r="892" ht="15.75" customHeight="1" s="311">
      <c r="A892" s="1" t="n"/>
      <c r="B892" s="1" t="n"/>
      <c r="C892" s="1" t="n"/>
      <c r="D892" s="1" t="n"/>
      <c r="E892" s="1" t="n"/>
      <c r="F892" s="1" t="n"/>
      <c r="G892" s="1" t="n"/>
      <c r="H892" s="1" t="n"/>
      <c r="I892" s="1" t="n"/>
      <c r="J892" s="1" t="n"/>
      <c r="K892" s="1" t="n"/>
      <c r="L892" s="1" t="n"/>
    </row>
    <row r="893" ht="15.75" customHeight="1" s="311">
      <c r="A893" s="1" t="n"/>
      <c r="B893" s="1" t="n"/>
      <c r="C893" s="1" t="n"/>
      <c r="D893" s="1" t="n"/>
      <c r="E893" s="1" t="n"/>
      <c r="F893" s="1" t="n"/>
      <c r="G893" s="1" t="n"/>
      <c r="H893" s="1" t="n"/>
      <c r="I893" s="1" t="n"/>
      <c r="J893" s="1" t="n"/>
      <c r="K893" s="1" t="n"/>
      <c r="L893" s="1" t="n"/>
    </row>
    <row r="894" ht="15.75" customHeight="1" s="311">
      <c r="A894" s="1" t="n"/>
      <c r="B894" s="1" t="n"/>
      <c r="C894" s="1" t="n"/>
      <c r="D894" s="1" t="n"/>
      <c r="E894" s="1" t="n"/>
      <c r="F894" s="1" t="n"/>
      <c r="G894" s="1" t="n"/>
      <c r="H894" s="1" t="n"/>
      <c r="I894" s="1" t="n"/>
      <c r="J894" s="1" t="n"/>
      <c r="K894" s="1" t="n"/>
      <c r="L894" s="1" t="n"/>
    </row>
    <row r="895" ht="15.75" customHeight="1" s="311">
      <c r="A895" s="1" t="n"/>
      <c r="B895" s="1" t="n"/>
      <c r="C895" s="1" t="n"/>
      <c r="D895" s="1" t="n"/>
      <c r="E895" s="1" t="n"/>
      <c r="F895" s="1" t="n"/>
      <c r="G895" s="1" t="n"/>
      <c r="H895" s="1" t="n"/>
      <c r="I895" s="1" t="n"/>
      <c r="J895" s="1" t="n"/>
      <c r="K895" s="1" t="n"/>
      <c r="L895" s="1" t="n"/>
    </row>
    <row r="896" ht="15.75" customHeight="1" s="311">
      <c r="A896" s="1" t="n"/>
      <c r="B896" s="1" t="n"/>
      <c r="C896" s="1" t="n"/>
      <c r="D896" s="1" t="n"/>
      <c r="E896" s="1" t="n"/>
      <c r="F896" s="1" t="n"/>
      <c r="G896" s="1" t="n"/>
      <c r="H896" s="1" t="n"/>
      <c r="I896" s="1" t="n"/>
      <c r="J896" s="1" t="n"/>
      <c r="K896" s="1" t="n"/>
      <c r="L896" s="1" t="n"/>
    </row>
    <row r="897" ht="15.75" customHeight="1" s="311">
      <c r="A897" s="1" t="n"/>
      <c r="B897" s="1" t="n"/>
      <c r="C897" s="1" t="n"/>
      <c r="D897" s="1" t="n"/>
      <c r="E897" s="1" t="n"/>
      <c r="F897" s="1" t="n"/>
      <c r="G897" s="1" t="n"/>
      <c r="H897" s="1" t="n"/>
      <c r="I897" s="1" t="n"/>
      <c r="J897" s="1" t="n"/>
      <c r="K897" s="1" t="n"/>
      <c r="L897" s="1" t="n"/>
    </row>
    <row r="898" ht="15.75" customHeight="1" s="311">
      <c r="A898" s="1" t="n"/>
      <c r="B898" s="1" t="n"/>
      <c r="C898" s="1" t="n"/>
      <c r="D898" s="1" t="n"/>
      <c r="E898" s="1" t="n"/>
      <c r="F898" s="1" t="n"/>
      <c r="G898" s="1" t="n"/>
      <c r="H898" s="1" t="n"/>
      <c r="I898" s="1" t="n"/>
      <c r="J898" s="1" t="n"/>
      <c r="K898" s="1" t="n"/>
      <c r="L898" s="1" t="n"/>
    </row>
    <row r="899" ht="15.75" customHeight="1" s="311">
      <c r="A899" s="1" t="n"/>
      <c r="B899" s="1" t="n"/>
      <c r="C899" s="1" t="n"/>
      <c r="D899" s="1" t="n"/>
      <c r="E899" s="1" t="n"/>
      <c r="F899" s="1" t="n"/>
      <c r="G899" s="1" t="n"/>
      <c r="H899" s="1" t="n"/>
      <c r="I899" s="1" t="n"/>
      <c r="J899" s="1" t="n"/>
      <c r="K899" s="1" t="n"/>
      <c r="L899" s="1" t="n"/>
    </row>
    <row r="900" ht="15.75" customHeight="1" s="311">
      <c r="A900" s="1" t="n"/>
      <c r="B900" s="1" t="n"/>
      <c r="C900" s="1" t="n"/>
      <c r="D900" s="1" t="n"/>
      <c r="E900" s="1" t="n"/>
      <c r="F900" s="1" t="n"/>
      <c r="G900" s="1" t="n"/>
      <c r="H900" s="1" t="n"/>
      <c r="I900" s="1" t="n"/>
      <c r="J900" s="1" t="n"/>
      <c r="K900" s="1" t="n"/>
      <c r="L900" s="1" t="n"/>
    </row>
    <row r="901" ht="15.75" customHeight="1" s="311">
      <c r="A901" s="1" t="n"/>
      <c r="B901" s="1" t="n"/>
      <c r="C901" s="1" t="n"/>
      <c r="D901" s="1" t="n"/>
      <c r="E901" s="1" t="n"/>
      <c r="F901" s="1" t="n"/>
      <c r="G901" s="1" t="n"/>
      <c r="H901" s="1" t="n"/>
      <c r="I901" s="1" t="n"/>
      <c r="J901" s="1" t="n"/>
      <c r="K901" s="1" t="n"/>
      <c r="L901" s="1" t="n"/>
    </row>
    <row r="902" ht="15.75" customHeight="1" s="311">
      <c r="A902" s="1" t="n"/>
      <c r="B902" s="1" t="n"/>
      <c r="C902" s="1" t="n"/>
      <c r="D902" s="1" t="n"/>
      <c r="E902" s="1" t="n"/>
      <c r="F902" s="1" t="n"/>
      <c r="G902" s="1" t="n"/>
      <c r="H902" s="1" t="n"/>
      <c r="I902" s="1" t="n"/>
      <c r="J902" s="1" t="n"/>
      <c r="K902" s="1" t="n"/>
      <c r="L902" s="1" t="n"/>
    </row>
    <row r="903" ht="15.75" customHeight="1" s="311">
      <c r="A903" s="1" t="n"/>
      <c r="B903" s="1" t="n"/>
      <c r="C903" s="1" t="n"/>
      <c r="D903" s="1" t="n"/>
      <c r="E903" s="1" t="n"/>
      <c r="F903" s="1" t="n"/>
      <c r="G903" s="1" t="n"/>
      <c r="H903" s="1" t="n"/>
      <c r="I903" s="1" t="n"/>
      <c r="J903" s="1" t="n"/>
      <c r="K903" s="1" t="n"/>
      <c r="L903" s="1" t="n"/>
    </row>
    <row r="904" ht="15.75" customHeight="1" s="311">
      <c r="A904" s="1" t="n"/>
      <c r="B904" s="1" t="n"/>
      <c r="C904" s="1" t="n"/>
      <c r="D904" s="1" t="n"/>
      <c r="E904" s="1" t="n"/>
      <c r="F904" s="1" t="n"/>
      <c r="G904" s="1" t="n"/>
      <c r="H904" s="1" t="n"/>
      <c r="I904" s="1" t="n"/>
      <c r="J904" s="1" t="n"/>
      <c r="K904" s="1" t="n"/>
      <c r="L904" s="1" t="n"/>
    </row>
    <row r="905" ht="15.75" customHeight="1" s="311">
      <c r="A905" s="1" t="n"/>
      <c r="B905" s="1" t="n"/>
      <c r="C905" s="1" t="n"/>
      <c r="D905" s="1" t="n"/>
      <c r="E905" s="1" t="n"/>
      <c r="F905" s="1" t="n"/>
      <c r="G905" s="1" t="n"/>
      <c r="H905" s="1" t="n"/>
      <c r="I905" s="1" t="n"/>
      <c r="J905" s="1" t="n"/>
      <c r="K905" s="1" t="n"/>
      <c r="L905" s="1" t="n"/>
    </row>
    <row r="906" ht="15.75" customHeight="1" s="311">
      <c r="A906" s="1" t="n"/>
      <c r="B906" s="1" t="n"/>
      <c r="C906" s="1" t="n"/>
      <c r="D906" s="1" t="n"/>
      <c r="E906" s="1" t="n"/>
      <c r="F906" s="1" t="n"/>
      <c r="G906" s="1" t="n"/>
      <c r="H906" s="1" t="n"/>
      <c r="I906" s="1" t="n"/>
      <c r="J906" s="1" t="n"/>
      <c r="K906" s="1" t="n"/>
      <c r="L906" s="1" t="n"/>
    </row>
    <row r="907" ht="15.75" customHeight="1" s="311">
      <c r="A907" s="1" t="n"/>
      <c r="B907" s="1" t="n"/>
      <c r="C907" s="1" t="n"/>
      <c r="D907" s="1" t="n"/>
      <c r="E907" s="1" t="n"/>
      <c r="F907" s="1" t="n"/>
      <c r="G907" s="1" t="n"/>
      <c r="H907" s="1" t="n"/>
      <c r="I907" s="1" t="n"/>
      <c r="J907" s="1" t="n"/>
      <c r="K907" s="1" t="n"/>
      <c r="L907" s="1" t="n"/>
    </row>
    <row r="908" ht="15.75" customHeight="1" s="311">
      <c r="A908" s="1" t="n"/>
      <c r="B908" s="1" t="n"/>
      <c r="C908" s="1" t="n"/>
      <c r="D908" s="1" t="n"/>
      <c r="E908" s="1" t="n"/>
      <c r="F908" s="1" t="n"/>
      <c r="G908" s="1" t="n"/>
      <c r="H908" s="1" t="n"/>
      <c r="I908" s="1" t="n"/>
      <c r="J908" s="1" t="n"/>
      <c r="K908" s="1" t="n"/>
      <c r="L908" s="1" t="n"/>
    </row>
    <row r="909" ht="15.75" customHeight="1" s="311">
      <c r="A909" s="1" t="n"/>
      <c r="B909" s="1" t="n"/>
      <c r="C909" s="1" t="n"/>
      <c r="D909" s="1" t="n"/>
      <c r="E909" s="1" t="n"/>
      <c r="F909" s="1" t="n"/>
      <c r="G909" s="1" t="n"/>
      <c r="H909" s="1" t="n"/>
      <c r="I909" s="1" t="n"/>
      <c r="J909" s="1" t="n"/>
      <c r="K909" s="1" t="n"/>
      <c r="L909" s="1" t="n"/>
    </row>
    <row r="910" ht="15.75" customHeight="1" s="311">
      <c r="A910" s="1" t="n"/>
      <c r="B910" s="1" t="n"/>
      <c r="C910" s="1" t="n"/>
      <c r="D910" s="1" t="n"/>
      <c r="E910" s="1" t="n"/>
      <c r="F910" s="1" t="n"/>
      <c r="G910" s="1" t="n"/>
      <c r="H910" s="1" t="n"/>
      <c r="I910" s="1" t="n"/>
      <c r="J910" s="1" t="n"/>
      <c r="K910" s="1" t="n"/>
      <c r="L910" s="1" t="n"/>
    </row>
    <row r="911" ht="15.75" customHeight="1" s="311">
      <c r="A911" s="1" t="n"/>
      <c r="B911" s="1" t="n"/>
      <c r="C911" s="1" t="n"/>
      <c r="D911" s="1" t="n"/>
      <c r="E911" s="1" t="n"/>
      <c r="F911" s="1" t="n"/>
      <c r="G911" s="1" t="n"/>
      <c r="H911" s="1" t="n"/>
      <c r="I911" s="1" t="n"/>
      <c r="J911" s="1" t="n"/>
      <c r="K911" s="1" t="n"/>
      <c r="L911" s="1" t="n"/>
    </row>
    <row r="912" ht="15.75" customHeight="1" s="311">
      <c r="A912" s="1" t="n"/>
      <c r="B912" s="1" t="n"/>
      <c r="C912" s="1" t="n"/>
      <c r="D912" s="1" t="n"/>
      <c r="E912" s="1" t="n"/>
      <c r="F912" s="1" t="n"/>
      <c r="G912" s="1" t="n"/>
      <c r="H912" s="1" t="n"/>
      <c r="I912" s="1" t="n"/>
      <c r="J912" s="1" t="n"/>
      <c r="K912" s="1" t="n"/>
      <c r="L912" s="1" t="n"/>
    </row>
    <row r="913" ht="15.75" customHeight="1" s="311">
      <c r="A913" s="1" t="n"/>
      <c r="B913" s="1" t="n"/>
      <c r="C913" s="1" t="n"/>
      <c r="D913" s="1" t="n"/>
      <c r="E913" s="1" t="n"/>
      <c r="F913" s="1" t="n"/>
      <c r="G913" s="1" t="n"/>
      <c r="H913" s="1" t="n"/>
      <c r="I913" s="1" t="n"/>
      <c r="J913" s="1" t="n"/>
      <c r="K913" s="1" t="n"/>
      <c r="L913" s="1" t="n"/>
    </row>
    <row r="914" ht="15.75" customHeight="1" s="311">
      <c r="A914" s="1" t="n"/>
      <c r="B914" s="1" t="n"/>
      <c r="C914" s="1" t="n"/>
      <c r="D914" s="1" t="n"/>
      <c r="E914" s="1" t="n"/>
      <c r="F914" s="1" t="n"/>
      <c r="G914" s="1" t="n"/>
      <c r="H914" s="1" t="n"/>
      <c r="I914" s="1" t="n"/>
      <c r="J914" s="1" t="n"/>
      <c r="K914" s="1" t="n"/>
      <c r="L914" s="1" t="n"/>
    </row>
    <row r="915" ht="15.75" customHeight="1" s="311">
      <c r="A915" s="1" t="n"/>
      <c r="B915" s="1" t="n"/>
      <c r="C915" s="1" t="n"/>
      <c r="D915" s="1" t="n"/>
      <c r="E915" s="1" t="n"/>
      <c r="F915" s="1" t="n"/>
      <c r="G915" s="1" t="n"/>
      <c r="H915" s="1" t="n"/>
      <c r="I915" s="1" t="n"/>
      <c r="J915" s="1" t="n"/>
      <c r="K915" s="1" t="n"/>
      <c r="L915" s="1" t="n"/>
    </row>
    <row r="916" ht="15.75" customHeight="1" s="311">
      <c r="A916" s="1" t="n"/>
      <c r="B916" s="1" t="n"/>
      <c r="C916" s="1" t="n"/>
      <c r="D916" s="1" t="n"/>
      <c r="E916" s="1" t="n"/>
      <c r="F916" s="1" t="n"/>
      <c r="G916" s="1" t="n"/>
      <c r="H916" s="1" t="n"/>
      <c r="I916" s="1" t="n"/>
      <c r="J916" s="1" t="n"/>
      <c r="K916" s="1" t="n"/>
      <c r="L916" s="1" t="n"/>
    </row>
    <row r="917" ht="15.75" customHeight="1" s="311">
      <c r="A917" s="1" t="n"/>
      <c r="B917" s="1" t="n"/>
      <c r="C917" s="1" t="n"/>
      <c r="D917" s="1" t="n"/>
      <c r="E917" s="1" t="n"/>
      <c r="F917" s="1" t="n"/>
      <c r="G917" s="1" t="n"/>
      <c r="H917" s="1" t="n"/>
      <c r="I917" s="1" t="n"/>
      <c r="J917" s="1" t="n"/>
      <c r="K917" s="1" t="n"/>
      <c r="L917" s="1" t="n"/>
    </row>
    <row r="918" ht="15.75" customHeight="1" s="311">
      <c r="A918" s="1" t="n"/>
      <c r="B918" s="1" t="n"/>
      <c r="C918" s="1" t="n"/>
      <c r="D918" s="1" t="n"/>
      <c r="E918" s="1" t="n"/>
      <c r="F918" s="1" t="n"/>
      <c r="G918" s="1" t="n"/>
      <c r="H918" s="1" t="n"/>
      <c r="I918" s="1" t="n"/>
      <c r="J918" s="1" t="n"/>
      <c r="K918" s="1" t="n"/>
      <c r="L918" s="1" t="n"/>
    </row>
    <row r="919" ht="15.75" customHeight="1" s="311">
      <c r="A919" s="1" t="n"/>
      <c r="B919" s="1" t="n"/>
      <c r="C919" s="1" t="n"/>
      <c r="D919" s="1" t="n"/>
      <c r="E919" s="1" t="n"/>
      <c r="F919" s="1" t="n"/>
      <c r="G919" s="1" t="n"/>
      <c r="H919" s="1" t="n"/>
      <c r="I919" s="1" t="n"/>
      <c r="J919" s="1" t="n"/>
      <c r="K919" s="1" t="n"/>
      <c r="L919" s="1" t="n"/>
    </row>
    <row r="920" ht="15.75" customHeight="1" s="311">
      <c r="A920" s="1" t="n"/>
      <c r="B920" s="1" t="n"/>
      <c r="C920" s="1" t="n"/>
      <c r="D920" s="1" t="n"/>
      <c r="E920" s="1" t="n"/>
      <c r="F920" s="1" t="n"/>
      <c r="G920" s="1" t="n"/>
      <c r="H920" s="1" t="n"/>
      <c r="I920" s="1" t="n"/>
      <c r="J920" s="1" t="n"/>
      <c r="K920" s="1" t="n"/>
      <c r="L920" s="1" t="n"/>
    </row>
    <row r="921" ht="15.75" customHeight="1" s="311">
      <c r="A921" s="1" t="n"/>
      <c r="B921" s="1" t="n"/>
      <c r="C921" s="1" t="n"/>
      <c r="D921" s="1" t="n"/>
      <c r="E921" s="1" t="n"/>
      <c r="F921" s="1" t="n"/>
      <c r="G921" s="1" t="n"/>
      <c r="H921" s="1" t="n"/>
      <c r="I921" s="1" t="n"/>
      <c r="J921" s="1" t="n"/>
      <c r="K921" s="1" t="n"/>
      <c r="L921" s="1" t="n"/>
    </row>
    <row r="922" ht="15.75" customHeight="1" s="311">
      <c r="A922" s="1" t="n"/>
      <c r="B922" s="1" t="n"/>
      <c r="C922" s="1" t="n"/>
      <c r="D922" s="1" t="n"/>
      <c r="E922" s="1" t="n"/>
      <c r="F922" s="1" t="n"/>
      <c r="G922" s="1" t="n"/>
      <c r="H922" s="1" t="n"/>
      <c r="I922" s="1" t="n"/>
      <c r="J922" s="1" t="n"/>
      <c r="K922" s="1" t="n"/>
      <c r="L922" s="1" t="n"/>
    </row>
    <row r="923" ht="15.75" customHeight="1" s="311">
      <c r="A923" s="1" t="n"/>
      <c r="B923" s="1" t="n"/>
      <c r="C923" s="1" t="n"/>
      <c r="D923" s="1" t="n"/>
      <c r="E923" s="1" t="n"/>
      <c r="F923" s="1" t="n"/>
      <c r="G923" s="1" t="n"/>
      <c r="H923" s="1" t="n"/>
      <c r="I923" s="1" t="n"/>
      <c r="J923" s="1" t="n"/>
      <c r="K923" s="1" t="n"/>
      <c r="L923" s="1" t="n"/>
    </row>
    <row r="924" ht="15.75" customHeight="1" s="311">
      <c r="A924" s="1" t="n"/>
      <c r="B924" s="1" t="n"/>
      <c r="C924" s="1" t="n"/>
      <c r="D924" s="1" t="n"/>
      <c r="E924" s="1" t="n"/>
      <c r="F924" s="1" t="n"/>
      <c r="G924" s="1" t="n"/>
      <c r="H924" s="1" t="n"/>
      <c r="I924" s="1" t="n"/>
      <c r="J924" s="1" t="n"/>
      <c r="K924" s="1" t="n"/>
      <c r="L924" s="1" t="n"/>
    </row>
    <row r="925" ht="15.75" customHeight="1" s="311">
      <c r="A925" s="1" t="n"/>
      <c r="B925" s="1" t="n"/>
      <c r="C925" s="1" t="n"/>
      <c r="D925" s="1" t="n"/>
      <c r="E925" s="1" t="n"/>
      <c r="F925" s="1" t="n"/>
      <c r="G925" s="1" t="n"/>
      <c r="H925" s="1" t="n"/>
      <c r="I925" s="1" t="n"/>
      <c r="J925" s="1" t="n"/>
      <c r="K925" s="1" t="n"/>
      <c r="L925" s="1" t="n"/>
    </row>
    <row r="926" ht="15.75" customHeight="1" s="311">
      <c r="A926" s="1" t="n"/>
      <c r="B926" s="1" t="n"/>
      <c r="C926" s="1" t="n"/>
      <c r="D926" s="1" t="n"/>
      <c r="E926" s="1" t="n"/>
      <c r="F926" s="1" t="n"/>
      <c r="G926" s="1" t="n"/>
      <c r="H926" s="1" t="n"/>
      <c r="I926" s="1" t="n"/>
      <c r="J926" s="1" t="n"/>
      <c r="K926" s="1" t="n"/>
      <c r="L926" s="1" t="n"/>
    </row>
    <row r="927" ht="15.75" customHeight="1" s="311">
      <c r="A927" s="1" t="n"/>
      <c r="B927" s="1" t="n"/>
      <c r="C927" s="1" t="n"/>
      <c r="D927" s="1" t="n"/>
      <c r="E927" s="1" t="n"/>
      <c r="F927" s="1" t="n"/>
      <c r="G927" s="1" t="n"/>
      <c r="H927" s="1" t="n"/>
      <c r="I927" s="1" t="n"/>
      <c r="J927" s="1" t="n"/>
      <c r="K927" s="1" t="n"/>
      <c r="L927" s="1" t="n"/>
    </row>
    <row r="928" ht="15.75" customHeight="1" s="311">
      <c r="A928" s="1" t="n"/>
      <c r="B928" s="1" t="n"/>
      <c r="C928" s="1" t="n"/>
      <c r="D928" s="1" t="n"/>
      <c r="E928" s="1" t="n"/>
      <c r="F928" s="1" t="n"/>
      <c r="G928" s="1" t="n"/>
      <c r="H928" s="1" t="n"/>
      <c r="I928" s="1" t="n"/>
      <c r="J928" s="1" t="n"/>
      <c r="K928" s="1" t="n"/>
      <c r="L928" s="1" t="n"/>
    </row>
    <row r="929" ht="15.75" customHeight="1" s="311">
      <c r="A929" s="1" t="n"/>
      <c r="B929" s="1" t="n"/>
      <c r="C929" s="1" t="n"/>
      <c r="D929" s="1" t="n"/>
      <c r="E929" s="1" t="n"/>
      <c r="F929" s="1" t="n"/>
      <c r="G929" s="1" t="n"/>
      <c r="H929" s="1" t="n"/>
      <c r="I929" s="1" t="n"/>
      <c r="J929" s="1" t="n"/>
      <c r="K929" s="1" t="n"/>
      <c r="L929" s="1" t="n"/>
    </row>
    <row r="930" ht="15.75" customHeight="1" s="311">
      <c r="A930" s="1" t="n"/>
      <c r="B930" s="1" t="n"/>
      <c r="C930" s="1" t="n"/>
      <c r="D930" s="1" t="n"/>
      <c r="E930" s="1" t="n"/>
      <c r="F930" s="1" t="n"/>
      <c r="G930" s="1" t="n"/>
      <c r="H930" s="1" t="n"/>
      <c r="I930" s="1" t="n"/>
      <c r="J930" s="1" t="n"/>
      <c r="K930" s="1" t="n"/>
      <c r="L930" s="1" t="n"/>
    </row>
    <row r="931" ht="15.75" customHeight="1" s="311">
      <c r="A931" s="1" t="n"/>
      <c r="B931" s="1" t="n"/>
      <c r="C931" s="1" t="n"/>
      <c r="D931" s="1" t="n"/>
      <c r="E931" s="1" t="n"/>
      <c r="F931" s="1" t="n"/>
      <c r="G931" s="1" t="n"/>
      <c r="H931" s="1" t="n"/>
      <c r="I931" s="1" t="n"/>
      <c r="J931" s="1" t="n"/>
      <c r="K931" s="1" t="n"/>
      <c r="L931" s="1" t="n"/>
    </row>
    <row r="932" ht="15.75" customHeight="1" s="311">
      <c r="A932" s="1" t="n"/>
      <c r="B932" s="1" t="n"/>
      <c r="C932" s="1" t="n"/>
      <c r="D932" s="1" t="n"/>
      <c r="E932" s="1" t="n"/>
      <c r="F932" s="1" t="n"/>
      <c r="G932" s="1" t="n"/>
      <c r="H932" s="1" t="n"/>
      <c r="I932" s="1" t="n"/>
      <c r="J932" s="1" t="n"/>
      <c r="K932" s="1" t="n"/>
      <c r="L932" s="1" t="n"/>
    </row>
    <row r="933" ht="15.75" customHeight="1" s="311">
      <c r="A933" s="1" t="n"/>
      <c r="B933" s="1" t="n"/>
      <c r="C933" s="1" t="n"/>
      <c r="D933" s="1" t="n"/>
      <c r="E933" s="1" t="n"/>
      <c r="F933" s="1" t="n"/>
      <c r="G933" s="1" t="n"/>
      <c r="H933" s="1" t="n"/>
      <c r="I933" s="1" t="n"/>
      <c r="J933" s="1" t="n"/>
      <c r="K933" s="1" t="n"/>
      <c r="L933" s="1" t="n"/>
    </row>
    <row r="934" ht="15.75" customHeight="1" s="311">
      <c r="A934" s="1" t="n"/>
      <c r="B934" s="1" t="n"/>
      <c r="C934" s="1" t="n"/>
      <c r="D934" s="1" t="n"/>
      <c r="E934" s="1" t="n"/>
      <c r="F934" s="1" t="n"/>
      <c r="G934" s="1" t="n"/>
      <c r="H934" s="1" t="n"/>
      <c r="I934" s="1" t="n"/>
      <c r="J934" s="1" t="n"/>
      <c r="K934" s="1" t="n"/>
      <c r="L934" s="1" t="n"/>
    </row>
    <row r="935" ht="15.75" customHeight="1" s="311">
      <c r="A935" s="1" t="n"/>
      <c r="B935" s="1" t="n"/>
      <c r="C935" s="1" t="n"/>
      <c r="D935" s="1" t="n"/>
      <c r="E935" s="1" t="n"/>
      <c r="F935" s="1" t="n"/>
      <c r="G935" s="1" t="n"/>
      <c r="H935" s="1" t="n"/>
      <c r="I935" s="1" t="n"/>
      <c r="J935" s="1" t="n"/>
      <c r="K935" s="1" t="n"/>
      <c r="L935" s="1" t="n"/>
    </row>
    <row r="936" ht="15.75" customHeight="1" s="311">
      <c r="A936" s="1" t="n"/>
      <c r="B936" s="1" t="n"/>
      <c r="C936" s="1" t="n"/>
      <c r="D936" s="1" t="n"/>
      <c r="E936" s="1" t="n"/>
      <c r="F936" s="1" t="n"/>
      <c r="G936" s="1" t="n"/>
      <c r="H936" s="1" t="n"/>
      <c r="I936" s="1" t="n"/>
      <c r="J936" s="1" t="n"/>
      <c r="K936" s="1" t="n"/>
      <c r="L936" s="1" t="n"/>
    </row>
    <row r="937" ht="15.75" customHeight="1" s="311">
      <c r="A937" s="1" t="n"/>
      <c r="B937" s="1" t="n"/>
      <c r="C937" s="1" t="n"/>
      <c r="D937" s="1" t="n"/>
      <c r="E937" s="1" t="n"/>
      <c r="F937" s="1" t="n"/>
      <c r="G937" s="1" t="n"/>
      <c r="H937" s="1" t="n"/>
      <c r="I937" s="1" t="n"/>
      <c r="J937" s="1" t="n"/>
      <c r="K937" s="1" t="n"/>
      <c r="L937" s="1" t="n"/>
    </row>
    <row r="938" ht="15.75" customHeight="1" s="311">
      <c r="A938" s="1" t="n"/>
      <c r="B938" s="1" t="n"/>
      <c r="C938" s="1" t="n"/>
      <c r="D938" s="1" t="n"/>
      <c r="E938" s="1" t="n"/>
      <c r="F938" s="1" t="n"/>
      <c r="G938" s="1" t="n"/>
      <c r="H938" s="1" t="n"/>
      <c r="I938" s="1" t="n"/>
      <c r="J938" s="1" t="n"/>
      <c r="K938" s="1" t="n"/>
      <c r="L938" s="1" t="n"/>
    </row>
    <row r="939" ht="15.75" customHeight="1" s="311">
      <c r="A939" s="1" t="n"/>
      <c r="B939" s="1" t="n"/>
      <c r="C939" s="1" t="n"/>
      <c r="D939" s="1" t="n"/>
      <c r="E939" s="1" t="n"/>
      <c r="F939" s="1" t="n"/>
      <c r="G939" s="1" t="n"/>
      <c r="H939" s="1" t="n"/>
      <c r="I939" s="1" t="n"/>
      <c r="J939" s="1" t="n"/>
      <c r="K939" s="1" t="n"/>
      <c r="L939" s="1" t="n"/>
    </row>
    <row r="940" ht="15.75" customHeight="1" s="311">
      <c r="A940" s="1" t="n"/>
      <c r="B940" s="1" t="n"/>
      <c r="C940" s="1" t="n"/>
      <c r="D940" s="1" t="n"/>
      <c r="E940" s="1" t="n"/>
      <c r="F940" s="1" t="n"/>
      <c r="G940" s="1" t="n"/>
      <c r="H940" s="1" t="n"/>
      <c r="I940" s="1" t="n"/>
      <c r="J940" s="1" t="n"/>
      <c r="K940" s="1" t="n"/>
      <c r="L940" s="1" t="n"/>
    </row>
    <row r="941" ht="15.75" customHeight="1" s="311">
      <c r="A941" s="1" t="n"/>
      <c r="B941" s="1" t="n"/>
      <c r="C941" s="1" t="n"/>
      <c r="D941" s="1" t="n"/>
      <c r="E941" s="1" t="n"/>
      <c r="F941" s="1" t="n"/>
      <c r="G941" s="1" t="n"/>
      <c r="H941" s="1" t="n"/>
      <c r="I941" s="1" t="n"/>
      <c r="J941" s="1" t="n"/>
      <c r="K941" s="1" t="n"/>
      <c r="L941" s="1" t="n"/>
    </row>
    <row r="942" ht="15.75" customHeight="1" s="311">
      <c r="A942" s="1" t="n"/>
      <c r="B942" s="1" t="n"/>
      <c r="C942" s="1" t="n"/>
      <c r="D942" s="1" t="n"/>
      <c r="E942" s="1" t="n"/>
      <c r="F942" s="1" t="n"/>
      <c r="G942" s="1" t="n"/>
      <c r="H942" s="1" t="n"/>
      <c r="I942" s="1" t="n"/>
      <c r="J942" s="1" t="n"/>
      <c r="K942" s="1" t="n"/>
      <c r="L942" s="1" t="n"/>
    </row>
    <row r="943" ht="15.75" customHeight="1" s="311">
      <c r="A943" s="1" t="n"/>
      <c r="B943" s="1" t="n"/>
      <c r="C943" s="1" t="n"/>
      <c r="D943" s="1" t="n"/>
      <c r="E943" s="1" t="n"/>
      <c r="F943" s="1" t="n"/>
      <c r="G943" s="1" t="n"/>
      <c r="H943" s="1" t="n"/>
      <c r="I943" s="1" t="n"/>
      <c r="J943" s="1" t="n"/>
      <c r="K943" s="1" t="n"/>
      <c r="L943" s="1" t="n"/>
    </row>
    <row r="944" ht="15.75" customHeight="1" s="311">
      <c r="A944" s="1" t="n"/>
      <c r="B944" s="1" t="n"/>
      <c r="C944" s="1" t="n"/>
      <c r="D944" s="1" t="n"/>
      <c r="E944" s="1" t="n"/>
      <c r="F944" s="1" t="n"/>
      <c r="G944" s="1" t="n"/>
      <c r="H944" s="1" t="n"/>
      <c r="I944" s="1" t="n"/>
      <c r="J944" s="1" t="n"/>
      <c r="K944" s="1" t="n"/>
      <c r="L944" s="1" t="n"/>
    </row>
    <row r="945" ht="15.75" customHeight="1" s="311">
      <c r="A945" s="1" t="n"/>
      <c r="B945" s="1" t="n"/>
      <c r="C945" s="1" t="n"/>
      <c r="D945" s="1" t="n"/>
      <c r="E945" s="1" t="n"/>
      <c r="F945" s="1" t="n"/>
      <c r="G945" s="1" t="n"/>
      <c r="H945" s="1" t="n"/>
      <c r="I945" s="1" t="n"/>
      <c r="J945" s="1" t="n"/>
      <c r="K945" s="1" t="n"/>
      <c r="L945" s="1" t="n"/>
    </row>
    <row r="946" ht="15.75" customHeight="1" s="311">
      <c r="A946" s="1" t="n"/>
      <c r="B946" s="1" t="n"/>
      <c r="C946" s="1" t="n"/>
      <c r="D946" s="1" t="n"/>
      <c r="E946" s="1" t="n"/>
      <c r="F946" s="1" t="n"/>
      <c r="G946" s="1" t="n"/>
      <c r="H946" s="1" t="n"/>
      <c r="I946" s="1" t="n"/>
      <c r="J946" s="1" t="n"/>
      <c r="K946" s="1" t="n"/>
      <c r="L946" s="1" t="n"/>
    </row>
    <row r="947" ht="15.75" customHeight="1" s="311">
      <c r="A947" s="1" t="n"/>
      <c r="B947" s="1" t="n"/>
      <c r="C947" s="1" t="n"/>
      <c r="D947" s="1" t="n"/>
      <c r="E947" s="1" t="n"/>
      <c r="F947" s="1" t="n"/>
      <c r="G947" s="1" t="n"/>
      <c r="H947" s="1" t="n"/>
      <c r="I947" s="1" t="n"/>
      <c r="J947" s="1" t="n"/>
      <c r="K947" s="1" t="n"/>
      <c r="L947" s="1" t="n"/>
    </row>
    <row r="948" ht="15.75" customHeight="1" s="311">
      <c r="A948" s="1" t="n"/>
      <c r="B948" s="1" t="n"/>
      <c r="C948" s="1" t="n"/>
      <c r="D948" s="1" t="n"/>
      <c r="E948" s="1" t="n"/>
      <c r="F948" s="1" t="n"/>
      <c r="G948" s="1" t="n"/>
      <c r="H948" s="1" t="n"/>
      <c r="I948" s="1" t="n"/>
      <c r="J948" s="1" t="n"/>
      <c r="K948" s="1" t="n"/>
      <c r="L948" s="1" t="n"/>
    </row>
    <row r="949" ht="15.75" customHeight="1" s="311">
      <c r="A949" s="1" t="n"/>
      <c r="B949" s="1" t="n"/>
      <c r="C949" s="1" t="n"/>
      <c r="D949" s="1" t="n"/>
      <c r="E949" s="1" t="n"/>
      <c r="F949" s="1" t="n"/>
      <c r="G949" s="1" t="n"/>
      <c r="H949" s="1" t="n"/>
      <c r="I949" s="1" t="n"/>
      <c r="J949" s="1" t="n"/>
      <c r="K949" s="1" t="n"/>
      <c r="L949" s="1" t="n"/>
    </row>
    <row r="950" ht="15.75" customHeight="1" s="311">
      <c r="A950" s="1" t="n"/>
      <c r="B950" s="1" t="n"/>
      <c r="C950" s="1" t="n"/>
      <c r="D950" s="1" t="n"/>
      <c r="E950" s="1" t="n"/>
      <c r="F950" s="1" t="n"/>
      <c r="G950" s="1" t="n"/>
      <c r="H950" s="1" t="n"/>
      <c r="I950" s="1" t="n"/>
      <c r="J950" s="1" t="n"/>
      <c r="K950" s="1" t="n"/>
      <c r="L950" s="1" t="n"/>
    </row>
    <row r="951" ht="15.75" customHeight="1" s="311">
      <c r="A951" s="1" t="n"/>
      <c r="B951" s="1" t="n"/>
      <c r="C951" s="1" t="n"/>
      <c r="D951" s="1" t="n"/>
      <c r="E951" s="1" t="n"/>
      <c r="F951" s="1" t="n"/>
      <c r="G951" s="1" t="n"/>
      <c r="H951" s="1" t="n"/>
      <c r="I951" s="1" t="n"/>
      <c r="J951" s="1" t="n"/>
      <c r="K951" s="1" t="n"/>
      <c r="L951" s="1" t="n"/>
    </row>
    <row r="952" ht="15.75" customHeight="1" s="311">
      <c r="A952" s="1" t="n"/>
      <c r="B952" s="1" t="n"/>
      <c r="C952" s="1" t="n"/>
      <c r="D952" s="1" t="n"/>
      <c r="E952" s="1" t="n"/>
      <c r="F952" s="1" t="n"/>
      <c r="G952" s="1" t="n"/>
      <c r="H952" s="1" t="n"/>
      <c r="I952" s="1" t="n"/>
      <c r="J952" s="1" t="n"/>
      <c r="K952" s="1" t="n"/>
      <c r="L952" s="1" t="n"/>
    </row>
    <row r="953" ht="15.75" customHeight="1" s="311">
      <c r="A953" s="1" t="n"/>
      <c r="B953" s="1" t="n"/>
      <c r="C953" s="1" t="n"/>
      <c r="D953" s="1" t="n"/>
      <c r="E953" s="1" t="n"/>
      <c r="F953" s="1" t="n"/>
      <c r="G953" s="1" t="n"/>
      <c r="H953" s="1" t="n"/>
      <c r="I953" s="1" t="n"/>
      <c r="J953" s="1" t="n"/>
      <c r="K953" s="1" t="n"/>
      <c r="L953" s="1" t="n"/>
    </row>
    <row r="954" ht="15.75" customHeight="1" s="311">
      <c r="A954" s="1" t="n"/>
      <c r="B954" s="1" t="n"/>
      <c r="C954" s="1" t="n"/>
      <c r="D954" s="1" t="n"/>
      <c r="E954" s="1" t="n"/>
      <c r="F954" s="1" t="n"/>
      <c r="G954" s="1" t="n"/>
      <c r="H954" s="1" t="n"/>
      <c r="I954" s="1" t="n"/>
      <c r="J954" s="1" t="n"/>
      <c r="K954" s="1" t="n"/>
      <c r="L954" s="1" t="n"/>
    </row>
    <row r="955" ht="15.75" customHeight="1" s="311">
      <c r="A955" s="1" t="n"/>
      <c r="B955" s="1" t="n"/>
      <c r="C955" s="1" t="n"/>
      <c r="D955" s="1" t="n"/>
      <c r="E955" s="1" t="n"/>
      <c r="F955" s="1" t="n"/>
      <c r="G955" s="1" t="n"/>
      <c r="H955" s="1" t="n"/>
      <c r="I955" s="1" t="n"/>
      <c r="J955" s="1" t="n"/>
      <c r="K955" s="1" t="n"/>
      <c r="L955" s="1" t="n"/>
    </row>
    <row r="956" ht="15.75" customHeight="1" s="311">
      <c r="A956" s="1" t="n"/>
      <c r="B956" s="1" t="n"/>
      <c r="C956" s="1" t="n"/>
      <c r="D956" s="1" t="n"/>
      <c r="E956" s="1" t="n"/>
      <c r="F956" s="1" t="n"/>
      <c r="G956" s="1" t="n"/>
      <c r="H956" s="1" t="n"/>
      <c r="I956" s="1" t="n"/>
      <c r="J956" s="1" t="n"/>
      <c r="K956" s="1" t="n"/>
      <c r="L956" s="1" t="n"/>
    </row>
    <row r="957" ht="15.75" customHeight="1" s="311">
      <c r="A957" s="1" t="n"/>
      <c r="B957" s="1" t="n"/>
      <c r="C957" s="1" t="n"/>
      <c r="D957" s="1" t="n"/>
      <c r="E957" s="1" t="n"/>
      <c r="F957" s="1" t="n"/>
      <c r="G957" s="1" t="n"/>
      <c r="H957" s="1" t="n"/>
      <c r="I957" s="1" t="n"/>
      <c r="J957" s="1" t="n"/>
      <c r="K957" s="1" t="n"/>
      <c r="L957" s="1" t="n"/>
    </row>
    <row r="958" ht="15.75" customHeight="1" s="311">
      <c r="A958" s="1" t="n"/>
      <c r="B958" s="1" t="n"/>
      <c r="C958" s="1" t="n"/>
      <c r="D958" s="1" t="n"/>
      <c r="E958" s="1" t="n"/>
      <c r="F958" s="1" t="n"/>
      <c r="G958" s="1" t="n"/>
      <c r="H958" s="1" t="n"/>
      <c r="I958" s="1" t="n"/>
      <c r="J958" s="1" t="n"/>
      <c r="K958" s="1" t="n"/>
      <c r="L958" s="1" t="n"/>
    </row>
    <row r="959" ht="15.75" customHeight="1" s="311">
      <c r="A959" s="1" t="n"/>
      <c r="B959" s="1" t="n"/>
      <c r="C959" s="1" t="n"/>
      <c r="D959" s="1" t="n"/>
      <c r="E959" s="1" t="n"/>
      <c r="F959" s="1" t="n"/>
      <c r="G959" s="1" t="n"/>
      <c r="H959" s="1" t="n"/>
      <c r="I959" s="1" t="n"/>
      <c r="J959" s="1" t="n"/>
      <c r="K959" s="1" t="n"/>
      <c r="L959" s="1" t="n"/>
    </row>
    <row r="960" ht="15.75" customHeight="1" s="311">
      <c r="A960" s="1" t="n"/>
      <c r="B960" s="1" t="n"/>
      <c r="C960" s="1" t="n"/>
      <c r="D960" s="1" t="n"/>
      <c r="E960" s="1" t="n"/>
      <c r="F960" s="1" t="n"/>
      <c r="G960" s="1" t="n"/>
      <c r="H960" s="1" t="n"/>
      <c r="I960" s="1" t="n"/>
      <c r="J960" s="1" t="n"/>
      <c r="K960" s="1" t="n"/>
      <c r="L960" s="1" t="n"/>
    </row>
    <row r="961" ht="15.75" customHeight="1" s="311">
      <c r="A961" s="1" t="n"/>
      <c r="B961" s="1" t="n"/>
      <c r="C961" s="1" t="n"/>
      <c r="D961" s="1" t="n"/>
      <c r="E961" s="1" t="n"/>
      <c r="F961" s="1" t="n"/>
      <c r="G961" s="1" t="n"/>
      <c r="H961" s="1" t="n"/>
      <c r="I961" s="1" t="n"/>
      <c r="J961" s="1" t="n"/>
      <c r="K961" s="1" t="n"/>
      <c r="L961" s="1" t="n"/>
    </row>
    <row r="962" ht="15.75" customHeight="1" s="311">
      <c r="A962" s="1" t="n"/>
      <c r="B962" s="1" t="n"/>
      <c r="C962" s="1" t="n"/>
      <c r="D962" s="1" t="n"/>
      <c r="E962" s="1" t="n"/>
      <c r="F962" s="1" t="n"/>
      <c r="G962" s="1" t="n"/>
      <c r="H962" s="1" t="n"/>
      <c r="I962" s="1" t="n"/>
      <c r="J962" s="1" t="n"/>
      <c r="K962" s="1" t="n"/>
      <c r="L962" s="1" t="n"/>
    </row>
    <row r="963" ht="15.75" customHeight="1" s="311">
      <c r="A963" s="1" t="n"/>
      <c r="B963" s="1" t="n"/>
      <c r="C963" s="1" t="n"/>
      <c r="D963" s="1" t="n"/>
      <c r="E963" s="1" t="n"/>
      <c r="F963" s="1" t="n"/>
      <c r="G963" s="1" t="n"/>
      <c r="H963" s="1" t="n"/>
      <c r="I963" s="1" t="n"/>
      <c r="J963" s="1" t="n"/>
      <c r="K963" s="1" t="n"/>
      <c r="L963" s="1" t="n"/>
    </row>
    <row r="964" ht="15.75" customHeight="1" s="311">
      <c r="A964" s="1" t="n"/>
      <c r="B964" s="1" t="n"/>
      <c r="C964" s="1" t="n"/>
      <c r="D964" s="1" t="n"/>
      <c r="E964" s="1" t="n"/>
      <c r="F964" s="1" t="n"/>
      <c r="G964" s="1" t="n"/>
      <c r="H964" s="1" t="n"/>
      <c r="I964" s="1" t="n"/>
      <c r="J964" s="1" t="n"/>
      <c r="K964" s="1" t="n"/>
      <c r="L964" s="1" t="n"/>
    </row>
    <row r="965" ht="15.75" customHeight="1" s="311">
      <c r="A965" s="1" t="n"/>
      <c r="B965" s="1" t="n"/>
      <c r="C965" s="1" t="n"/>
      <c r="D965" s="1" t="n"/>
      <c r="E965" s="1" t="n"/>
      <c r="F965" s="1" t="n"/>
      <c r="G965" s="1" t="n"/>
      <c r="H965" s="1" t="n"/>
      <c r="I965" s="1" t="n"/>
      <c r="J965" s="1" t="n"/>
      <c r="K965" s="1" t="n"/>
      <c r="L965" s="1" t="n"/>
    </row>
    <row r="966" ht="15.75" customHeight="1" s="311">
      <c r="A966" s="1" t="n"/>
      <c r="B966" s="1" t="n"/>
      <c r="C966" s="1" t="n"/>
      <c r="D966" s="1" t="n"/>
      <c r="E966" s="1" t="n"/>
      <c r="F966" s="1" t="n"/>
      <c r="G966" s="1" t="n"/>
      <c r="H966" s="1" t="n"/>
      <c r="I966" s="1" t="n"/>
      <c r="J966" s="1" t="n"/>
      <c r="K966" s="1" t="n"/>
      <c r="L966" s="1" t="n"/>
    </row>
    <row r="967" ht="15.75" customHeight="1" s="311">
      <c r="A967" s="1" t="n"/>
      <c r="B967" s="1" t="n"/>
      <c r="C967" s="1" t="n"/>
      <c r="D967" s="1" t="n"/>
      <c r="E967" s="1" t="n"/>
      <c r="F967" s="1" t="n"/>
      <c r="G967" s="1" t="n"/>
      <c r="H967" s="1" t="n"/>
      <c r="I967" s="1" t="n"/>
      <c r="J967" s="1" t="n"/>
      <c r="K967" s="1" t="n"/>
      <c r="L967" s="1" t="n"/>
    </row>
    <row r="968" ht="15.75" customHeight="1" s="311">
      <c r="A968" s="1" t="n"/>
      <c r="B968" s="1" t="n"/>
      <c r="C968" s="1" t="n"/>
      <c r="D968" s="1" t="n"/>
      <c r="E968" s="1" t="n"/>
      <c r="F968" s="1" t="n"/>
      <c r="G968" s="1" t="n"/>
      <c r="H968" s="1" t="n"/>
      <c r="I968" s="1" t="n"/>
      <c r="J968" s="1" t="n"/>
      <c r="K968" s="1" t="n"/>
      <c r="L968" s="1" t="n"/>
    </row>
    <row r="969" ht="15.75" customHeight="1" s="311">
      <c r="A969" s="1" t="n"/>
      <c r="B969" s="1" t="n"/>
      <c r="C969" s="1" t="n"/>
      <c r="D969" s="1" t="n"/>
      <c r="E969" s="1" t="n"/>
      <c r="F969" s="1" t="n"/>
      <c r="G969" s="1" t="n"/>
      <c r="H969" s="1" t="n"/>
      <c r="I969" s="1" t="n"/>
      <c r="J969" s="1" t="n"/>
      <c r="K969" s="1" t="n"/>
      <c r="L969" s="1" t="n"/>
    </row>
    <row r="970" ht="15.75" customHeight="1" s="311">
      <c r="A970" s="1" t="n"/>
      <c r="B970" s="1" t="n"/>
      <c r="C970" s="1" t="n"/>
      <c r="D970" s="1" t="n"/>
      <c r="E970" s="1" t="n"/>
      <c r="F970" s="1" t="n"/>
      <c r="G970" s="1" t="n"/>
      <c r="H970" s="1" t="n"/>
      <c r="I970" s="1" t="n"/>
      <c r="J970" s="1" t="n"/>
      <c r="K970" s="1" t="n"/>
      <c r="L970" s="1" t="n"/>
    </row>
    <row r="971" ht="15.75" customHeight="1" s="311">
      <c r="A971" s="1" t="n"/>
      <c r="B971" s="1" t="n"/>
      <c r="C971" s="1" t="n"/>
      <c r="D971" s="1" t="n"/>
      <c r="E971" s="1" t="n"/>
      <c r="F971" s="1" t="n"/>
      <c r="G971" s="1" t="n"/>
      <c r="H971" s="1" t="n"/>
      <c r="I971" s="1" t="n"/>
      <c r="J971" s="1" t="n"/>
      <c r="K971" s="1" t="n"/>
      <c r="L971" s="1" t="n"/>
    </row>
    <row r="972" ht="15.75" customHeight="1" s="311">
      <c r="A972" s="1" t="n"/>
      <c r="B972" s="1" t="n"/>
      <c r="C972" s="1" t="n"/>
      <c r="D972" s="1" t="n"/>
      <c r="E972" s="1" t="n"/>
      <c r="F972" s="1" t="n"/>
      <c r="G972" s="1" t="n"/>
      <c r="H972" s="1" t="n"/>
      <c r="I972" s="1" t="n"/>
      <c r="J972" s="1" t="n"/>
      <c r="K972" s="1" t="n"/>
      <c r="L972" s="1" t="n"/>
    </row>
    <row r="973" ht="15.75" customHeight="1" s="311">
      <c r="A973" s="1" t="n"/>
      <c r="B973" s="1" t="n"/>
      <c r="C973" s="1" t="n"/>
      <c r="D973" s="1" t="n"/>
      <c r="E973" s="1" t="n"/>
      <c r="F973" s="1" t="n"/>
      <c r="G973" s="1" t="n"/>
      <c r="H973" s="1" t="n"/>
      <c r="I973" s="1" t="n"/>
      <c r="J973" s="1" t="n"/>
      <c r="K973" s="1" t="n"/>
      <c r="L973" s="1" t="n"/>
    </row>
    <row r="974" ht="15.75" customHeight="1" s="311">
      <c r="A974" s="1" t="n"/>
      <c r="B974" s="1" t="n"/>
      <c r="C974" s="1" t="n"/>
      <c r="D974" s="1" t="n"/>
      <c r="E974" s="1" t="n"/>
      <c r="F974" s="1" t="n"/>
      <c r="G974" s="1" t="n"/>
      <c r="H974" s="1" t="n"/>
      <c r="I974" s="1" t="n"/>
      <c r="J974" s="1" t="n"/>
      <c r="K974" s="1" t="n"/>
      <c r="L974" s="1" t="n"/>
    </row>
    <row r="975" ht="15.75" customHeight="1" s="311">
      <c r="A975" s="1" t="n"/>
      <c r="B975" s="1" t="n"/>
      <c r="C975" s="1" t="n"/>
      <c r="D975" s="1" t="n"/>
      <c r="E975" s="1" t="n"/>
      <c r="F975" s="1" t="n"/>
      <c r="G975" s="1" t="n"/>
      <c r="H975" s="1" t="n"/>
      <c r="I975" s="1" t="n"/>
      <c r="J975" s="1" t="n"/>
      <c r="K975" s="1" t="n"/>
      <c r="L975" s="1" t="n"/>
    </row>
    <row r="976" ht="15.75" customHeight="1" s="311">
      <c r="A976" s="1" t="n"/>
      <c r="B976" s="1" t="n"/>
      <c r="C976" s="1" t="n"/>
      <c r="D976" s="1" t="n"/>
      <c r="E976" s="1" t="n"/>
      <c r="F976" s="1" t="n"/>
      <c r="G976" s="1" t="n"/>
      <c r="H976" s="1" t="n"/>
      <c r="I976" s="1" t="n"/>
      <c r="J976" s="1" t="n"/>
      <c r="K976" s="1" t="n"/>
      <c r="L976" s="1" t="n"/>
    </row>
    <row r="977" ht="15.75" customHeight="1" s="311">
      <c r="A977" s="1" t="n"/>
      <c r="B977" s="1" t="n"/>
      <c r="C977" s="1" t="n"/>
      <c r="D977" s="1" t="n"/>
      <c r="E977" s="1" t="n"/>
      <c r="F977" s="1" t="n"/>
      <c r="G977" s="1" t="n"/>
      <c r="H977" s="1" t="n"/>
      <c r="I977" s="1" t="n"/>
      <c r="J977" s="1" t="n"/>
      <c r="K977" s="1" t="n"/>
      <c r="L977" s="1" t="n"/>
    </row>
    <row r="978" ht="15.75" customHeight="1" s="311">
      <c r="A978" s="1" t="n"/>
      <c r="B978" s="1" t="n"/>
      <c r="C978" s="1" t="n"/>
      <c r="D978" s="1" t="n"/>
      <c r="E978" s="1" t="n"/>
      <c r="F978" s="1" t="n"/>
      <c r="G978" s="1" t="n"/>
      <c r="H978" s="1" t="n"/>
      <c r="I978" s="1" t="n"/>
      <c r="J978" s="1" t="n"/>
      <c r="K978" s="1" t="n"/>
      <c r="L978" s="1" t="n"/>
    </row>
    <row r="979" ht="15.75" customHeight="1" s="311">
      <c r="A979" s="1" t="n"/>
      <c r="B979" s="1" t="n"/>
      <c r="C979" s="1" t="n"/>
      <c r="D979" s="1" t="n"/>
      <c r="E979" s="1" t="n"/>
      <c r="F979" s="1" t="n"/>
      <c r="G979" s="1" t="n"/>
      <c r="H979" s="1" t="n"/>
      <c r="I979" s="1" t="n"/>
      <c r="J979" s="1" t="n"/>
      <c r="K979" s="1" t="n"/>
      <c r="L979" s="1" t="n"/>
    </row>
    <row r="980" ht="15.75" customHeight="1" s="311">
      <c r="A980" s="1" t="n"/>
      <c r="B980" s="1" t="n"/>
      <c r="C980" s="1" t="n"/>
      <c r="D980" s="1" t="n"/>
      <c r="E980" s="1" t="n"/>
      <c r="F980" s="1" t="n"/>
      <c r="G980" s="1" t="n"/>
      <c r="H980" s="1" t="n"/>
      <c r="I980" s="1" t="n"/>
      <c r="J980" s="1" t="n"/>
      <c r="K980" s="1" t="n"/>
      <c r="L980" s="1" t="n"/>
    </row>
    <row r="981" ht="15.75" customHeight="1" s="311">
      <c r="A981" s="1" t="n"/>
      <c r="B981" s="1" t="n"/>
      <c r="C981" s="1" t="n"/>
      <c r="D981" s="1" t="n"/>
      <c r="E981" s="1" t="n"/>
      <c r="F981" s="1" t="n"/>
      <c r="G981" s="1" t="n"/>
      <c r="H981" s="1" t="n"/>
      <c r="I981" s="1" t="n"/>
      <c r="J981" s="1" t="n"/>
      <c r="K981" s="1" t="n"/>
      <c r="L981" s="1" t="n"/>
    </row>
    <row r="982" ht="15.75" customHeight="1" s="311">
      <c r="A982" s="1" t="n"/>
      <c r="B982" s="1" t="n"/>
      <c r="C982" s="1" t="n"/>
      <c r="D982" s="1" t="n"/>
      <c r="E982" s="1" t="n"/>
      <c r="F982" s="1" t="n"/>
      <c r="G982" s="1" t="n"/>
      <c r="H982" s="1" t="n"/>
      <c r="I982" s="1" t="n"/>
      <c r="J982" s="1" t="n"/>
      <c r="K982" s="1" t="n"/>
      <c r="L982" s="1" t="n"/>
    </row>
    <row r="983" ht="15.75" customHeight="1" s="311">
      <c r="A983" s="1" t="n"/>
      <c r="B983" s="1" t="n"/>
      <c r="C983" s="1" t="n"/>
      <c r="D983" s="1" t="n"/>
      <c r="E983" s="1" t="n"/>
      <c r="F983" s="1" t="n"/>
      <c r="G983" s="1" t="n"/>
      <c r="H983" s="1" t="n"/>
      <c r="I983" s="1" t="n"/>
      <c r="J983" s="1" t="n"/>
      <c r="K983" s="1" t="n"/>
      <c r="L983" s="1" t="n"/>
    </row>
    <row r="984" ht="15.75" customHeight="1" s="311">
      <c r="A984" s="1" t="n"/>
      <c r="B984" s="1" t="n"/>
      <c r="C984" s="1" t="n"/>
      <c r="D984" s="1" t="n"/>
      <c r="E984" s="1" t="n"/>
      <c r="F984" s="1" t="n"/>
      <c r="G984" s="1" t="n"/>
      <c r="H984" s="1" t="n"/>
      <c r="I984" s="1" t="n"/>
      <c r="J984" s="1" t="n"/>
      <c r="K984" s="1" t="n"/>
      <c r="L984" s="1" t="n"/>
    </row>
    <row r="985" ht="15.75" customHeight="1" s="311">
      <c r="A985" s="1" t="n"/>
      <c r="B985" s="1" t="n"/>
      <c r="C985" s="1" t="n"/>
      <c r="D985" s="1" t="n"/>
      <c r="E985" s="1" t="n"/>
      <c r="F985" s="1" t="n"/>
      <c r="G985" s="1" t="n"/>
      <c r="H985" s="1" t="n"/>
      <c r="I985" s="1" t="n"/>
      <c r="J985" s="1" t="n"/>
      <c r="K985" s="1" t="n"/>
      <c r="L985" s="1" t="n"/>
    </row>
    <row r="986" ht="15.75" customHeight="1" s="311">
      <c r="A986" s="1" t="n"/>
      <c r="B986" s="1" t="n"/>
      <c r="C986" s="1" t="n"/>
      <c r="D986" s="1" t="n"/>
      <c r="E986" s="1" t="n"/>
      <c r="F986" s="1" t="n"/>
      <c r="G986" s="1" t="n"/>
      <c r="H986" s="1" t="n"/>
      <c r="I986" s="1" t="n"/>
      <c r="J986" s="1" t="n"/>
      <c r="K986" s="1" t="n"/>
      <c r="L986" s="1" t="n"/>
    </row>
    <row r="987" ht="15.75" customHeight="1" s="311">
      <c r="A987" s="1" t="n"/>
      <c r="B987" s="1" t="n"/>
      <c r="C987" s="1" t="n"/>
      <c r="D987" s="1" t="n"/>
      <c r="E987" s="1" t="n"/>
      <c r="F987" s="1" t="n"/>
      <c r="G987" s="1" t="n"/>
      <c r="H987" s="1" t="n"/>
      <c r="I987" s="1" t="n"/>
      <c r="J987" s="1" t="n"/>
      <c r="K987" s="1" t="n"/>
      <c r="L987" s="1" t="n"/>
    </row>
    <row r="988" ht="15.75" customHeight="1" s="311">
      <c r="A988" s="1" t="n"/>
      <c r="B988" s="1" t="n"/>
      <c r="C988" s="1" t="n"/>
      <c r="D988" s="1" t="n"/>
      <c r="E988" s="1" t="n"/>
      <c r="F988" s="1" t="n"/>
      <c r="G988" s="1" t="n"/>
      <c r="H988" s="1" t="n"/>
      <c r="I988" s="1" t="n"/>
      <c r="J988" s="1" t="n"/>
      <c r="K988" s="1" t="n"/>
      <c r="L988" s="1" t="n"/>
    </row>
    <row r="989" ht="15.75" customHeight="1" s="311">
      <c r="A989" s="1" t="n"/>
      <c r="B989" s="1" t="n"/>
      <c r="C989" s="1" t="n"/>
      <c r="D989" s="1" t="n"/>
      <c r="E989" s="1" t="n"/>
      <c r="F989" s="1" t="n"/>
      <c r="G989" s="1" t="n"/>
      <c r="H989" s="1" t="n"/>
      <c r="I989" s="1" t="n"/>
      <c r="J989" s="1" t="n"/>
      <c r="K989" s="1" t="n"/>
      <c r="L989" s="1" t="n"/>
    </row>
    <row r="990" ht="15.75" customHeight="1" s="311">
      <c r="A990" s="1" t="n"/>
      <c r="B990" s="1" t="n"/>
      <c r="C990" s="1" t="n"/>
      <c r="D990" s="1" t="n"/>
      <c r="E990" s="1" t="n"/>
      <c r="F990" s="1" t="n"/>
      <c r="G990" s="1" t="n"/>
      <c r="H990" s="1" t="n"/>
      <c r="I990" s="1" t="n"/>
      <c r="J990" s="1" t="n"/>
      <c r="K990" s="1" t="n"/>
      <c r="L990" s="1" t="n"/>
    </row>
    <row r="991" ht="15.75" customHeight="1" s="311">
      <c r="A991" s="1" t="n"/>
      <c r="B991" s="1" t="n"/>
      <c r="C991" s="1" t="n"/>
      <c r="D991" s="1" t="n"/>
      <c r="E991" s="1" t="n"/>
      <c r="F991" s="1" t="n"/>
      <c r="G991" s="1" t="n"/>
      <c r="H991" s="1" t="n"/>
      <c r="I991" s="1" t="n"/>
      <c r="J991" s="1" t="n"/>
      <c r="K991" s="1" t="n"/>
      <c r="L991" s="1" t="n"/>
    </row>
    <row r="992" ht="15.75" customHeight="1" s="311">
      <c r="A992" s="1" t="n"/>
      <c r="B992" s="1" t="n"/>
      <c r="C992" s="1" t="n"/>
      <c r="D992" s="1" t="n"/>
      <c r="E992" s="1" t="n"/>
      <c r="F992" s="1" t="n"/>
      <c r="G992" s="1" t="n"/>
      <c r="H992" s="1" t="n"/>
      <c r="I992" s="1" t="n"/>
      <c r="J992" s="1" t="n"/>
      <c r="K992" s="1" t="n"/>
      <c r="L992" s="1" t="n"/>
    </row>
    <row r="993" ht="15.75" customHeight="1" s="311">
      <c r="A993" s="1" t="n"/>
      <c r="B993" s="1" t="n"/>
      <c r="C993" s="1" t="n"/>
      <c r="D993" s="1" t="n"/>
      <c r="E993" s="1" t="n"/>
      <c r="F993" s="1" t="n"/>
      <c r="G993" s="1" t="n"/>
      <c r="H993" s="1" t="n"/>
      <c r="I993" s="1" t="n"/>
      <c r="J993" s="1" t="n"/>
      <c r="K993" s="1" t="n"/>
      <c r="L993" s="1" t="n"/>
    </row>
    <row r="994" ht="15.75" customHeight="1" s="311">
      <c r="A994" s="1" t="n"/>
      <c r="B994" s="1" t="n"/>
      <c r="C994" s="1" t="n"/>
      <c r="D994" s="1" t="n"/>
      <c r="E994" s="1" t="n"/>
      <c r="F994" s="1" t="n"/>
      <c r="G994" s="1" t="n"/>
      <c r="H994" s="1" t="n"/>
      <c r="I994" s="1" t="n"/>
      <c r="J994" s="1" t="n"/>
      <c r="K994" s="1" t="n"/>
      <c r="L994" s="1" t="n"/>
    </row>
    <row r="995" ht="15.75" customHeight="1" s="311">
      <c r="A995" s="1" t="n"/>
      <c r="B995" s="1" t="n"/>
      <c r="C995" s="1" t="n"/>
      <c r="D995" s="1" t="n"/>
      <c r="E995" s="1" t="n"/>
      <c r="F995" s="1" t="n"/>
      <c r="G995" s="1" t="n"/>
      <c r="H995" s="1" t="n"/>
      <c r="I995" s="1" t="n"/>
      <c r="J995" s="1" t="n"/>
      <c r="K995" s="1" t="n"/>
      <c r="L995" s="1" t="n"/>
    </row>
    <row r="996" ht="15.75" customHeight="1" s="311">
      <c r="A996" s="1" t="n"/>
      <c r="B996" s="1" t="n"/>
      <c r="C996" s="1" t="n"/>
      <c r="D996" s="1" t="n"/>
      <c r="E996" s="1" t="n"/>
      <c r="F996" s="1" t="n"/>
      <c r="G996" s="1" t="n"/>
      <c r="H996" s="1" t="n"/>
      <c r="I996" s="1" t="n"/>
      <c r="J996" s="1" t="n"/>
      <c r="K996" s="1" t="n"/>
      <c r="L996" s="1" t="n"/>
    </row>
    <row r="997" ht="15.75" customHeight="1" s="311">
      <c r="A997" s="1" t="n"/>
      <c r="B997" s="1" t="n"/>
      <c r="C997" s="1" t="n"/>
      <c r="D997" s="1" t="n"/>
      <c r="E997" s="1" t="n"/>
      <c r="F997" s="1" t="n"/>
      <c r="G997" s="1" t="n"/>
      <c r="H997" s="1" t="n"/>
      <c r="I997" s="1" t="n"/>
      <c r="J997" s="1" t="n"/>
      <c r="K997" s="1" t="n"/>
      <c r="L997" s="1" t="n"/>
    </row>
    <row r="998" ht="15.75" customHeight="1" s="311">
      <c r="A998" s="1" t="n"/>
      <c r="B998" s="1" t="n"/>
      <c r="C998" s="1" t="n"/>
      <c r="D998" s="1" t="n"/>
      <c r="E998" s="1" t="n"/>
      <c r="F998" s="1" t="n"/>
      <c r="G998" s="1" t="n"/>
      <c r="H998" s="1" t="n"/>
      <c r="I998" s="1" t="n"/>
      <c r="J998" s="1" t="n"/>
      <c r="K998" s="1" t="n"/>
      <c r="L998" s="1" t="n"/>
    </row>
    <row r="999" ht="15.75" customHeight="1" s="311">
      <c r="A999" s="1" t="n"/>
      <c r="B999" s="1" t="n"/>
      <c r="C999" s="1" t="n"/>
      <c r="D999" s="1" t="n"/>
      <c r="E999" s="1" t="n"/>
      <c r="F999" s="1" t="n"/>
      <c r="G999" s="1" t="n"/>
      <c r="H999" s="1" t="n"/>
      <c r="I999" s="1" t="n"/>
      <c r="J999" s="1" t="n"/>
      <c r="K999" s="1" t="n"/>
      <c r="L999" s="1" t="n"/>
    </row>
    <row r="1000" ht="15.75" customHeight="1" s="311">
      <c r="A1000" s="1" t="n"/>
      <c r="B1000" s="1" t="n"/>
      <c r="C1000" s="1" t="n"/>
      <c r="D1000" s="1" t="n"/>
      <c r="E1000" s="1" t="n"/>
      <c r="F1000" s="1" t="n"/>
      <c r="G1000" s="1" t="n"/>
      <c r="H1000" s="1" t="n"/>
      <c r="I1000" s="1" t="n"/>
      <c r="J1000" s="1" t="n"/>
      <c r="K1000" s="1" t="n"/>
      <c r="L1000" s="1" t="n"/>
    </row>
  </sheetData>
  <mergeCells count="5">
    <mergeCell ref="G56:J56"/>
    <mergeCell ref="B62:F62"/>
    <mergeCell ref="C59:F59"/>
    <mergeCell ref="B61:F61"/>
    <mergeCell ref="B2:E2"/>
  </mergeCells>
  <conditionalFormatting sqref="C29:F29">
    <cfRule type="cellIs" priority="1" operator="lessThan" dxfId="3">
      <formula>0</formula>
    </cfRule>
  </conditionalFormatting>
  <conditionalFormatting sqref="G43:G54">
    <cfRule type="cellIs" priority="2" operator="lessThan" dxfId="3">
      <formula>0</formula>
    </cfRule>
  </conditionalFormatting>
  <conditionalFormatting sqref="C40">
    <cfRule type="cellIs" priority="3" operator="notEqual" dxfId="3">
      <formula>0</formula>
    </cfRule>
  </conditionalFormatting>
  <pageMargins left="0.75" right="0.75" top="1" bottom="1" header="0" footer="0"/>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Z1000"/>
  <sheetViews>
    <sheetView showGridLines="0"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4.43" defaultRowHeight="15" customHeight="1"/>
  <cols>
    <col width="2.14" customWidth="1" style="311" min="1" max="1"/>
    <col width="9" customWidth="1" style="311" min="2" max="2"/>
    <col width="20.71" customWidth="1" style="311" min="3" max="3"/>
    <col width="13" customWidth="1" style="311" min="4" max="4"/>
    <col width="22.43" customWidth="1" style="311" min="5" max="5"/>
    <col width="15" customWidth="1" style="311" min="6" max="6"/>
    <col width="17.14" customWidth="1" style="311" min="7" max="7"/>
    <col width="15" customWidth="1" style="311" min="8" max="9"/>
    <col width="16" customWidth="1" style="311" min="10" max="10"/>
    <col width="20" customWidth="1" style="311" min="11" max="11"/>
    <col width="9" customWidth="1" style="311" min="12" max="12"/>
    <col width="34" customWidth="1" style="311" min="13" max="13"/>
    <col width="8.710000000000001" customWidth="1" style="311" min="14" max="14"/>
  </cols>
  <sheetData>
    <row r="1" ht="30" customHeight="1" s="311">
      <c r="A1" s="1" t="n"/>
      <c r="B1" s="2" t="inlineStr">
        <is>
          <t>PROYECCIÓN DE CAJA A 13 SEMANAS</t>
        </is>
      </c>
      <c r="N1" s="1" t="n"/>
      <c r="O1" s="1" t="n"/>
      <c r="P1" s="1" t="n"/>
      <c r="Q1" s="1" t="n"/>
      <c r="R1" s="1" t="n"/>
      <c r="S1" s="1" t="n"/>
      <c r="T1" s="1" t="n"/>
      <c r="U1" s="1" t="n"/>
      <c r="V1" s="1" t="n"/>
      <c r="W1" s="1" t="n"/>
      <c r="X1" s="1" t="n"/>
      <c r="Y1" s="1" t="n"/>
      <c r="Z1" s="1" t="n"/>
    </row>
    <row r="2" ht="30" customHeight="1" s="311">
      <c r="A2" s="1" t="n"/>
      <c r="B2" s="3" t="inlineStr">
        <is>
          <t>El mes es una unidad demasiado grande cuando el disponible es corto: puedes cerrar el mes en positivo y aun así quedarte a cero un martes 12. Esta hoja parte del dinero real que tienes hoy, reparte las facturas por su fecha de vencimiento y te dice EN QUÉ SEMANA te quedas sin dinero y cuánto te falta. Solo hay que rellenar las celdas amarillas.</t>
        </is>
      </c>
      <c r="N2" s="1" t="n"/>
      <c r="O2" s="1" t="n"/>
      <c r="P2" s="1" t="n"/>
      <c r="Q2" s="1" t="n"/>
      <c r="R2" s="1" t="n"/>
      <c r="S2" s="1" t="n"/>
      <c r="T2" s="1" t="n"/>
      <c r="U2" s="1" t="n"/>
      <c r="V2" s="1" t="n"/>
      <c r="W2" s="1" t="n"/>
      <c r="X2" s="1" t="n"/>
      <c r="Y2" s="1" t="n"/>
      <c r="Z2" s="1" t="n"/>
    </row>
    <row r="3" ht="1.5" customHeight="1" s="311">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 t="n"/>
      <c r="B4" s="4" t="inlineStr">
        <is>
          <t>La proyección empieza hoy</t>
        </is>
      </c>
      <c r="C4" s="395" t="n"/>
      <c r="D4" s="193">
        <f>TODAY()</f>
        <v/>
      </c>
      <c r="E4" s="194" t="inlineStr">
        <is>
          <t>Saldo de partida</t>
        </is>
      </c>
      <c r="F4" s="197">
        <f>Disponibilidad!$G$33</f>
        <v/>
      </c>
      <c r="G4" s="194" t="inlineStr">
        <is>
          <t>Día del mes en que pagas a los particulares</t>
        </is>
      </c>
      <c r="H4" s="403" t="n"/>
      <c r="I4" s="395" t="n"/>
      <c r="J4" s="199" t="n">
        <v>5</v>
      </c>
      <c r="K4" s="196" t="inlineStr">
        <is>
          <t>← edítalo</t>
        </is>
      </c>
      <c r="L4" s="1" t="n"/>
      <c r="M4" s="1" t="n"/>
      <c r="N4" s="1" t="n"/>
      <c r="O4" s="1" t="n"/>
      <c r="P4" s="1" t="n"/>
      <c r="Q4" s="1" t="n"/>
      <c r="R4" s="1" t="n"/>
      <c r="S4" s="1" t="n"/>
      <c r="T4" s="1" t="n"/>
      <c r="U4" s="1" t="n"/>
      <c r="V4" s="1" t="n"/>
      <c r="W4" s="1" t="n"/>
      <c r="X4" s="1" t="n"/>
      <c r="Y4" s="1" t="n"/>
      <c r="Z4" s="1"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4" customHeight="1" s="311">
      <c r="A6" s="1" t="n"/>
      <c r="B6" s="10" t="inlineStr">
        <is>
          <t>A.  INGRESOS PREVISTOS  —  qué entra y qué día</t>
        </is>
      </c>
      <c r="H6" s="1" t="n"/>
      <c r="I6" s="1" t="n"/>
      <c r="J6" s="1" t="n"/>
      <c r="K6" s="1" t="n"/>
      <c r="L6" s="1" t="n"/>
      <c r="M6" s="1" t="n"/>
      <c r="N6" s="1" t="n"/>
      <c r="O6" s="1" t="n"/>
      <c r="P6" s="1" t="n"/>
      <c r="Q6" s="1" t="n"/>
      <c r="R6" s="1" t="n"/>
      <c r="S6" s="1" t="n"/>
      <c r="T6" s="1" t="n"/>
      <c r="U6" s="1" t="n"/>
      <c r="V6" s="1" t="n"/>
      <c r="W6" s="1" t="n"/>
      <c r="X6" s="1" t="n"/>
      <c r="Y6" s="1" t="n"/>
      <c r="Z6" s="1" t="n"/>
    </row>
    <row r="7" ht="21.75" customHeight="1" s="311">
      <c r="A7" s="1" t="n"/>
      <c r="B7" s="11" t="inlineStr">
        <is>
          <t>#</t>
        </is>
      </c>
      <c r="C7" s="11" t="inlineStr">
        <is>
          <t>Concepto</t>
        </is>
      </c>
      <c r="D7" s="11" t="inlineStr">
        <is>
          <t>Importe (€)</t>
        </is>
      </c>
      <c r="E7" s="11" t="inlineStr">
        <is>
          <t>Día del mes</t>
        </is>
      </c>
      <c r="F7" s="11" t="inlineStr">
        <is>
          <t>¿Activo?</t>
        </is>
      </c>
      <c r="G7" s="11" t="inlineStr">
        <is>
          <t>Notas</t>
        </is>
      </c>
      <c r="H7" s="1" t="n"/>
      <c r="I7" s="1" t="n"/>
      <c r="J7" s="1" t="n"/>
      <c r="K7" s="1" t="n"/>
      <c r="L7" s="1" t="n"/>
      <c r="M7" s="1" t="n"/>
      <c r="N7" s="1" t="n"/>
      <c r="O7" s="1" t="n"/>
      <c r="P7" s="1" t="n"/>
      <c r="Q7" s="1" t="n"/>
      <c r="R7" s="1" t="n"/>
      <c r="S7" s="1" t="n"/>
      <c r="T7" s="1" t="n"/>
      <c r="U7" s="1" t="n"/>
      <c r="V7" s="1" t="n"/>
      <c r="W7" s="1" t="n"/>
      <c r="X7" s="1" t="n"/>
      <c r="Y7" s="1" t="n"/>
      <c r="Z7" s="1" t="n"/>
    </row>
    <row r="8">
      <c r="A8" s="1" t="n"/>
      <c r="B8" s="204" t="n">
        <v>1</v>
      </c>
      <c r="C8" s="206" t="inlineStr">
        <is>
          <t>Nómina de Iris</t>
        </is>
      </c>
      <c r="D8" s="12" t="n">
        <v>852.5</v>
      </c>
      <c r="E8" s="207" t="n">
        <v>1</v>
      </c>
      <c r="F8" s="208" t="inlineStr">
        <is>
          <t>Sí</t>
        </is>
      </c>
      <c r="G8" s="209" t="inlineStr">
        <is>
          <t>Del escenario del hogar.</t>
        </is>
      </c>
      <c r="H8" s="1" t="n"/>
      <c r="I8" s="1" t="n"/>
      <c r="J8" s="1" t="n"/>
      <c r="K8" s="1" t="n"/>
      <c r="L8" s="1" t="n"/>
      <c r="M8" s="1" t="n"/>
      <c r="N8" s="1" t="n"/>
      <c r="O8" s="1" t="n"/>
      <c r="P8" s="1" t="n"/>
      <c r="Q8" s="1" t="n"/>
      <c r="R8" s="1" t="n"/>
      <c r="S8" s="1" t="n"/>
      <c r="T8" s="1" t="n"/>
      <c r="U8" s="1" t="n"/>
      <c r="V8" s="1" t="n"/>
      <c r="W8" s="1" t="n"/>
      <c r="X8" s="1" t="n"/>
      <c r="Y8" s="1" t="n"/>
      <c r="Z8" s="1" t="n"/>
    </row>
    <row r="9">
      <c r="A9" s="1" t="n"/>
      <c r="B9" s="204" t="n">
        <v>2</v>
      </c>
      <c r="C9" s="206" t="inlineStr">
        <is>
          <t>Ingreso de Stalin</t>
        </is>
      </c>
      <c r="D9" s="12" t="n">
        <v>239</v>
      </c>
      <c r="E9" s="207" t="n">
        <v>1</v>
      </c>
      <c r="F9" s="208" t="inlineStr">
        <is>
          <t>Sí</t>
        </is>
      </c>
      <c r="G9" s="209" t="n"/>
      <c r="H9" s="1" t="n"/>
      <c r="I9" s="1" t="n"/>
      <c r="J9" s="1" t="n"/>
      <c r="K9" s="1" t="n"/>
      <c r="L9" s="1" t="n"/>
      <c r="M9" s="1" t="n"/>
      <c r="N9" s="1" t="n"/>
      <c r="O9" s="1" t="n"/>
      <c r="P9" s="1" t="n"/>
      <c r="Q9" s="1" t="n"/>
      <c r="R9" s="1" t="n"/>
      <c r="S9" s="1" t="n"/>
      <c r="T9" s="1" t="n"/>
      <c r="U9" s="1" t="n"/>
      <c r="V9" s="1" t="n"/>
      <c r="W9" s="1" t="n"/>
      <c r="X9" s="1" t="n"/>
      <c r="Y9" s="1" t="n"/>
      <c r="Z9" s="1" t="n"/>
    </row>
    <row r="10">
      <c r="A10" s="1" t="n"/>
      <c r="B10" s="204" t="n">
        <v>3</v>
      </c>
      <c r="C10" s="206" t="inlineStr">
        <is>
          <t>Ingreso de Tony</t>
        </is>
      </c>
      <c r="D10" s="12" t="n">
        <v>100</v>
      </c>
      <c r="E10" s="207" t="n">
        <v>1</v>
      </c>
      <c r="F10" s="208" t="inlineStr">
        <is>
          <t>Sí</t>
        </is>
      </c>
      <c r="G10" s="209" t="n"/>
      <c r="H10" s="1" t="n"/>
      <c r="I10" s="1" t="n"/>
      <c r="J10" s="1" t="n"/>
      <c r="K10" s="1" t="n"/>
      <c r="L10" s="1" t="n"/>
      <c r="M10" s="1" t="n"/>
      <c r="N10" s="1" t="n"/>
      <c r="O10" s="1" t="n"/>
      <c r="P10" s="1" t="n"/>
      <c r="Q10" s="1" t="n"/>
      <c r="R10" s="1" t="n"/>
      <c r="S10" s="1" t="n"/>
      <c r="T10" s="1" t="n"/>
      <c r="U10" s="1" t="n"/>
      <c r="V10" s="1" t="n"/>
      <c r="W10" s="1" t="n"/>
      <c r="X10" s="1" t="n"/>
      <c r="Y10" s="1" t="n"/>
      <c r="Z10" s="1" t="n"/>
    </row>
    <row r="11">
      <c r="A11" s="1" t="n"/>
      <c r="B11" s="204" t="n">
        <v>4</v>
      </c>
      <c r="C11" s="206" t="inlineStr">
        <is>
          <t>Tu ingreso propio</t>
        </is>
      </c>
      <c r="D11" s="12" t="n">
        <v>0</v>
      </c>
      <c r="E11" s="207" t="n">
        <v>1</v>
      </c>
      <c r="F11" s="208" t="inlineStr">
        <is>
          <t>Sí</t>
        </is>
      </c>
      <c r="G11" s="209" t="inlineStr">
        <is>
          <t>Hoy es 0. En cuanto tengas ingreso, escríbelo aquí.</t>
        </is>
      </c>
      <c r="H11" s="1" t="n"/>
      <c r="I11" s="1" t="n"/>
      <c r="J11" s="1" t="n"/>
      <c r="K11" s="1" t="n"/>
      <c r="L11" s="1" t="n"/>
      <c r="M11" s="1" t="n"/>
      <c r="N11" s="1" t="n"/>
      <c r="O11" s="1" t="n"/>
      <c r="P11" s="1" t="n"/>
      <c r="Q11" s="1" t="n"/>
      <c r="R11" s="1" t="n"/>
      <c r="S11" s="1" t="n"/>
      <c r="T11" s="1" t="n"/>
      <c r="U11" s="1" t="n"/>
      <c r="V11" s="1" t="n"/>
      <c r="W11" s="1" t="n"/>
      <c r="X11" s="1" t="n"/>
      <c r="Y11" s="1" t="n"/>
      <c r="Z11" s="1" t="n"/>
    </row>
    <row r="12">
      <c r="A12" s="1" t="n"/>
      <c r="B12" s="204" t="n">
        <v>5</v>
      </c>
      <c r="C12" s="206" t="inlineStr">
        <is>
          <t>Otro ingreso</t>
        </is>
      </c>
      <c r="D12" s="12" t="n">
        <v>0</v>
      </c>
      <c r="E12" s="207" t="n">
        <v>15</v>
      </c>
      <c r="F12" s="208" t="inlineStr">
        <is>
          <t>No</t>
        </is>
      </c>
      <c r="G12" s="209" t="n"/>
      <c r="H12" s="1" t="n"/>
      <c r="I12" s="1" t="n"/>
      <c r="J12" s="1" t="n"/>
      <c r="K12" s="1" t="n"/>
      <c r="L12" s="1" t="n"/>
      <c r="M12" s="1" t="n"/>
      <c r="N12" s="1" t="n"/>
      <c r="O12" s="1" t="n"/>
      <c r="P12" s="1" t="n"/>
      <c r="Q12" s="1" t="n"/>
      <c r="R12" s="1" t="n"/>
      <c r="S12" s="1" t="n"/>
      <c r="T12" s="1" t="n"/>
      <c r="U12" s="1" t="n"/>
      <c r="V12" s="1" t="n"/>
      <c r="W12" s="1" t="n"/>
      <c r="X12" s="1" t="n"/>
      <c r="Y12" s="1" t="n"/>
      <c r="Z12" s="1" t="n"/>
    </row>
    <row r="13">
      <c r="A13" s="1" t="n"/>
      <c r="B13" s="204" t="n">
        <v>6</v>
      </c>
      <c r="C13" s="206" t="inlineStr">
        <is>
          <t>Otro ingreso</t>
        </is>
      </c>
      <c r="D13" s="12" t="n">
        <v>0</v>
      </c>
      <c r="E13" s="207" t="n">
        <v>20</v>
      </c>
      <c r="F13" s="208" t="inlineStr">
        <is>
          <t>No</t>
        </is>
      </c>
      <c r="G13" s="209" t="n"/>
      <c r="H13" s="1" t="n"/>
      <c r="I13" s="1" t="n"/>
      <c r="J13" s="1" t="n"/>
      <c r="K13" s="1" t="n"/>
      <c r="L13" s="1" t="n"/>
      <c r="M13" s="1" t="n"/>
      <c r="N13" s="1" t="n"/>
      <c r="O13" s="1" t="n"/>
      <c r="P13" s="1" t="n"/>
      <c r="Q13" s="1" t="n"/>
      <c r="R13" s="1" t="n"/>
      <c r="S13" s="1" t="n"/>
      <c r="T13" s="1" t="n"/>
      <c r="U13" s="1" t="n"/>
      <c r="V13" s="1" t="n"/>
      <c r="W13" s="1" t="n"/>
      <c r="X13" s="1" t="n"/>
      <c r="Y13" s="1" t="n"/>
      <c r="Z13" s="1" t="n"/>
    </row>
    <row r="14">
      <c r="A14" s="1" t="n"/>
      <c r="B14" s="204" t="n">
        <v>7</v>
      </c>
      <c r="C14" s="206" t="inlineStr">
        <is>
          <t>Otro ingreso</t>
        </is>
      </c>
      <c r="D14" s="12" t="n">
        <v>0</v>
      </c>
      <c r="E14" s="207" t="n">
        <v>25</v>
      </c>
      <c r="F14" s="208" t="inlineStr">
        <is>
          <t>No</t>
        </is>
      </c>
      <c r="G14" s="209" t="n"/>
      <c r="H14" s="1" t="n"/>
      <c r="I14" s="1" t="n"/>
      <c r="J14" s="1" t="n"/>
      <c r="K14" s="1" t="n"/>
      <c r="L14" s="1" t="n"/>
      <c r="M14" s="1" t="n"/>
      <c r="N14" s="1" t="n"/>
      <c r="O14" s="1" t="n"/>
      <c r="P14" s="1" t="n"/>
      <c r="Q14" s="1" t="n"/>
      <c r="R14" s="1" t="n"/>
      <c r="S14" s="1" t="n"/>
      <c r="T14" s="1" t="n"/>
      <c r="U14" s="1" t="n"/>
      <c r="V14" s="1" t="n"/>
      <c r="W14" s="1" t="n"/>
      <c r="X14" s="1" t="n"/>
      <c r="Y14" s="1" t="n"/>
      <c r="Z14" s="1" t="n"/>
    </row>
    <row r="15">
      <c r="A15" s="1" t="n"/>
      <c r="B15" s="53" t="n"/>
      <c r="C15" s="216" t="inlineStr">
        <is>
          <t>TOTAL MENSUAL</t>
        </is>
      </c>
      <c r="D15" s="47">
        <f>SUMIFS($D$8:$D$14,$F$8:$F$14,"Sí")</f>
        <v/>
      </c>
      <c r="E15" s="53" t="n"/>
      <c r="F15" s="53" t="n"/>
      <c r="G15" s="53" t="n"/>
      <c r="H15" s="1" t="n"/>
      <c r="I15" s="1" t="n"/>
      <c r="J15" s="1" t="n"/>
      <c r="K15" s="1" t="n"/>
      <c r="L15" s="1" t="n"/>
      <c r="M15" s="1" t="n"/>
      <c r="N15" s="1" t="n"/>
      <c r="O15" s="1" t="n"/>
      <c r="P15" s="1" t="n"/>
      <c r="Q15" s="1" t="n"/>
      <c r="R15" s="1" t="n"/>
      <c r="S15" s="1" t="n"/>
      <c r="T15" s="1" t="n"/>
      <c r="U15" s="1" t="n"/>
      <c r="V15" s="1" t="n"/>
      <c r="W15" s="1" t="n"/>
      <c r="X15" s="1" t="n"/>
      <c r="Y15" s="1" t="n"/>
      <c r="Z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24" customHeight="1" s="311">
      <c r="A17" s="1" t="n"/>
      <c r="B17" s="10" t="inlineStr">
        <is>
          <t>B.  OTROS PAGOS PREVISTOS  —  lo que no está en la hoja Facturas</t>
        </is>
      </c>
      <c r="H17" s="1" t="n"/>
      <c r="I17" s="1" t="n"/>
      <c r="J17" s="1" t="n"/>
      <c r="K17" s="1" t="n"/>
      <c r="L17" s="1" t="n"/>
      <c r="M17" s="1" t="n"/>
      <c r="N17" s="1" t="n"/>
      <c r="O17" s="1" t="n"/>
      <c r="P17" s="1" t="n"/>
      <c r="Q17" s="1" t="n"/>
      <c r="R17" s="1" t="n"/>
      <c r="S17" s="1" t="n"/>
      <c r="T17" s="1" t="n"/>
      <c r="U17" s="1" t="n"/>
      <c r="V17" s="1" t="n"/>
      <c r="W17" s="1" t="n"/>
      <c r="X17" s="1" t="n"/>
      <c r="Y17" s="1" t="n"/>
      <c r="Z17" s="1" t="n"/>
    </row>
    <row r="18" ht="21.75" customHeight="1" s="311">
      <c r="A18" s="1" t="n"/>
      <c r="B18" s="11" t="inlineStr">
        <is>
          <t>#</t>
        </is>
      </c>
      <c r="C18" s="11" t="inlineStr">
        <is>
          <t>Concepto</t>
        </is>
      </c>
      <c r="D18" s="11" t="inlineStr">
        <is>
          <t>Importe (€)</t>
        </is>
      </c>
      <c r="E18" s="11" t="inlineStr">
        <is>
          <t>Día del mes</t>
        </is>
      </c>
      <c r="F18" s="11" t="inlineStr">
        <is>
          <t>¿Activo?</t>
        </is>
      </c>
      <c r="G18" s="11" t="inlineStr">
        <is>
          <t>Notas</t>
        </is>
      </c>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204" t="n">
        <v>1</v>
      </c>
      <c r="C19" s="206" t="inlineStr">
        <is>
          <t>Combustible y transporte</t>
        </is>
      </c>
      <c r="D19" s="12" t="n">
        <v>0</v>
      </c>
      <c r="E19" s="207" t="n">
        <v>10</v>
      </c>
      <c r="F19" s="208" t="inlineStr">
        <is>
          <t>No</t>
        </is>
      </c>
      <c r="G19" s="209" t="inlineStr">
        <is>
          <t>Añade aquí lo que pagas en efectivo o con tarjeta y no tienes facturado.</t>
        </is>
      </c>
      <c r="H19" s="1" t="n"/>
      <c r="I19" s="1" t="n"/>
      <c r="J19" s="1" t="n"/>
      <c r="K19" s="1" t="n"/>
      <c r="L19" s="1" t="n"/>
      <c r="M19" s="1" t="n"/>
      <c r="N19" s="1" t="n"/>
      <c r="O19" s="1" t="n"/>
      <c r="P19" s="1" t="n"/>
      <c r="Q19" s="1" t="n"/>
      <c r="R19" s="1" t="n"/>
      <c r="S19" s="1" t="n"/>
      <c r="T19" s="1" t="n"/>
      <c r="U19" s="1" t="n"/>
      <c r="V19" s="1" t="n"/>
      <c r="W19" s="1" t="n"/>
      <c r="X19" s="1" t="n"/>
      <c r="Y19" s="1" t="n"/>
      <c r="Z19" s="1" t="n"/>
    </row>
    <row r="20">
      <c r="A20" s="1" t="n"/>
      <c r="B20" s="204" t="n">
        <v>2</v>
      </c>
      <c r="C20" s="206" t="inlineStr">
        <is>
          <t>Gastos personales</t>
        </is>
      </c>
      <c r="D20" s="12" t="n">
        <v>0</v>
      </c>
      <c r="E20" s="207" t="n">
        <v>15</v>
      </c>
      <c r="F20" s="208" t="inlineStr">
        <is>
          <t>No</t>
        </is>
      </c>
      <c r="G20" s="209" t="n"/>
      <c r="H20" s="1" t="n"/>
      <c r="I20" s="1" t="n"/>
      <c r="J20" s="1" t="n"/>
      <c r="K20" s="1" t="n"/>
      <c r="L20" s="1" t="n"/>
      <c r="M20" s="1" t="n"/>
      <c r="N20" s="1" t="n"/>
      <c r="O20" s="1" t="n"/>
      <c r="P20" s="1" t="n"/>
      <c r="Q20" s="1" t="n"/>
      <c r="R20" s="1" t="n"/>
      <c r="S20" s="1" t="n"/>
      <c r="T20" s="1" t="n"/>
      <c r="U20" s="1" t="n"/>
      <c r="V20" s="1" t="n"/>
      <c r="W20" s="1" t="n"/>
      <c r="X20" s="1" t="n"/>
      <c r="Y20" s="1" t="n"/>
      <c r="Z20" s="1" t="n"/>
    </row>
    <row r="21" ht="43.5" customHeight="1" s="311">
      <c r="A21" s="1" t="n"/>
      <c r="B21" s="204" t="n">
        <v>3</v>
      </c>
      <c r="C21" s="206" t="inlineStr">
        <is>
          <t>Imprevistos</t>
        </is>
      </c>
      <c r="D21" s="12" t="n">
        <v>0</v>
      </c>
      <c r="E21" s="207" t="n">
        <v>20</v>
      </c>
      <c r="F21" s="208" t="inlineStr">
        <is>
          <t>No</t>
        </is>
      </c>
      <c r="G21" s="209" t="inlineStr">
        <is>
          <t>Reservar aunque sea 20 €/mes evita que el imprevisto acabe en la tarjeta.</t>
        </is>
      </c>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311">
      <c r="A22" s="1" t="n"/>
      <c r="B22" s="204" t="n">
        <v>4</v>
      </c>
      <c r="C22" s="206" t="inlineStr">
        <is>
          <t>Otro pago</t>
        </is>
      </c>
      <c r="D22" s="12" t="n">
        <v>0</v>
      </c>
      <c r="E22" s="207" t="n">
        <v>25</v>
      </c>
      <c r="F22" s="208" t="inlineStr">
        <is>
          <t>No</t>
        </is>
      </c>
      <c r="G22" s="209"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311">
      <c r="A23" s="1" t="n"/>
      <c r="B23" s="204" t="n">
        <v>5</v>
      </c>
      <c r="C23" s="206" t="inlineStr">
        <is>
          <t>Otro pago</t>
        </is>
      </c>
      <c r="D23" s="12" t="n">
        <v>0</v>
      </c>
      <c r="E23" s="207" t="n">
        <v>28</v>
      </c>
      <c r="F23" s="208" t="inlineStr">
        <is>
          <t>No</t>
        </is>
      </c>
      <c r="G23" s="209"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1">
      <c r="A24" s="1" t="n"/>
      <c r="B24" s="53" t="n"/>
      <c r="C24" s="216" t="inlineStr">
        <is>
          <t>TOTAL MENSUAL</t>
        </is>
      </c>
      <c r="D24" s="47">
        <f>SUMIFS($D$19:$D$23,$F$19:$F$23,"Sí")</f>
        <v/>
      </c>
      <c r="E24" s="53" t="n"/>
      <c r="F24" s="53" t="n"/>
      <c r="G24" s="53"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31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24" customHeight="1" s="311">
      <c r="A26" s="1" t="n"/>
      <c r="B26" s="97" t="inlineStr">
        <is>
          <t>C.  LAS PRÓXIMAS 13 SEMANAS</t>
        </is>
      </c>
      <c r="N26" s="1" t="n"/>
      <c r="O26" s="1" t="n"/>
      <c r="P26" s="1" t="n"/>
      <c r="Q26" s="1" t="n"/>
      <c r="R26" s="1" t="n"/>
      <c r="S26" s="1" t="n"/>
      <c r="T26" s="1" t="n"/>
      <c r="U26" s="1" t="n"/>
      <c r="V26" s="1" t="n"/>
      <c r="W26" s="1" t="n"/>
      <c r="X26" s="1" t="n"/>
      <c r="Y26" s="1" t="n"/>
      <c r="Z26" s="1" t="n"/>
    </row>
    <row r="27" ht="29.25" customHeight="1" s="311">
      <c r="A27" s="1" t="n"/>
      <c r="B27" s="11" t="inlineStr">
        <is>
          <t>Sem.</t>
        </is>
      </c>
      <c r="C27" s="11" t="inlineStr">
        <is>
          <t>Del</t>
        </is>
      </c>
      <c r="D27" s="11" t="inlineStr">
        <is>
          <t>Al</t>
        </is>
      </c>
      <c r="E27" s="11" t="inlineStr">
        <is>
          <t>Saldo inicial
(€)</t>
        </is>
      </c>
      <c r="F27" s="11" t="inlineStr">
        <is>
          <t>(+) Cobros
previstos (€)</t>
        </is>
      </c>
      <c r="G27" s="11" t="inlineStr">
        <is>
          <t>(−) Facturas que
vencen (€)</t>
        </is>
      </c>
      <c r="H27" s="11" t="inlineStr">
        <is>
          <t>(−) Cuotas a
particulares (€)</t>
        </is>
      </c>
      <c r="I27" s="11" t="inlineStr">
        <is>
          <t>(−) Otros pagos
previstos (€)</t>
        </is>
      </c>
      <c r="J27" s="11" t="inlineStr">
        <is>
          <t>SALDO FINAL
(€)</t>
        </is>
      </c>
      <c r="K27" s="11" t="inlineStr">
        <is>
          <t>Estado</t>
        </is>
      </c>
      <c r="L27" s="11" t="inlineStr">
        <is>
          <t>Nº fras.</t>
        </is>
      </c>
      <c r="M27" s="11" t="inlineStr">
        <is>
          <t>Qué vence esa semana</t>
        </is>
      </c>
      <c r="N27" s="1" t="n"/>
      <c r="O27" s="1" t="n"/>
      <c r="P27" s="1" t="n"/>
      <c r="Q27" s="1" t="n"/>
      <c r="R27" s="1" t="n"/>
      <c r="S27" s="1" t="n"/>
      <c r="T27" s="1" t="n"/>
      <c r="U27" s="1" t="n"/>
      <c r="V27" s="1" t="n"/>
      <c r="W27" s="1" t="n"/>
      <c r="X27" s="1" t="n"/>
      <c r="Y27" s="1" t="n"/>
      <c r="Z27" s="1" t="n"/>
    </row>
    <row r="28" ht="15.75" customHeight="1" s="311">
      <c r="A28" s="1" t="n"/>
      <c r="B28" s="219" t="n">
        <v>1</v>
      </c>
      <c r="C28" s="220">
        <f>$D$4</f>
        <v/>
      </c>
      <c r="D28" s="220">
        <f>$C28+6</f>
        <v/>
      </c>
      <c r="E28" s="13">
        <f>$F$4</f>
        <v/>
      </c>
      <c r="F28" s="13">
        <f>SUMPRODUCT(($F$8:$F$14="Sí")*$D$8:$D$14*((DAY($C28+0)=$E$8:$E$14)+(DAY($C28+1)=$E$8:$E$14)+(DAY($C28+2)=$E$8:$E$14)+(DAY($C28+3)=$E$8:$E$14)+(DAY($C28+4)=$E$8:$E$14)+(DAY($C28+5)=$E$8:$E$14)+(DAY($C28+6)=$E$8:$E$14)))</f>
        <v/>
      </c>
      <c r="G28" s="13">
        <f>SUMIFS(Facturas!$K$6:$K$205,Facturas!$H$6:$H$205,"&lt;="&amp;$D28,Facturas!$D$6:$D$205,"&lt;&gt;Préstamo particular")</f>
        <v/>
      </c>
      <c r="H28" s="13">
        <f>Acuerdos!$C$7*((DAY($C28+0)=$J$4)+(DAY($C28+1)=$J$4)+(DAY($C28+2)=$J$4)+(DAY($C28+3)=$J$4)+(DAY($C28+4)=$J$4)+(DAY($C28+5)=$J$4)+(DAY($C28+6)=$J$4))</f>
        <v/>
      </c>
      <c r="I28" s="13">
        <f>SUMPRODUCT(($F$19:$F$23="Sí")*$D$19:$D$23*((DAY($C28+0)=$E$19:$E$23)+(DAY($C28+1)=$E$19:$E$23)+(DAY($C28+2)=$E$19:$E$23)+(DAY($C28+3)=$E$19:$E$23)+(DAY($C28+4)=$E$19:$E$23)+(DAY($C28+5)=$E$19:$E$23)+(DAY($C28+6)=$E$19:$E$23)))</f>
        <v/>
      </c>
      <c r="J28" s="222">
        <f>N($E28)+N($F28)-N($G28)-N($H28)-N($I28)</f>
        <v/>
      </c>
      <c r="K28" s="15">
        <f>IF($J28&lt;0,"🔴 SIN DINERO",IF($J28&lt;100,"🟠 Al límite",IF($J28&lt;Resultados!$F$41/4,"🟡 Justo","✅ Con margen")))</f>
        <v/>
      </c>
      <c r="L28" s="16">
        <f>COUNTIFS(Facturas!$H$6:$H$205,"&lt;="&amp;$D28,Facturas!$K$6:$K$205,"&gt;0",Facturas!$D$6:$D$205,"&lt;&gt;Préstamo particular")</f>
        <v/>
      </c>
      <c r="M28" s="223">
        <f>IF($L28=0,"—",$L28&amp;" factura(s) por "&amp;TEXT($G28,"#,##0.00")&amp;" €")</f>
        <v/>
      </c>
      <c r="N28" s="1" t="n"/>
      <c r="O28" s="1" t="n"/>
      <c r="P28" s="1" t="n"/>
      <c r="Q28" s="1" t="n"/>
      <c r="R28" s="1" t="n"/>
      <c r="S28" s="1" t="n"/>
      <c r="T28" s="1" t="n"/>
      <c r="U28" s="1" t="n"/>
      <c r="V28" s="1" t="n"/>
      <c r="W28" s="1" t="n"/>
      <c r="X28" s="1" t="n"/>
      <c r="Y28" s="1" t="n"/>
      <c r="Z28" s="1" t="n"/>
    </row>
    <row r="29" ht="15.75" customHeight="1" s="311">
      <c r="A29" s="1" t="n"/>
      <c r="B29" s="219" t="n">
        <v>2</v>
      </c>
      <c r="C29" s="220">
        <f>$D28+1</f>
        <v/>
      </c>
      <c r="D29" s="220">
        <f>$C29+6</f>
        <v/>
      </c>
      <c r="E29" s="13">
        <f>$J28</f>
        <v/>
      </c>
      <c r="F29" s="13">
        <f>SUMPRODUCT(($F$8:$F$14="Sí")*$D$8:$D$14*((DAY($C29+0)=$E$8:$E$14)+(DAY($C29+1)=$E$8:$E$14)+(DAY($C29+2)=$E$8:$E$14)+(DAY($C29+3)=$E$8:$E$14)+(DAY($C29+4)=$E$8:$E$14)+(DAY($C29+5)=$E$8:$E$14)+(DAY($C29+6)=$E$8:$E$14)))</f>
        <v/>
      </c>
      <c r="G29" s="13">
        <f>SUMIFS(Facturas!$K$6:$K$205,Facturas!$H$6:$H$205,"&gt;="&amp;$C29,Facturas!$H$6:$H$205,"&lt;="&amp;$D29,Facturas!$D$6:$D$205,"&lt;&gt;Préstamo particular")</f>
        <v/>
      </c>
      <c r="H29" s="13">
        <f>Acuerdos!$C$7*((DAY($C29+0)=$J$4)+(DAY($C29+1)=$J$4)+(DAY($C29+2)=$J$4)+(DAY($C29+3)=$J$4)+(DAY($C29+4)=$J$4)+(DAY($C29+5)=$J$4)+(DAY($C29+6)=$J$4))</f>
        <v/>
      </c>
      <c r="I29" s="13">
        <f>SUMPRODUCT(($F$19:$F$23="Sí")*$D$19:$D$23*((DAY($C29+0)=$E$19:$E$23)+(DAY($C29+1)=$E$19:$E$23)+(DAY($C29+2)=$E$19:$E$23)+(DAY($C29+3)=$E$19:$E$23)+(DAY($C29+4)=$E$19:$E$23)+(DAY($C29+5)=$E$19:$E$23)+(DAY($C29+6)=$E$19:$E$23)))</f>
        <v/>
      </c>
      <c r="J29" s="222">
        <f>N($E29)+N($F29)-N($G29)-N($H29)-N($I29)</f>
        <v/>
      </c>
      <c r="K29" s="15">
        <f>IF($J29&lt;0,"🔴 SIN DINERO",IF($J29&lt;100,"🟠 Al límite",IF($J29&lt;Resultados!$F$41/4,"🟡 Justo","✅ Con margen")))</f>
        <v/>
      </c>
      <c r="L29" s="16">
        <f>COUNTIFS(Facturas!$H$6:$H$205,"&gt;="&amp;$C29,Facturas!$H$6:$H$205,"&lt;="&amp;$D29,Facturas!$K$6:$K$205,"&gt;0",Facturas!$D$6:$D$205,"&lt;&gt;Préstamo particular")</f>
        <v/>
      </c>
      <c r="M29" s="223">
        <f>IF($L29=0,"—",$L29&amp;" factura(s) por "&amp;TEXT($G29,"#,##0.00")&amp;" €")</f>
        <v/>
      </c>
      <c r="N29" s="1" t="n"/>
      <c r="O29" s="1" t="n"/>
      <c r="P29" s="1" t="n"/>
      <c r="Q29" s="1" t="n"/>
      <c r="R29" s="1" t="n"/>
      <c r="S29" s="1" t="n"/>
      <c r="T29" s="1" t="n"/>
      <c r="U29" s="1" t="n"/>
      <c r="V29" s="1" t="n"/>
      <c r="W29" s="1" t="n"/>
      <c r="X29" s="1" t="n"/>
      <c r="Y29" s="1" t="n"/>
      <c r="Z29" s="1" t="n"/>
    </row>
    <row r="30" ht="15.75" customHeight="1" s="311">
      <c r="A30" s="1" t="n"/>
      <c r="B30" s="219" t="n">
        <v>3</v>
      </c>
      <c r="C30" s="220">
        <f>$D29+1</f>
        <v/>
      </c>
      <c r="D30" s="220">
        <f>$C30+6</f>
        <v/>
      </c>
      <c r="E30" s="13">
        <f>$J29</f>
        <v/>
      </c>
      <c r="F30" s="13">
        <f>SUMPRODUCT(($F$8:$F$14="Sí")*$D$8:$D$14*((DAY($C30+0)=$E$8:$E$14)+(DAY($C30+1)=$E$8:$E$14)+(DAY($C30+2)=$E$8:$E$14)+(DAY($C30+3)=$E$8:$E$14)+(DAY($C30+4)=$E$8:$E$14)+(DAY($C30+5)=$E$8:$E$14)+(DAY($C30+6)=$E$8:$E$14)))</f>
        <v/>
      </c>
      <c r="G30" s="13">
        <f>SUMIFS(Facturas!$K$6:$K$205,Facturas!$H$6:$H$205,"&gt;="&amp;$C30,Facturas!$H$6:$H$205,"&lt;="&amp;$D30,Facturas!$D$6:$D$205,"&lt;&gt;Préstamo particular")</f>
        <v/>
      </c>
      <c r="H30" s="13">
        <f>Acuerdos!$C$7*((DAY($C30+0)=$J$4)+(DAY($C30+1)=$J$4)+(DAY($C30+2)=$J$4)+(DAY($C30+3)=$J$4)+(DAY($C30+4)=$J$4)+(DAY($C30+5)=$J$4)+(DAY($C30+6)=$J$4))</f>
        <v/>
      </c>
      <c r="I30" s="13">
        <f>SUMPRODUCT(($F$19:$F$23="Sí")*$D$19:$D$23*((DAY($C30+0)=$E$19:$E$23)+(DAY($C30+1)=$E$19:$E$23)+(DAY($C30+2)=$E$19:$E$23)+(DAY($C30+3)=$E$19:$E$23)+(DAY($C30+4)=$E$19:$E$23)+(DAY($C30+5)=$E$19:$E$23)+(DAY($C30+6)=$E$19:$E$23)))</f>
        <v/>
      </c>
      <c r="J30" s="222">
        <f>N($E30)+N($F30)-N($G30)-N($H30)-N($I30)</f>
        <v/>
      </c>
      <c r="K30" s="15">
        <f>IF($J30&lt;0,"🔴 SIN DINERO",IF($J30&lt;100,"🟠 Al límite",IF($J30&lt;Resultados!$F$41/4,"🟡 Justo","✅ Con margen")))</f>
        <v/>
      </c>
      <c r="L30" s="16">
        <f>COUNTIFS(Facturas!$H$6:$H$205,"&gt;="&amp;$C30,Facturas!$H$6:$H$205,"&lt;="&amp;$D30,Facturas!$K$6:$K$205,"&gt;0",Facturas!$D$6:$D$205,"&lt;&gt;Préstamo particular")</f>
        <v/>
      </c>
      <c r="M30" s="223">
        <f>IF($L30=0,"—",$L30&amp;" factura(s) por "&amp;TEXT($G30,"#,##0.00")&amp;" €")</f>
        <v/>
      </c>
      <c r="N30" s="1" t="n"/>
      <c r="O30" s="1" t="n"/>
      <c r="P30" s="1" t="n"/>
      <c r="Q30" s="1" t="n"/>
      <c r="R30" s="1" t="n"/>
      <c r="S30" s="1" t="n"/>
      <c r="T30" s="1" t="n"/>
      <c r="U30" s="1" t="n"/>
      <c r="V30" s="1" t="n"/>
      <c r="W30" s="1" t="n"/>
      <c r="X30" s="1" t="n"/>
      <c r="Y30" s="1" t="n"/>
      <c r="Z30" s="1" t="n"/>
    </row>
    <row r="31" ht="15.75" customHeight="1" s="311">
      <c r="A31" s="1" t="n"/>
      <c r="B31" s="219" t="n">
        <v>4</v>
      </c>
      <c r="C31" s="220">
        <f>$D30+1</f>
        <v/>
      </c>
      <c r="D31" s="220">
        <f>$C31+6</f>
        <v/>
      </c>
      <c r="E31" s="13">
        <f>$J30</f>
        <v/>
      </c>
      <c r="F31" s="13">
        <f>SUMPRODUCT(($F$8:$F$14="Sí")*$D$8:$D$14*((DAY($C31+0)=$E$8:$E$14)+(DAY($C31+1)=$E$8:$E$14)+(DAY($C31+2)=$E$8:$E$14)+(DAY($C31+3)=$E$8:$E$14)+(DAY($C31+4)=$E$8:$E$14)+(DAY($C31+5)=$E$8:$E$14)+(DAY($C31+6)=$E$8:$E$14)))</f>
        <v/>
      </c>
      <c r="G31" s="13">
        <f>SUMIFS(Facturas!$K$6:$K$205,Facturas!$H$6:$H$205,"&gt;="&amp;$C31,Facturas!$H$6:$H$205,"&lt;="&amp;$D31,Facturas!$D$6:$D$205,"&lt;&gt;Préstamo particular")</f>
        <v/>
      </c>
      <c r="H31" s="13">
        <f>Acuerdos!$C$7*((DAY($C31+0)=$J$4)+(DAY($C31+1)=$J$4)+(DAY($C31+2)=$J$4)+(DAY($C31+3)=$J$4)+(DAY($C31+4)=$J$4)+(DAY($C31+5)=$J$4)+(DAY($C31+6)=$J$4))</f>
        <v/>
      </c>
      <c r="I31" s="13">
        <f>SUMPRODUCT(($F$19:$F$23="Sí")*$D$19:$D$23*((DAY($C31+0)=$E$19:$E$23)+(DAY($C31+1)=$E$19:$E$23)+(DAY($C31+2)=$E$19:$E$23)+(DAY($C31+3)=$E$19:$E$23)+(DAY($C31+4)=$E$19:$E$23)+(DAY($C31+5)=$E$19:$E$23)+(DAY($C31+6)=$E$19:$E$23)))</f>
        <v/>
      </c>
      <c r="J31" s="222">
        <f>N($E31)+N($F31)-N($G31)-N($H31)-N($I31)</f>
        <v/>
      </c>
      <c r="K31" s="15">
        <f>IF($J31&lt;0,"🔴 SIN DINERO",IF($J31&lt;100,"🟠 Al límite",IF($J31&lt;Resultados!$F$41/4,"🟡 Justo","✅ Con margen")))</f>
        <v/>
      </c>
      <c r="L31" s="16">
        <f>COUNTIFS(Facturas!$H$6:$H$205,"&gt;="&amp;$C31,Facturas!$H$6:$H$205,"&lt;="&amp;$D31,Facturas!$K$6:$K$205,"&gt;0",Facturas!$D$6:$D$205,"&lt;&gt;Préstamo particular")</f>
        <v/>
      </c>
      <c r="M31" s="223">
        <f>IF($L31=0,"—",$L31&amp;" factura(s) por "&amp;TEXT($G31,"#,##0.00")&amp;" €")</f>
        <v/>
      </c>
      <c r="N31" s="1" t="n"/>
      <c r="O31" s="1" t="n"/>
      <c r="P31" s="1" t="n"/>
      <c r="Q31" s="1" t="n"/>
      <c r="R31" s="1" t="n"/>
      <c r="S31" s="1" t="n"/>
      <c r="T31" s="1" t="n"/>
      <c r="U31" s="1" t="n"/>
      <c r="V31" s="1" t="n"/>
      <c r="W31" s="1" t="n"/>
      <c r="X31" s="1" t="n"/>
      <c r="Y31" s="1" t="n"/>
      <c r="Z31" s="1" t="n"/>
    </row>
    <row r="32" ht="15.75" customHeight="1" s="311">
      <c r="A32" s="1" t="n"/>
      <c r="B32" s="219" t="n">
        <v>5</v>
      </c>
      <c r="C32" s="220">
        <f>$D31+1</f>
        <v/>
      </c>
      <c r="D32" s="220">
        <f>$C32+6</f>
        <v/>
      </c>
      <c r="E32" s="13">
        <f>$J31</f>
        <v/>
      </c>
      <c r="F32" s="13">
        <f>SUMPRODUCT(($F$8:$F$14="Sí")*$D$8:$D$14*((DAY($C32+0)=$E$8:$E$14)+(DAY($C32+1)=$E$8:$E$14)+(DAY($C32+2)=$E$8:$E$14)+(DAY($C32+3)=$E$8:$E$14)+(DAY($C32+4)=$E$8:$E$14)+(DAY($C32+5)=$E$8:$E$14)+(DAY($C32+6)=$E$8:$E$14)))</f>
        <v/>
      </c>
      <c r="G32" s="13">
        <f>SUMIFS(Facturas!$K$6:$K$205,Facturas!$H$6:$H$205,"&gt;="&amp;$C32,Facturas!$H$6:$H$205,"&lt;="&amp;$D32,Facturas!$D$6:$D$205,"&lt;&gt;Préstamo particular")</f>
        <v/>
      </c>
      <c r="H32" s="13">
        <f>Acuerdos!$C$7*((DAY($C32+0)=$J$4)+(DAY($C32+1)=$J$4)+(DAY($C32+2)=$J$4)+(DAY($C32+3)=$J$4)+(DAY($C32+4)=$J$4)+(DAY($C32+5)=$J$4)+(DAY($C32+6)=$J$4))</f>
        <v/>
      </c>
      <c r="I32" s="13">
        <f>SUMPRODUCT(($F$19:$F$23="Sí")*$D$19:$D$23*((DAY($C32+0)=$E$19:$E$23)+(DAY($C32+1)=$E$19:$E$23)+(DAY($C32+2)=$E$19:$E$23)+(DAY($C32+3)=$E$19:$E$23)+(DAY($C32+4)=$E$19:$E$23)+(DAY($C32+5)=$E$19:$E$23)+(DAY($C32+6)=$E$19:$E$23)))</f>
        <v/>
      </c>
      <c r="J32" s="222">
        <f>N($E32)+N($F32)-N($G32)-N($H32)-N($I32)</f>
        <v/>
      </c>
      <c r="K32" s="15">
        <f>IF($J32&lt;0,"🔴 SIN DINERO",IF($J32&lt;100,"🟠 Al límite",IF($J32&lt;Resultados!$F$41/4,"🟡 Justo","✅ Con margen")))</f>
        <v/>
      </c>
      <c r="L32" s="16">
        <f>COUNTIFS(Facturas!$H$6:$H$205,"&gt;="&amp;$C32,Facturas!$H$6:$H$205,"&lt;="&amp;$D32,Facturas!$K$6:$K$205,"&gt;0",Facturas!$D$6:$D$205,"&lt;&gt;Préstamo particular")</f>
        <v/>
      </c>
      <c r="M32" s="223">
        <f>IF($L32=0,"—",$L32&amp;" factura(s) por "&amp;TEXT($G32,"#,##0.00")&amp;" €")</f>
        <v/>
      </c>
      <c r="N32" s="1" t="n"/>
      <c r="O32" s="1" t="n"/>
      <c r="P32" s="1" t="n"/>
      <c r="Q32" s="1" t="n"/>
      <c r="R32" s="1" t="n"/>
      <c r="S32" s="1" t="n"/>
      <c r="T32" s="1" t="n"/>
      <c r="U32" s="1" t="n"/>
      <c r="V32" s="1" t="n"/>
      <c r="W32" s="1" t="n"/>
      <c r="X32" s="1" t="n"/>
      <c r="Y32" s="1" t="n"/>
      <c r="Z32" s="1" t="n"/>
    </row>
    <row r="33" ht="15.75" customHeight="1" s="311">
      <c r="A33" s="1" t="n"/>
      <c r="B33" s="219" t="n">
        <v>6</v>
      </c>
      <c r="C33" s="220">
        <f>$D32+1</f>
        <v/>
      </c>
      <c r="D33" s="220">
        <f>$C33+6</f>
        <v/>
      </c>
      <c r="E33" s="13">
        <f>$J32</f>
        <v/>
      </c>
      <c r="F33" s="13">
        <f>SUMPRODUCT(($F$8:$F$14="Sí")*$D$8:$D$14*((DAY($C33+0)=$E$8:$E$14)+(DAY($C33+1)=$E$8:$E$14)+(DAY($C33+2)=$E$8:$E$14)+(DAY($C33+3)=$E$8:$E$14)+(DAY($C33+4)=$E$8:$E$14)+(DAY($C33+5)=$E$8:$E$14)+(DAY($C33+6)=$E$8:$E$14)))</f>
        <v/>
      </c>
      <c r="G33" s="13">
        <f>SUMIFS(Facturas!$K$6:$K$205,Facturas!$H$6:$H$205,"&gt;="&amp;$C33,Facturas!$H$6:$H$205,"&lt;="&amp;$D33,Facturas!$D$6:$D$205,"&lt;&gt;Préstamo particular")</f>
        <v/>
      </c>
      <c r="H33" s="13">
        <f>Acuerdos!$C$7*((DAY($C33+0)=$J$4)+(DAY($C33+1)=$J$4)+(DAY($C33+2)=$J$4)+(DAY($C33+3)=$J$4)+(DAY($C33+4)=$J$4)+(DAY($C33+5)=$J$4)+(DAY($C33+6)=$J$4))</f>
        <v/>
      </c>
      <c r="I33" s="13">
        <f>SUMPRODUCT(($F$19:$F$23="Sí")*$D$19:$D$23*((DAY($C33+0)=$E$19:$E$23)+(DAY($C33+1)=$E$19:$E$23)+(DAY($C33+2)=$E$19:$E$23)+(DAY($C33+3)=$E$19:$E$23)+(DAY($C33+4)=$E$19:$E$23)+(DAY($C33+5)=$E$19:$E$23)+(DAY($C33+6)=$E$19:$E$23)))</f>
        <v/>
      </c>
      <c r="J33" s="222">
        <f>N($E33)+N($F33)-N($G33)-N($H33)-N($I33)</f>
        <v/>
      </c>
      <c r="K33" s="15">
        <f>IF($J33&lt;0,"🔴 SIN DINERO",IF($J33&lt;100,"🟠 Al límite",IF($J33&lt;Resultados!$F$41/4,"🟡 Justo","✅ Con margen")))</f>
        <v/>
      </c>
      <c r="L33" s="16">
        <f>COUNTIFS(Facturas!$H$6:$H$205,"&gt;="&amp;$C33,Facturas!$H$6:$H$205,"&lt;="&amp;$D33,Facturas!$K$6:$K$205,"&gt;0",Facturas!$D$6:$D$205,"&lt;&gt;Préstamo particular")</f>
        <v/>
      </c>
      <c r="M33" s="223">
        <f>IF($L33=0,"—",$L33&amp;" factura(s) por "&amp;TEXT($G33,"#,##0.00")&amp;" €")</f>
        <v/>
      </c>
      <c r="N33" s="1" t="n"/>
      <c r="O33" s="1" t="n"/>
      <c r="P33" s="1" t="n"/>
      <c r="Q33" s="1" t="n"/>
      <c r="R33" s="1" t="n"/>
      <c r="S33" s="1" t="n"/>
      <c r="T33" s="1" t="n"/>
      <c r="U33" s="1" t="n"/>
      <c r="V33" s="1" t="n"/>
      <c r="W33" s="1" t="n"/>
      <c r="X33" s="1" t="n"/>
      <c r="Y33" s="1" t="n"/>
      <c r="Z33" s="1" t="n"/>
    </row>
    <row r="34" ht="15.75" customHeight="1" s="311">
      <c r="A34" s="1" t="n"/>
      <c r="B34" s="219" t="n">
        <v>7</v>
      </c>
      <c r="C34" s="220">
        <f>$D33+1</f>
        <v/>
      </c>
      <c r="D34" s="220">
        <f>$C34+6</f>
        <v/>
      </c>
      <c r="E34" s="13">
        <f>$J33</f>
        <v/>
      </c>
      <c r="F34" s="13">
        <f>SUMPRODUCT(($F$8:$F$14="Sí")*$D$8:$D$14*((DAY($C34+0)=$E$8:$E$14)+(DAY($C34+1)=$E$8:$E$14)+(DAY($C34+2)=$E$8:$E$14)+(DAY($C34+3)=$E$8:$E$14)+(DAY($C34+4)=$E$8:$E$14)+(DAY($C34+5)=$E$8:$E$14)+(DAY($C34+6)=$E$8:$E$14)))</f>
        <v/>
      </c>
      <c r="G34" s="13">
        <f>SUMIFS(Facturas!$K$6:$K$205,Facturas!$H$6:$H$205,"&gt;="&amp;$C34,Facturas!$H$6:$H$205,"&lt;="&amp;$D34,Facturas!$D$6:$D$205,"&lt;&gt;Préstamo particular")</f>
        <v/>
      </c>
      <c r="H34" s="13">
        <f>Acuerdos!$C$7*((DAY($C34+0)=$J$4)+(DAY($C34+1)=$J$4)+(DAY($C34+2)=$J$4)+(DAY($C34+3)=$J$4)+(DAY($C34+4)=$J$4)+(DAY($C34+5)=$J$4)+(DAY($C34+6)=$J$4))</f>
        <v/>
      </c>
      <c r="I34" s="13">
        <f>SUMPRODUCT(($F$19:$F$23="Sí")*$D$19:$D$23*((DAY($C34+0)=$E$19:$E$23)+(DAY($C34+1)=$E$19:$E$23)+(DAY($C34+2)=$E$19:$E$23)+(DAY($C34+3)=$E$19:$E$23)+(DAY($C34+4)=$E$19:$E$23)+(DAY($C34+5)=$E$19:$E$23)+(DAY($C34+6)=$E$19:$E$23)))</f>
        <v/>
      </c>
      <c r="J34" s="222">
        <f>N($E34)+N($F34)-N($G34)-N($H34)-N($I34)</f>
        <v/>
      </c>
      <c r="K34" s="15">
        <f>IF($J34&lt;0,"🔴 SIN DINERO",IF($J34&lt;100,"🟠 Al límite",IF($J34&lt;Resultados!$F$41/4,"🟡 Justo","✅ Con margen")))</f>
        <v/>
      </c>
      <c r="L34" s="16">
        <f>COUNTIFS(Facturas!$H$6:$H$205,"&gt;="&amp;$C34,Facturas!$H$6:$H$205,"&lt;="&amp;$D34,Facturas!$K$6:$K$205,"&gt;0",Facturas!$D$6:$D$205,"&lt;&gt;Préstamo particular")</f>
        <v/>
      </c>
      <c r="M34" s="223">
        <f>IF($L34=0,"—",$L34&amp;" factura(s) por "&amp;TEXT($G34,"#,##0.00")&amp;" €")</f>
        <v/>
      </c>
      <c r="N34" s="1" t="n"/>
      <c r="O34" s="1" t="n"/>
      <c r="P34" s="1" t="n"/>
      <c r="Q34" s="1" t="n"/>
      <c r="R34" s="1" t="n"/>
      <c r="S34" s="1" t="n"/>
      <c r="T34" s="1" t="n"/>
      <c r="U34" s="1" t="n"/>
      <c r="V34" s="1" t="n"/>
      <c r="W34" s="1" t="n"/>
      <c r="X34" s="1" t="n"/>
      <c r="Y34" s="1" t="n"/>
      <c r="Z34" s="1" t="n"/>
    </row>
    <row r="35" ht="15.75" customHeight="1" s="311">
      <c r="A35" s="1" t="n"/>
      <c r="B35" s="219" t="n">
        <v>8</v>
      </c>
      <c r="C35" s="220">
        <f>$D34+1</f>
        <v/>
      </c>
      <c r="D35" s="220">
        <f>$C35+6</f>
        <v/>
      </c>
      <c r="E35" s="13">
        <f>$J34</f>
        <v/>
      </c>
      <c r="F35" s="13">
        <f>SUMPRODUCT(($F$8:$F$14="Sí")*$D$8:$D$14*((DAY($C35+0)=$E$8:$E$14)+(DAY($C35+1)=$E$8:$E$14)+(DAY($C35+2)=$E$8:$E$14)+(DAY($C35+3)=$E$8:$E$14)+(DAY($C35+4)=$E$8:$E$14)+(DAY($C35+5)=$E$8:$E$14)+(DAY($C35+6)=$E$8:$E$14)))</f>
        <v/>
      </c>
      <c r="G35" s="13">
        <f>SUMIFS(Facturas!$K$6:$K$205,Facturas!$H$6:$H$205,"&gt;="&amp;$C35,Facturas!$H$6:$H$205,"&lt;="&amp;$D35,Facturas!$D$6:$D$205,"&lt;&gt;Préstamo particular")</f>
        <v/>
      </c>
      <c r="H35" s="13">
        <f>Acuerdos!$C$7*((DAY($C35+0)=$J$4)+(DAY($C35+1)=$J$4)+(DAY($C35+2)=$J$4)+(DAY($C35+3)=$J$4)+(DAY($C35+4)=$J$4)+(DAY($C35+5)=$J$4)+(DAY($C35+6)=$J$4))</f>
        <v/>
      </c>
      <c r="I35" s="13">
        <f>SUMPRODUCT(($F$19:$F$23="Sí")*$D$19:$D$23*((DAY($C35+0)=$E$19:$E$23)+(DAY($C35+1)=$E$19:$E$23)+(DAY($C35+2)=$E$19:$E$23)+(DAY($C35+3)=$E$19:$E$23)+(DAY($C35+4)=$E$19:$E$23)+(DAY($C35+5)=$E$19:$E$23)+(DAY($C35+6)=$E$19:$E$23)))</f>
        <v/>
      </c>
      <c r="J35" s="222">
        <f>N($E35)+N($F35)-N($G35)-N($H35)-N($I35)</f>
        <v/>
      </c>
      <c r="K35" s="15">
        <f>IF($J35&lt;0,"🔴 SIN DINERO",IF($J35&lt;100,"🟠 Al límite",IF($J35&lt;Resultados!$F$41/4,"🟡 Justo","✅ Con margen")))</f>
        <v/>
      </c>
      <c r="L35" s="16">
        <f>COUNTIFS(Facturas!$H$6:$H$205,"&gt;="&amp;$C35,Facturas!$H$6:$H$205,"&lt;="&amp;$D35,Facturas!$K$6:$K$205,"&gt;0",Facturas!$D$6:$D$205,"&lt;&gt;Préstamo particular")</f>
        <v/>
      </c>
      <c r="M35" s="223">
        <f>IF($L35=0,"—",$L35&amp;" factura(s) por "&amp;TEXT($G35,"#,##0.00")&amp;" €")</f>
        <v/>
      </c>
      <c r="N35" s="1" t="n"/>
      <c r="O35" s="1" t="n"/>
      <c r="P35" s="1" t="n"/>
      <c r="Q35" s="1" t="n"/>
      <c r="R35" s="1" t="n"/>
      <c r="S35" s="1" t="n"/>
      <c r="T35" s="1" t="n"/>
      <c r="U35" s="1" t="n"/>
      <c r="V35" s="1" t="n"/>
      <c r="W35" s="1" t="n"/>
      <c r="X35" s="1" t="n"/>
      <c r="Y35" s="1" t="n"/>
      <c r="Z35" s="1" t="n"/>
    </row>
    <row r="36" ht="15.75" customHeight="1" s="311">
      <c r="A36" s="1" t="n"/>
      <c r="B36" s="219" t="n">
        <v>9</v>
      </c>
      <c r="C36" s="220">
        <f>$D35+1</f>
        <v/>
      </c>
      <c r="D36" s="220">
        <f>$C36+6</f>
        <v/>
      </c>
      <c r="E36" s="13">
        <f>$J35</f>
        <v/>
      </c>
      <c r="F36" s="13">
        <f>SUMPRODUCT(($F$8:$F$14="Sí")*$D$8:$D$14*((DAY($C36+0)=$E$8:$E$14)+(DAY($C36+1)=$E$8:$E$14)+(DAY($C36+2)=$E$8:$E$14)+(DAY($C36+3)=$E$8:$E$14)+(DAY($C36+4)=$E$8:$E$14)+(DAY($C36+5)=$E$8:$E$14)+(DAY($C36+6)=$E$8:$E$14)))</f>
        <v/>
      </c>
      <c r="G36" s="13">
        <f>SUMIFS(Facturas!$K$6:$K$205,Facturas!$H$6:$H$205,"&gt;="&amp;$C36,Facturas!$H$6:$H$205,"&lt;="&amp;$D36,Facturas!$D$6:$D$205,"&lt;&gt;Préstamo particular")</f>
        <v/>
      </c>
      <c r="H36" s="13">
        <f>Acuerdos!$C$7*((DAY($C36+0)=$J$4)+(DAY($C36+1)=$J$4)+(DAY($C36+2)=$J$4)+(DAY($C36+3)=$J$4)+(DAY($C36+4)=$J$4)+(DAY($C36+5)=$J$4)+(DAY($C36+6)=$J$4))</f>
        <v/>
      </c>
      <c r="I36" s="13">
        <f>SUMPRODUCT(($F$19:$F$23="Sí")*$D$19:$D$23*((DAY($C36+0)=$E$19:$E$23)+(DAY($C36+1)=$E$19:$E$23)+(DAY($C36+2)=$E$19:$E$23)+(DAY($C36+3)=$E$19:$E$23)+(DAY($C36+4)=$E$19:$E$23)+(DAY($C36+5)=$E$19:$E$23)+(DAY($C36+6)=$E$19:$E$23)))</f>
        <v/>
      </c>
      <c r="J36" s="222">
        <f>N($E36)+N($F36)-N($G36)-N($H36)-N($I36)</f>
        <v/>
      </c>
      <c r="K36" s="15">
        <f>IF($J36&lt;0,"🔴 SIN DINERO",IF($J36&lt;100,"🟠 Al límite",IF($J36&lt;Resultados!$F$41/4,"🟡 Justo","✅ Con margen")))</f>
        <v/>
      </c>
      <c r="L36" s="16">
        <f>COUNTIFS(Facturas!$H$6:$H$205,"&gt;="&amp;$C36,Facturas!$H$6:$H$205,"&lt;="&amp;$D36,Facturas!$K$6:$K$205,"&gt;0",Facturas!$D$6:$D$205,"&lt;&gt;Préstamo particular")</f>
        <v/>
      </c>
      <c r="M36" s="223">
        <f>IF($L36=0,"—",$L36&amp;" factura(s) por "&amp;TEXT($G36,"#,##0.00")&amp;" €")</f>
        <v/>
      </c>
      <c r="N36" s="1" t="n"/>
      <c r="O36" s="1" t="n"/>
      <c r="P36" s="1" t="n"/>
      <c r="Q36" s="1" t="n"/>
      <c r="R36" s="1" t="n"/>
      <c r="S36" s="1" t="n"/>
      <c r="T36" s="1" t="n"/>
      <c r="U36" s="1" t="n"/>
      <c r="V36" s="1" t="n"/>
      <c r="W36" s="1" t="n"/>
      <c r="X36" s="1" t="n"/>
      <c r="Y36" s="1" t="n"/>
      <c r="Z36" s="1" t="n"/>
    </row>
    <row r="37" ht="15.75" customHeight="1" s="311">
      <c r="A37" s="1" t="n"/>
      <c r="B37" s="219" t="n">
        <v>10</v>
      </c>
      <c r="C37" s="220">
        <f>$D36+1</f>
        <v/>
      </c>
      <c r="D37" s="220">
        <f>$C37+6</f>
        <v/>
      </c>
      <c r="E37" s="13">
        <f>$J36</f>
        <v/>
      </c>
      <c r="F37" s="13">
        <f>SUMPRODUCT(($F$8:$F$14="Sí")*$D$8:$D$14*((DAY($C37+0)=$E$8:$E$14)+(DAY($C37+1)=$E$8:$E$14)+(DAY($C37+2)=$E$8:$E$14)+(DAY($C37+3)=$E$8:$E$14)+(DAY($C37+4)=$E$8:$E$14)+(DAY($C37+5)=$E$8:$E$14)+(DAY($C37+6)=$E$8:$E$14)))</f>
        <v/>
      </c>
      <c r="G37" s="13">
        <f>SUMIFS(Facturas!$K$6:$K$205,Facturas!$H$6:$H$205,"&gt;="&amp;$C37,Facturas!$H$6:$H$205,"&lt;="&amp;$D37,Facturas!$D$6:$D$205,"&lt;&gt;Préstamo particular")</f>
        <v/>
      </c>
      <c r="H37" s="13">
        <f>Acuerdos!$C$7*((DAY($C37+0)=$J$4)+(DAY($C37+1)=$J$4)+(DAY($C37+2)=$J$4)+(DAY($C37+3)=$J$4)+(DAY($C37+4)=$J$4)+(DAY($C37+5)=$J$4)+(DAY($C37+6)=$J$4))</f>
        <v/>
      </c>
      <c r="I37" s="13">
        <f>SUMPRODUCT(($F$19:$F$23="Sí")*$D$19:$D$23*((DAY($C37+0)=$E$19:$E$23)+(DAY($C37+1)=$E$19:$E$23)+(DAY($C37+2)=$E$19:$E$23)+(DAY($C37+3)=$E$19:$E$23)+(DAY($C37+4)=$E$19:$E$23)+(DAY($C37+5)=$E$19:$E$23)+(DAY($C37+6)=$E$19:$E$23)))</f>
        <v/>
      </c>
      <c r="J37" s="222">
        <f>N($E37)+N($F37)-N($G37)-N($H37)-N($I37)</f>
        <v/>
      </c>
      <c r="K37" s="15">
        <f>IF($J37&lt;0,"🔴 SIN DINERO",IF($J37&lt;100,"🟠 Al límite",IF($J37&lt;Resultados!$F$41/4,"🟡 Justo","✅ Con margen")))</f>
        <v/>
      </c>
      <c r="L37" s="16">
        <f>COUNTIFS(Facturas!$H$6:$H$205,"&gt;="&amp;$C37,Facturas!$H$6:$H$205,"&lt;="&amp;$D37,Facturas!$K$6:$K$205,"&gt;0",Facturas!$D$6:$D$205,"&lt;&gt;Préstamo particular")</f>
        <v/>
      </c>
      <c r="M37" s="223">
        <f>IF($L37=0,"—",$L37&amp;" factura(s) por "&amp;TEXT($G37,"#,##0.00")&amp;" €")</f>
        <v/>
      </c>
      <c r="N37" s="1" t="n"/>
      <c r="O37" s="1" t="n"/>
      <c r="P37" s="1" t="n"/>
      <c r="Q37" s="1" t="n"/>
      <c r="R37" s="1" t="n"/>
      <c r="S37" s="1" t="n"/>
      <c r="T37" s="1" t="n"/>
      <c r="U37" s="1" t="n"/>
      <c r="V37" s="1" t="n"/>
      <c r="W37" s="1" t="n"/>
      <c r="X37" s="1" t="n"/>
      <c r="Y37" s="1" t="n"/>
      <c r="Z37" s="1" t="n"/>
    </row>
    <row r="38" ht="15.75" customHeight="1" s="311">
      <c r="A38" s="1" t="n"/>
      <c r="B38" s="219" t="n">
        <v>11</v>
      </c>
      <c r="C38" s="220">
        <f>$D37+1</f>
        <v/>
      </c>
      <c r="D38" s="220">
        <f>$C38+6</f>
        <v/>
      </c>
      <c r="E38" s="13">
        <f>$J37</f>
        <v/>
      </c>
      <c r="F38" s="13">
        <f>SUMPRODUCT(($F$8:$F$14="Sí")*$D$8:$D$14*((DAY($C38+0)=$E$8:$E$14)+(DAY($C38+1)=$E$8:$E$14)+(DAY($C38+2)=$E$8:$E$14)+(DAY($C38+3)=$E$8:$E$14)+(DAY($C38+4)=$E$8:$E$14)+(DAY($C38+5)=$E$8:$E$14)+(DAY($C38+6)=$E$8:$E$14)))</f>
        <v/>
      </c>
      <c r="G38" s="13">
        <f>SUMIFS(Facturas!$K$6:$K$205,Facturas!$H$6:$H$205,"&gt;="&amp;$C38,Facturas!$H$6:$H$205,"&lt;="&amp;$D38,Facturas!$D$6:$D$205,"&lt;&gt;Préstamo particular")</f>
        <v/>
      </c>
      <c r="H38" s="13">
        <f>Acuerdos!$C$7*((DAY($C38+0)=$J$4)+(DAY($C38+1)=$J$4)+(DAY($C38+2)=$J$4)+(DAY($C38+3)=$J$4)+(DAY($C38+4)=$J$4)+(DAY($C38+5)=$J$4)+(DAY($C38+6)=$J$4))</f>
        <v/>
      </c>
      <c r="I38" s="13">
        <f>SUMPRODUCT(($F$19:$F$23="Sí")*$D$19:$D$23*((DAY($C38+0)=$E$19:$E$23)+(DAY($C38+1)=$E$19:$E$23)+(DAY($C38+2)=$E$19:$E$23)+(DAY($C38+3)=$E$19:$E$23)+(DAY($C38+4)=$E$19:$E$23)+(DAY($C38+5)=$E$19:$E$23)+(DAY($C38+6)=$E$19:$E$23)))</f>
        <v/>
      </c>
      <c r="J38" s="222">
        <f>N($E38)+N($F38)-N($G38)-N($H38)-N($I38)</f>
        <v/>
      </c>
      <c r="K38" s="15">
        <f>IF($J38&lt;0,"🔴 SIN DINERO",IF($J38&lt;100,"🟠 Al límite",IF($J38&lt;Resultados!$F$41/4,"🟡 Justo","✅ Con margen")))</f>
        <v/>
      </c>
      <c r="L38" s="16">
        <f>COUNTIFS(Facturas!$H$6:$H$205,"&gt;="&amp;$C38,Facturas!$H$6:$H$205,"&lt;="&amp;$D38,Facturas!$K$6:$K$205,"&gt;0",Facturas!$D$6:$D$205,"&lt;&gt;Préstamo particular")</f>
        <v/>
      </c>
      <c r="M38" s="223">
        <f>IF($L38=0,"—",$L38&amp;" factura(s) por "&amp;TEXT($G38,"#,##0.00")&amp;" €")</f>
        <v/>
      </c>
      <c r="N38" s="1" t="n"/>
      <c r="O38" s="1" t="n"/>
      <c r="P38" s="1" t="n"/>
      <c r="Q38" s="1" t="n"/>
      <c r="R38" s="1" t="n"/>
      <c r="S38" s="1" t="n"/>
      <c r="T38" s="1" t="n"/>
      <c r="U38" s="1" t="n"/>
      <c r="V38" s="1" t="n"/>
      <c r="W38" s="1" t="n"/>
      <c r="X38" s="1" t="n"/>
      <c r="Y38" s="1" t="n"/>
      <c r="Z38" s="1" t="n"/>
    </row>
    <row r="39" ht="15.75" customHeight="1" s="311">
      <c r="A39" s="1" t="n"/>
      <c r="B39" s="219" t="n">
        <v>12</v>
      </c>
      <c r="C39" s="220">
        <f>$D38+1</f>
        <v/>
      </c>
      <c r="D39" s="220">
        <f>$C39+6</f>
        <v/>
      </c>
      <c r="E39" s="13">
        <f>$J38</f>
        <v/>
      </c>
      <c r="F39" s="13">
        <f>SUMPRODUCT(($F$8:$F$14="Sí")*$D$8:$D$14*((DAY($C39+0)=$E$8:$E$14)+(DAY($C39+1)=$E$8:$E$14)+(DAY($C39+2)=$E$8:$E$14)+(DAY($C39+3)=$E$8:$E$14)+(DAY($C39+4)=$E$8:$E$14)+(DAY($C39+5)=$E$8:$E$14)+(DAY($C39+6)=$E$8:$E$14)))</f>
        <v/>
      </c>
      <c r="G39" s="13">
        <f>SUMIFS(Facturas!$K$6:$K$205,Facturas!$H$6:$H$205,"&gt;="&amp;$C39,Facturas!$H$6:$H$205,"&lt;="&amp;$D39,Facturas!$D$6:$D$205,"&lt;&gt;Préstamo particular")</f>
        <v/>
      </c>
      <c r="H39" s="13">
        <f>Acuerdos!$C$7*((DAY($C39+0)=$J$4)+(DAY($C39+1)=$J$4)+(DAY($C39+2)=$J$4)+(DAY($C39+3)=$J$4)+(DAY($C39+4)=$J$4)+(DAY($C39+5)=$J$4)+(DAY($C39+6)=$J$4))</f>
        <v/>
      </c>
      <c r="I39" s="13">
        <f>SUMPRODUCT(($F$19:$F$23="Sí")*$D$19:$D$23*((DAY($C39+0)=$E$19:$E$23)+(DAY($C39+1)=$E$19:$E$23)+(DAY($C39+2)=$E$19:$E$23)+(DAY($C39+3)=$E$19:$E$23)+(DAY($C39+4)=$E$19:$E$23)+(DAY($C39+5)=$E$19:$E$23)+(DAY($C39+6)=$E$19:$E$23)))</f>
        <v/>
      </c>
      <c r="J39" s="222">
        <f>N($E39)+N($F39)-N($G39)-N($H39)-N($I39)</f>
        <v/>
      </c>
      <c r="K39" s="15">
        <f>IF($J39&lt;0,"🔴 SIN DINERO",IF($J39&lt;100,"🟠 Al límite",IF($J39&lt;Resultados!$F$41/4,"🟡 Justo","✅ Con margen")))</f>
        <v/>
      </c>
      <c r="L39" s="16">
        <f>COUNTIFS(Facturas!$H$6:$H$205,"&gt;="&amp;$C39,Facturas!$H$6:$H$205,"&lt;="&amp;$D39,Facturas!$K$6:$K$205,"&gt;0",Facturas!$D$6:$D$205,"&lt;&gt;Préstamo particular")</f>
        <v/>
      </c>
      <c r="M39" s="223">
        <f>IF($L39=0,"—",$L39&amp;" factura(s) por "&amp;TEXT($G39,"#,##0.00")&amp;" €")</f>
        <v/>
      </c>
      <c r="N39" s="1" t="n"/>
      <c r="O39" s="1" t="n"/>
      <c r="P39" s="1" t="n"/>
      <c r="Q39" s="1" t="n"/>
      <c r="R39" s="1" t="n"/>
      <c r="S39" s="1" t="n"/>
      <c r="T39" s="1" t="n"/>
      <c r="U39" s="1" t="n"/>
      <c r="V39" s="1" t="n"/>
      <c r="W39" s="1" t="n"/>
      <c r="X39" s="1" t="n"/>
      <c r="Y39" s="1" t="n"/>
      <c r="Z39" s="1" t="n"/>
    </row>
    <row r="40" ht="15.75" customHeight="1" s="311">
      <c r="A40" s="1" t="n"/>
      <c r="B40" s="219" t="n">
        <v>13</v>
      </c>
      <c r="C40" s="220">
        <f>$D39+1</f>
        <v/>
      </c>
      <c r="D40" s="220">
        <f>$C40+6</f>
        <v/>
      </c>
      <c r="E40" s="13">
        <f>$J39</f>
        <v/>
      </c>
      <c r="F40" s="13">
        <f>SUMPRODUCT(($F$8:$F$14="Sí")*$D$8:$D$14*((DAY($C40+0)=$E$8:$E$14)+(DAY($C40+1)=$E$8:$E$14)+(DAY($C40+2)=$E$8:$E$14)+(DAY($C40+3)=$E$8:$E$14)+(DAY($C40+4)=$E$8:$E$14)+(DAY($C40+5)=$E$8:$E$14)+(DAY($C40+6)=$E$8:$E$14)))</f>
        <v/>
      </c>
      <c r="G40" s="13">
        <f>SUMIFS(Facturas!$K$6:$K$205,Facturas!$H$6:$H$205,"&gt;="&amp;$C40,Facturas!$H$6:$H$205,"&lt;="&amp;$D40,Facturas!$D$6:$D$205,"&lt;&gt;Préstamo particular")</f>
        <v/>
      </c>
      <c r="H40" s="13">
        <f>Acuerdos!$C$7*((DAY($C40+0)=$J$4)+(DAY($C40+1)=$J$4)+(DAY($C40+2)=$J$4)+(DAY($C40+3)=$J$4)+(DAY($C40+4)=$J$4)+(DAY($C40+5)=$J$4)+(DAY($C40+6)=$J$4))</f>
        <v/>
      </c>
      <c r="I40" s="13">
        <f>SUMPRODUCT(($F$19:$F$23="Sí")*$D$19:$D$23*((DAY($C40+0)=$E$19:$E$23)+(DAY($C40+1)=$E$19:$E$23)+(DAY($C40+2)=$E$19:$E$23)+(DAY($C40+3)=$E$19:$E$23)+(DAY($C40+4)=$E$19:$E$23)+(DAY($C40+5)=$E$19:$E$23)+(DAY($C40+6)=$E$19:$E$23)))</f>
        <v/>
      </c>
      <c r="J40" s="222">
        <f>N($E40)+N($F40)-N($G40)-N($H40)-N($I40)</f>
        <v/>
      </c>
      <c r="K40" s="15">
        <f>IF($J40&lt;0,"🔴 SIN DINERO",IF($J40&lt;100,"🟠 Al límite",IF($J40&lt;Resultados!$F$41/4,"🟡 Justo","✅ Con margen")))</f>
        <v/>
      </c>
      <c r="L40" s="16">
        <f>COUNTIFS(Facturas!$H$6:$H$205,"&gt;="&amp;$C40,Facturas!$H$6:$H$205,"&lt;="&amp;$D40,Facturas!$K$6:$K$205,"&gt;0",Facturas!$D$6:$D$205,"&lt;&gt;Préstamo particular")</f>
        <v/>
      </c>
      <c r="M40" s="223">
        <f>IF($L40=0,"—",$L40&amp;" factura(s) por "&amp;TEXT($G40,"#,##0.00")&amp;" €")</f>
        <v/>
      </c>
      <c r="N40" s="1" t="n"/>
      <c r="O40" s="1" t="n"/>
      <c r="P40" s="1" t="n"/>
      <c r="Q40" s="1" t="n"/>
      <c r="R40" s="1" t="n"/>
      <c r="S40" s="1" t="n"/>
      <c r="T40" s="1" t="n"/>
      <c r="U40" s="1" t="n"/>
      <c r="V40" s="1" t="n"/>
      <c r="W40" s="1" t="n"/>
      <c r="X40" s="1" t="n"/>
      <c r="Y40" s="1" t="n"/>
      <c r="Z40" s="1" t="n"/>
    </row>
    <row r="41" ht="15.75" customHeight="1" s="31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24" customHeight="1" s="311">
      <c r="A43" s="1" t="n"/>
      <c r="B43" s="97" t="inlineStr">
        <is>
          <t>D.  QUÉ TE ESTÁ DICIENDO</t>
        </is>
      </c>
      <c r="N43" s="1" t="n"/>
      <c r="O43" s="1" t="n"/>
      <c r="P43" s="1" t="n"/>
      <c r="Q43" s="1" t="n"/>
      <c r="R43" s="1" t="n"/>
      <c r="S43" s="1" t="n"/>
      <c r="T43" s="1" t="n"/>
      <c r="U43" s="1" t="n"/>
      <c r="V43" s="1" t="n"/>
      <c r="W43" s="1" t="n"/>
      <c r="X43" s="1" t="n"/>
      <c r="Y43" s="1" t="n"/>
      <c r="Z43" s="1" t="n"/>
    </row>
    <row r="44" ht="15.75" customHeight="1" s="311">
      <c r="A44" s="1" t="n"/>
      <c r="B44" s="4" t="inlineStr">
        <is>
          <t>Primera semana en negativo</t>
        </is>
      </c>
      <c r="C44" s="403" t="n"/>
      <c r="D44" s="395" t="n"/>
      <c r="E44" s="202">
        <f t="array" ref="E44">IFERROR("Semana "&amp;INDEX($B$28:$B$40,MATCH(1,INDEX(--($J$28:$J$40&lt;0),0),0))&amp;" ("&amp;TEXT(INDEX($C$28:$C$40,MATCH(1,INDEX(--($J$28:$J$40&lt;0),0),0)),"DD/MM")&amp;")","✅ Ninguna")</f>
        <v/>
      </c>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1">
      <c r="A45" s="1" t="n"/>
      <c r="B45" s="4" t="inlineStr">
        <is>
          <t>Saldo más bajo de las 13 semanas</t>
        </is>
      </c>
      <c r="C45" s="403" t="n"/>
      <c r="D45" s="395" t="n"/>
      <c r="E45" s="231">
        <f>MIN($J$28:$J$40)</f>
        <v/>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1">
      <c r="A46" s="1" t="n"/>
      <c r="B46" s="4" t="inlineStr">
        <is>
          <t>Total que entra en 13 semanas</t>
        </is>
      </c>
      <c r="C46" s="403" t="n"/>
      <c r="D46" s="395" t="n"/>
      <c r="E46" s="231">
        <f>SUM($F$28:$F$40)</f>
        <v/>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1">
      <c r="A47" s="1" t="n"/>
      <c r="B47" s="4" t="inlineStr">
        <is>
          <t>Total que sale en 13 semanas</t>
        </is>
      </c>
      <c r="C47" s="403" t="n"/>
      <c r="D47" s="395" t="n"/>
      <c r="E47" s="231">
        <f>SUM($G$28:$G$40)+SUM($H$28:$H$40)+SUM($I$28:$I$40)</f>
        <v/>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1">
      <c r="A48" s="1" t="n"/>
      <c r="B48" s="4" t="inlineStr">
        <is>
          <t>Diferencia del trimestre</t>
        </is>
      </c>
      <c r="C48" s="403" t="n"/>
      <c r="D48" s="395" t="n"/>
      <c r="E48" s="231">
        <f>SUM($F$28:$F$40)-SUM($G$28:$G$40)-SUM($H$28:$H$40)-SUM($I$28:$I$40)</f>
        <v/>
      </c>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1">
      <c r="A49" s="1" t="n"/>
      <c r="B49" s="4" t="inlineStr">
        <is>
          <t>Dinero que te falta para llegar a 13 semanas</t>
        </is>
      </c>
      <c r="C49" s="403" t="n"/>
      <c r="D49" s="395" t="n"/>
      <c r="E49" s="231">
        <f>IF(MIN($J$28:$J$40)&gt;=0,0,ABS(MIN($J$28:$J$40)))</f>
        <v/>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60" customHeight="1" s="311">
      <c r="A51" s="1" t="n"/>
      <c r="B51" s="99">
        <f t="array" ref="B51">IF(MIN($J$28:$J$40)&gt;=0,"✅ LLEGAS. Con lo previsto aguantas las 13 semanas sin quedarte a cero. El saldo más ajustado es de "&amp;TEXT(MIN($J$28:$J$40),"#,##0.00")&amp;" €. Aprovecha para levantar colchón antes de amortizar.","🔴 NO LLEGAS. Te quedas sin dinero en la semana "&amp;INDEX($B$28:$B$40,MATCH(1,INDEX(--($J$28:$J$40&lt;0),0),0))&amp;", que empieza el "&amp;TEXT(INDEX($C$28:$C$40,MATCH(1,INDEX(--($J$28:$J$40&lt;0),0),0)),"DD/MM/YYYY")&amp;". Te faltan "&amp;TEXT(ABS(MIN($J$28:$J$40)),"#,##0.00")&amp;" €. Tienes tres salidas y conviene usarlas en este orden: 1) aplazar lo aplazable sin recargo (los particulares), 2) pedir la carencia de la hipoteca, 3) generar ingreso. Recurrir otra vez a la tarjeta no es una salida: es aplazar el problema un 22% más c"&amp;"aro.")</f>
        <v/>
      </c>
      <c r="N51" s="1" t="n"/>
      <c r="O51" s="1" t="n"/>
      <c r="P51" s="1" t="n"/>
      <c r="Q51" s="1" t="n"/>
      <c r="R51" s="1" t="n"/>
      <c r="S51" s="1" t="n"/>
      <c r="T51" s="1" t="n"/>
      <c r="U51" s="1" t="n"/>
      <c r="V51" s="1" t="n"/>
      <c r="W51" s="1" t="n"/>
      <c r="X51" s="1" t="n"/>
      <c r="Y51" s="1" t="n"/>
      <c r="Z51" s="1" t="n"/>
    </row>
    <row r="52" ht="15.75" customHeight="1" s="31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36" customHeight="1" s="311">
      <c r="A53" s="1" t="n"/>
      <c r="B53" s="105" t="inlineStr">
        <is>
          <t>CÓMO MANTENERLA VIVA: no hay que tocar nada cada semana. La hoja se mueve sola porque parte del disponible real de la hoja Disponibilidad y de los vencimientos de la hoja Facturas. Lo único que conviene revisar es que registres los cobros y pagos en la hoja Caja, porque de ahí sale el saldo de partida.</t>
        </is>
      </c>
      <c r="N53" s="1" t="n"/>
      <c r="O53" s="1" t="n"/>
      <c r="P53" s="1" t="n"/>
      <c r="Q53" s="1" t="n"/>
      <c r="R53" s="1" t="n"/>
      <c r="S53" s="1" t="n"/>
      <c r="T53" s="1" t="n"/>
      <c r="U53" s="1" t="n"/>
      <c r="V53" s="1" t="n"/>
      <c r="W53" s="1" t="n"/>
      <c r="X53" s="1" t="n"/>
      <c r="Y53" s="1" t="n"/>
      <c r="Z53" s="1" t="n"/>
    </row>
    <row r="54" ht="15.75" customHeight="1" s="31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
    <mergeCell ref="B43:M43"/>
    <mergeCell ref="B2:M2"/>
    <mergeCell ref="B45:D45"/>
    <mergeCell ref="B51:M51"/>
    <mergeCell ref="B46:D46"/>
    <mergeCell ref="B4:C4"/>
    <mergeCell ref="B17:G17"/>
    <mergeCell ref="B49:D49"/>
    <mergeCell ref="G4:I4"/>
    <mergeCell ref="B26:M26"/>
    <mergeCell ref="B44:D44"/>
    <mergeCell ref="B1:M1"/>
    <mergeCell ref="B53:M53"/>
    <mergeCell ref="B47:D47"/>
    <mergeCell ref="B48:D48"/>
    <mergeCell ref="B6:G6"/>
  </mergeCells>
  <conditionalFormatting sqref="J28:J40">
    <cfRule type="cellIs" priority="1" operator="lessThan" dxfId="0">
      <formula>0</formula>
    </cfRule>
  </conditionalFormatting>
  <conditionalFormatting sqref="K28:K40">
    <cfRule type="expression" priority="2" dxfId="0">
      <formula>ISNUMBER(SEARCH("SIN DINERO",$K28))</formula>
    </cfRule>
    <cfRule type="expression" priority="3" dxfId="1">
      <formula>ISNUMBER(SEARCH("✅",$K28))</formula>
    </cfRule>
  </conditionalFormatting>
  <dataValidations count="1">
    <dataValidation sqref="F8:F14 F19:F23" showDropDown="0" showInputMessage="0" showErrorMessage="0" allowBlank="1" type="list">
      <formula1>"Sí,No"</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4.29" customWidth="1" style="311" min="1" max="1"/>
    <col width="31.86" customWidth="1" style="311" min="2" max="2"/>
    <col width="12" customWidth="1" style="311" min="3" max="3"/>
    <col width="15" customWidth="1" style="311" min="4" max="4"/>
    <col width="14" customWidth="1" style="311" min="5" max="5"/>
    <col width="17.29" customWidth="1" style="311" min="6" max="6"/>
    <col width="13" customWidth="1" style="311" min="7" max="7"/>
    <col width="11" customWidth="1" style="311" min="8" max="8"/>
    <col width="13" customWidth="1" style="311" min="9" max="9"/>
    <col width="12" customWidth="1" style="311" min="10" max="10"/>
    <col width="13" customWidth="1" style="311" min="11" max="11"/>
    <col width="15" customWidth="1" style="311" min="12" max="12"/>
    <col width="40" customWidth="1" style="311" min="13" max="13"/>
    <col width="13" customWidth="1" style="311" min="14" max="14"/>
  </cols>
  <sheetData>
    <row r="1" ht="33.75" customHeight="1" s="311">
      <c r="A1" s="1" t="n"/>
      <c r="B1" s="191" t="inlineStr">
        <is>
          <t>DIAGNÓSTICO FINANCIERO</t>
        </is>
      </c>
      <c r="O1" s="1" t="n"/>
      <c r="P1" s="1" t="n"/>
      <c r="Q1" s="1" t="n"/>
      <c r="R1" s="1" t="n"/>
      <c r="S1" s="1" t="n"/>
      <c r="T1" s="1" t="n"/>
      <c r="U1" s="1" t="n"/>
      <c r="V1" s="1" t="n"/>
      <c r="W1" s="1" t="n"/>
      <c r="X1" s="1" t="n"/>
      <c r="Y1" s="1" t="n"/>
      <c r="Z1" s="1" t="n"/>
    </row>
    <row r="2" ht="19.5" customHeight="1" s="311">
      <c r="A2" s="1" t="n"/>
      <c r="B2" s="3" t="inlineStr">
        <is>
          <t>Esta hoja se calcula sola con los datos del resto del libro: no hay que escribir nada en la parte de arriba. Cuando quieras dejar constancia de cómo estabas en una fecha, copia la fila "FOTO DE HOY" del final y pégala como valores en el histórico. Así podrás ver, diagnóstico a diagnóstico, si la situación mejora o empeora.</t>
        </is>
      </c>
      <c r="H2" s="3" t="n"/>
      <c r="I2" s="3" t="n"/>
      <c r="J2" s="3" t="n"/>
      <c r="K2" s="3" t="n"/>
      <c r="L2" s="3" t="n"/>
      <c r="M2" s="3" t="n"/>
      <c r="N2" s="3" t="n"/>
      <c r="O2" s="1" t="n"/>
      <c r="P2" s="1" t="n"/>
      <c r="Q2" s="1" t="n"/>
      <c r="R2" s="1" t="n"/>
      <c r="S2" s="1" t="n"/>
      <c r="T2" s="1" t="n"/>
      <c r="U2" s="1" t="n"/>
      <c r="V2" s="1" t="n"/>
      <c r="W2" s="1" t="n"/>
      <c r="X2" s="1" t="n"/>
      <c r="Y2" s="1" t="n"/>
      <c r="Z2" s="1" t="n"/>
    </row>
    <row r="3">
      <c r="A3" s="1" t="n"/>
      <c r="H3" s="1" t="n"/>
      <c r="I3" s="1" t="n"/>
      <c r="J3" s="1" t="n"/>
      <c r="K3" s="1" t="n"/>
      <c r="L3" s="1" t="n"/>
      <c r="M3" s="1" t="n"/>
      <c r="N3" s="1" t="n"/>
      <c r="O3" s="1" t="n"/>
      <c r="P3" s="1" t="n"/>
      <c r="Q3" s="1" t="n"/>
      <c r="R3" s="1" t="n"/>
      <c r="S3" s="1" t="n"/>
      <c r="T3" s="1" t="n"/>
      <c r="U3" s="1" t="n"/>
      <c r="V3" s="1" t="n"/>
      <c r="W3" s="1" t="n"/>
      <c r="X3" s="1" t="n"/>
      <c r="Y3" s="1" t="n"/>
      <c r="Z3" s="1" t="n"/>
    </row>
    <row r="4">
      <c r="A4" s="1" t="n"/>
      <c r="B4" s="4" t="inlineStr">
        <is>
          <t>Fecha del diagnóstico</t>
        </is>
      </c>
      <c r="C4" s="193">
        <f>TODAY()</f>
        <v/>
      </c>
      <c r="D4" s="194" t="inlineStr">
        <is>
          <t>Periodo analizado</t>
        </is>
      </c>
      <c r="E4" s="195">
        <f>Panel!$I$4</f>
        <v/>
      </c>
      <c r="F4" s="196" t="inlineStr">
        <is>
          <t>← se cambia en el Panel</t>
        </is>
      </c>
      <c r="G4" s="1" t="n"/>
      <c r="H4" s="1" t="n"/>
      <c r="I4" s="1" t="n"/>
      <c r="J4" s="1" t="n"/>
      <c r="K4" s="1" t="n"/>
      <c r="L4" s="1" t="n"/>
      <c r="M4" s="1" t="n"/>
      <c r="N4" s="1" t="n"/>
      <c r="O4" s="1" t="n"/>
      <c r="P4" s="1" t="n"/>
      <c r="Q4" s="1" t="n"/>
      <c r="R4" s="1" t="n"/>
      <c r="S4" s="1" t="n"/>
      <c r="T4" s="1" t="n"/>
      <c r="U4" s="1" t="n"/>
      <c r="V4" s="1" t="n"/>
      <c r="W4" s="1" t="n"/>
      <c r="X4" s="1" t="n"/>
      <c r="Y4" s="1" t="n"/>
      <c r="Z4" s="1" t="n"/>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24" customHeight="1" s="311">
      <c r="A6" s="1" t="n"/>
      <c r="B6" s="97" t="inlineStr">
        <is>
          <t>1.  RESUMEN EJECUTIVO</t>
        </is>
      </c>
      <c r="O6" s="1" t="n"/>
      <c r="P6" s="1" t="n"/>
      <c r="Q6" s="1" t="n"/>
      <c r="R6" s="1" t="n"/>
      <c r="S6" s="1" t="n"/>
      <c r="T6" s="1" t="n"/>
      <c r="U6" s="1" t="n"/>
      <c r="V6" s="1" t="n"/>
      <c r="W6" s="1" t="n"/>
      <c r="X6" s="1" t="n"/>
      <c r="Y6" s="1" t="n"/>
      <c r="Z6" s="1" t="n"/>
    </row>
    <row r="7" ht="25.5" customHeight="1" s="311">
      <c r="A7" s="1" t="n"/>
      <c r="B7" s="200" t="inlineStr">
        <is>
          <t>PUNTUACIÓN GLOBAL (0 - 100)</t>
        </is>
      </c>
      <c r="C7" s="201">
        <f>IFERROR(Ratios!$D$40,"")</f>
        <v/>
      </c>
      <c r="D7" s="202">
        <f>IFERROR(Ratios!$D$41,"")</f>
        <v/>
      </c>
      <c r="E7" s="404">
        <f>IF(Ratios!$D$40="","",REPT("█",MAX(0,ROUND(Ratios!$D$40/4,0)))&amp;REPT("░",25-MAX(0,ROUND(Ratios!$D$40/4,0))))</f>
        <v/>
      </c>
      <c r="F7" s="403" t="n"/>
      <c r="G7" s="403" t="n"/>
      <c r="H7" s="403" t="n"/>
      <c r="I7" s="403" t="n"/>
      <c r="J7" s="403" t="n"/>
      <c r="K7" s="403" t="n"/>
      <c r="L7" s="403" t="n"/>
      <c r="M7" s="403" t="n"/>
      <c r="N7" s="395" t="n"/>
      <c r="O7" s="1" t="n"/>
      <c r="P7" s="1" t="n"/>
      <c r="Q7" s="1" t="n"/>
      <c r="R7" s="1" t="n"/>
      <c r="S7" s="1" t="n"/>
      <c r="T7" s="1" t="n"/>
      <c r="U7" s="1" t="n"/>
      <c r="V7" s="1" t="n"/>
      <c r="W7" s="1" t="n"/>
      <c r="X7" s="1" t="n"/>
      <c r="Y7" s="1" t="n"/>
      <c r="Z7" s="1" t="n"/>
    </row>
    <row r="8">
      <c r="A8" s="1" t="n"/>
      <c r="B8" s="200" t="inlineStr">
        <is>
          <t>ESTADO DE LA TESORERÍA</t>
        </is>
      </c>
      <c r="C8" s="205">
        <f>Disponibilidad!$G$33</f>
        <v/>
      </c>
      <c r="D8" s="202">
        <f>IF(Disponibilidad!$G$33&gt;=Resultados!$F$41,"✅ Con margen",IF(Disponibilidad!$G$33&gt;=Resultados!$F$41/4,"🟡 Justo","🔴 En tensión"))</f>
        <v/>
      </c>
      <c r="E8" s="405">
        <f>IF(Resultados!$F$41=0,"","Con lo que tienes disponible cubres "&amp;TEXT(Disponibilidad!$G$33/Resultados!$F$41*30,"0")&amp;" días de gastos. La referencia sana son 90 días.")</f>
        <v/>
      </c>
      <c r="F8" s="403" t="n"/>
      <c r="G8" s="403" t="n"/>
      <c r="H8" s="403" t="n"/>
      <c r="I8" s="403" t="n"/>
      <c r="J8" s="403" t="n"/>
      <c r="K8" s="403" t="n"/>
      <c r="L8" s="403" t="n"/>
      <c r="M8" s="403" t="n"/>
      <c r="N8" s="395"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45.75" customHeight="1" s="311">
      <c r="A10" s="1" t="n"/>
      <c r="B10" s="99">
        <f>IF(Resultados!$F$55&gt;=0,"✅ VEREDICTO: el mes cierra en positivo. Entra más dinero del que sale, contando también lo que devuelves de principal. Mantén el rumbo y refuerza el colchón.","🔴 VEREDICTO: cada mes salen "&amp;TEXT(ABS(Resultados!$F$55),"#,##0.00")&amp;" € más de los que entran. El resultado contable da "&amp;TEXT(Resultados!$F$43,"#,##0.00")&amp;" € de superávit, pero al devolver "&amp;TEXT(Resultados!$F$53,"#,##0.00")&amp;" € de principal la caja se queda corta. Esto no se arregla recortando gastos: hace falta más ingreso o renegociar la deuda.")</f>
        <v/>
      </c>
      <c r="O10" s="1" t="n"/>
      <c r="P10" s="1" t="n"/>
      <c r="Q10" s="1" t="n"/>
      <c r="R10" s="1" t="n"/>
      <c r="S10" s="1" t="n"/>
      <c r="T10" s="1" t="n"/>
      <c r="U10" s="1" t="n"/>
      <c r="V10" s="1" t="n"/>
      <c r="W10" s="1" t="n"/>
      <c r="X10" s="1" t="n"/>
      <c r="Y10" s="1" t="n"/>
      <c r="Z10" s="1" t="n"/>
    </row>
    <row r="11">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24" customHeight="1" s="311">
      <c r="A12" s="1" t="n"/>
      <c r="B12" s="97" t="inlineStr">
        <is>
          <t>2.  TUS NÚMEROS HOY</t>
        </is>
      </c>
      <c r="O12" s="1" t="n"/>
      <c r="P12" s="1" t="n"/>
      <c r="Q12" s="1" t="n"/>
      <c r="R12" s="1" t="n"/>
      <c r="S12" s="1" t="n"/>
      <c r="T12" s="1" t="n"/>
      <c r="U12" s="1" t="n"/>
      <c r="V12" s="1" t="n"/>
      <c r="W12" s="1" t="n"/>
      <c r="X12" s="1" t="n"/>
      <c r="Y12" s="1" t="n"/>
      <c r="Z12" s="1" t="n"/>
    </row>
    <row r="13" ht="27.75" customHeight="1" s="311">
      <c r="A13" s="1" t="n"/>
      <c r="B13" s="11" t="inlineStr">
        <is>
          <t>Indicador</t>
        </is>
      </c>
      <c r="C13" s="11" t="inlineStr">
        <is>
          <t>Valor</t>
        </is>
      </c>
      <c r="D13" s="11" t="inlineStr">
        <is>
          <t>Referencia</t>
        </is>
      </c>
      <c r="E13" s="11" t="inlineStr">
        <is>
          <t>Estado</t>
        </is>
      </c>
      <c r="F13" s="11" t="inlineStr">
        <is>
          <t>Qué significa</t>
        </is>
      </c>
      <c r="G13" s="403" t="n"/>
      <c r="H13" s="403" t="n"/>
      <c r="I13" s="403" t="n"/>
      <c r="J13" s="403" t="n"/>
      <c r="K13" s="403" t="n"/>
      <c r="L13" s="403" t="n"/>
      <c r="M13" s="403" t="n"/>
      <c r="N13" s="395" t="n"/>
      <c r="O13" s="1" t="n"/>
      <c r="P13" s="1" t="n"/>
      <c r="Q13" s="1" t="n"/>
      <c r="R13" s="1" t="n"/>
      <c r="S13" s="1" t="n"/>
      <c r="T13" s="1" t="n"/>
      <c r="U13" s="1" t="n"/>
      <c r="V13" s="1" t="n"/>
      <c r="W13" s="1" t="n"/>
      <c r="X13" s="1" t="n"/>
      <c r="Y13" s="1" t="n"/>
      <c r="Z13" s="1" t="n"/>
    </row>
    <row r="14" ht="21.75" customHeight="1" s="311">
      <c r="A14" s="1" t="n"/>
      <c r="B14" s="4" t="inlineStr">
        <is>
          <t>Patrimonio neto</t>
        </is>
      </c>
      <c r="C14" s="212">
        <f>Balance!$E$41</f>
        <v/>
      </c>
      <c r="D14" s="213" t="inlineStr">
        <is>
          <t>&gt; 0</t>
        </is>
      </c>
      <c r="E14" s="214">
        <f>IF($C14&gt;0,"✅",IF($C14=0,"🟡","🔴"))</f>
        <v/>
      </c>
      <c r="F14" s="215" t="inlineStr">
        <is>
          <t>Lo que quedaría si vendieras todo y pagaras todo. Es el marcador final.</t>
        </is>
      </c>
      <c r="O14" s="1" t="n"/>
      <c r="P14" s="1" t="n"/>
      <c r="Q14" s="1" t="n"/>
      <c r="R14" s="1" t="n"/>
      <c r="S14" s="1" t="n"/>
      <c r="T14" s="1" t="n"/>
      <c r="U14" s="1" t="n"/>
      <c r="V14" s="1" t="n"/>
      <c r="W14" s="1" t="n"/>
      <c r="X14" s="1" t="n"/>
      <c r="Y14" s="1" t="n"/>
      <c r="Z14" s="1" t="n"/>
    </row>
    <row r="15" ht="21.75" customHeight="1" s="311">
      <c r="A15" s="1" t="n"/>
      <c r="B15" s="4" t="inlineStr">
        <is>
          <t>Dinero disponible hoy</t>
        </is>
      </c>
      <c r="C15" s="212">
        <f>Disponibilidad!$G$33</f>
        <v/>
      </c>
      <c r="D15" s="213" t="inlineStr">
        <is>
          <t>&gt; 1 mes de gasto</t>
        </is>
      </c>
      <c r="E15" s="214">
        <f>IF($C15&gt;=Resultados!$F$41,"✅",IF($C15&gt;=Resultados!$F$41/4,"🟡","🔴"))</f>
        <v/>
      </c>
      <c r="F15" s="215" t="inlineStr">
        <is>
          <t>El único dinero con el que puedes tomar decisiones ahora mismo.</t>
        </is>
      </c>
      <c r="O15" s="1" t="n"/>
      <c r="P15" s="1" t="n"/>
      <c r="Q15" s="1" t="n"/>
      <c r="R15" s="1" t="n"/>
      <c r="S15" s="1" t="n"/>
      <c r="T15" s="1" t="n"/>
      <c r="U15" s="1" t="n"/>
      <c r="V15" s="1" t="n"/>
      <c r="W15" s="1" t="n"/>
      <c r="X15" s="1" t="n"/>
      <c r="Y15" s="1" t="n"/>
      <c r="Z15" s="1" t="n"/>
    </row>
    <row r="16" ht="21.75" customHeight="1" s="311">
      <c r="A16" s="1" t="n"/>
      <c r="B16" s="4" t="inlineStr">
        <is>
          <t>Colchón de emergencia</t>
        </is>
      </c>
      <c r="C16" s="217">
        <f>IFERROR(Ratios!$D$22,"")</f>
        <v/>
      </c>
      <c r="D16" s="213" t="inlineStr">
        <is>
          <t>≥ 3 meses</t>
        </is>
      </c>
      <c r="E16" s="214">
        <f>IF($C16="","—",IF($C16&gt;=3,"✅",IF($C16&gt;=1,"🟡","🔴")))</f>
        <v/>
      </c>
      <c r="F16" s="215" t="inlineStr">
        <is>
          <t>Meses que aguantarías sin ingresos. Por debajo de 1 mes, cualquier imprevisto es deuda nueva.</t>
        </is>
      </c>
      <c r="O16" s="1" t="n"/>
      <c r="P16" s="1" t="n"/>
      <c r="Q16" s="1" t="n"/>
      <c r="R16" s="1" t="n"/>
      <c r="S16" s="1" t="n"/>
      <c r="T16" s="1" t="n"/>
      <c r="U16" s="1" t="n"/>
      <c r="V16" s="1" t="n"/>
      <c r="W16" s="1" t="n"/>
      <c r="X16" s="1" t="n"/>
      <c r="Y16" s="1" t="n"/>
      <c r="Z16" s="1" t="n"/>
    </row>
    <row r="17" ht="21.75" customHeight="1" s="311">
      <c r="A17" s="1" t="n"/>
      <c r="B17" s="4" t="inlineStr">
        <is>
          <t>Activo líquido sobre el total</t>
        </is>
      </c>
      <c r="C17" s="218">
        <f>IFERROR(Balance!$E$13/Balance!$E$22,"")</f>
        <v/>
      </c>
      <c r="D17" s="213" t="inlineStr">
        <is>
          <t>&gt; 10%</t>
        </is>
      </c>
      <c r="E17" s="214">
        <f>IF($C17="","—",IF($C17&gt;=0.1,"✅",IF($C17&gt;=0.05,"🟡","🔴")))</f>
        <v/>
      </c>
      <c r="F17" s="215" t="inlineStr">
        <is>
          <t>Qué parte de tu patrimonio es dinero y no ladrillo. Tener mucho patrimonio ilíquido no paga facturas.</t>
        </is>
      </c>
      <c r="O17" s="1" t="n"/>
      <c r="P17" s="1" t="n"/>
      <c r="Q17" s="1" t="n"/>
      <c r="R17" s="1" t="n"/>
      <c r="S17" s="1" t="n"/>
      <c r="T17" s="1" t="n"/>
      <c r="U17" s="1" t="n"/>
      <c r="V17" s="1" t="n"/>
      <c r="W17" s="1" t="n"/>
      <c r="X17" s="1" t="n"/>
      <c r="Y17" s="1" t="n"/>
      <c r="Z17" s="1" t="n"/>
    </row>
    <row r="18" ht="21.75" customHeight="1" s="311">
      <c r="A18" s="1" t="n"/>
      <c r="B18" s="4" t="inlineStr">
        <is>
          <t>Deuda total</t>
        </is>
      </c>
      <c r="C18" s="212">
        <f>Balance!$E$39</f>
        <v/>
      </c>
      <c r="D18" s="213" t="inlineStr">
        <is>
          <t>—</t>
        </is>
      </c>
      <c r="E18" s="214">
        <f>"—"</f>
        <v/>
      </c>
      <c r="F18" s="215" t="inlineStr">
        <is>
          <t>Todo lo que debes, incluida la hipoteca.</t>
        </is>
      </c>
      <c r="O18" s="1" t="n"/>
      <c r="P18" s="1" t="n"/>
      <c r="Q18" s="1" t="n"/>
      <c r="R18" s="1" t="n"/>
      <c r="S18" s="1" t="n"/>
      <c r="T18" s="1" t="n"/>
      <c r="U18" s="1" t="n"/>
      <c r="V18" s="1" t="n"/>
      <c r="W18" s="1" t="n"/>
      <c r="X18" s="1" t="n"/>
      <c r="Y18" s="1" t="n"/>
      <c r="Z18" s="1" t="n"/>
    </row>
    <row r="19" ht="21.75" customHeight="1" s="311">
      <c r="A19" s="1" t="n"/>
      <c r="B19" s="4" t="inlineStr">
        <is>
          <t>Deuda cara (sin hipoteca)</t>
        </is>
      </c>
      <c r="C19" s="212">
        <f>(Balance!$E$27+Balance!$E$28+Balance!$E$30)</f>
        <v/>
      </c>
      <c r="D19" s="213" t="inlineStr">
        <is>
          <t>0 €</t>
        </is>
      </c>
      <c r="E19" s="214">
        <f>IF($C19=0,"✅",IF($C19&lt;=Resultados!$F$13*3,"🟡","🔴"))</f>
        <v/>
      </c>
      <c r="F19" s="215" t="inlineStr">
        <is>
          <t>Tarjetas, empeños y préstamos de particulares. Es la que hay que atacar primero.</t>
        </is>
      </c>
      <c r="O19" s="1" t="n"/>
      <c r="P19" s="1" t="n"/>
      <c r="Q19" s="1" t="n"/>
      <c r="R19" s="1" t="n"/>
      <c r="S19" s="1" t="n"/>
      <c r="T19" s="1" t="n"/>
      <c r="U19" s="1" t="n"/>
      <c r="V19" s="1" t="n"/>
      <c r="W19" s="1" t="n"/>
      <c r="X19" s="1" t="n"/>
      <c r="Y19" s="1" t="n"/>
      <c r="Z19" s="1" t="n"/>
    </row>
    <row r="20" ht="21.75" customHeight="1" s="311">
      <c r="A20" s="1" t="n"/>
      <c r="B20" s="4" t="inlineStr">
        <is>
          <t>Coste medio de tu deuda</t>
        </is>
      </c>
      <c r="C20" s="218">
        <f>IFERROR(Ratios!$D$32,"")</f>
        <v/>
      </c>
      <c r="D20" s="213" t="inlineStr">
        <is>
          <t>&lt; 5%</t>
        </is>
      </c>
      <c r="E20" s="214">
        <f>IF($C20="","—",IF($C20&lt;=0.05,"✅",IF($C20&lt;=0.08,"🟡","🔴")))</f>
        <v/>
      </c>
      <c r="F20" s="215" t="inlineStr">
        <is>
          <t>Lo que te cuesta de media cada euro que debes. Ninguna inversión que rinda menos que esto merece la pena.</t>
        </is>
      </c>
      <c r="O20" s="1" t="n"/>
      <c r="P20" s="1" t="n"/>
      <c r="Q20" s="1" t="n"/>
      <c r="R20" s="1" t="n"/>
      <c r="S20" s="1" t="n"/>
      <c r="T20" s="1" t="n"/>
      <c r="U20" s="1" t="n"/>
      <c r="V20" s="1" t="n"/>
      <c r="W20" s="1" t="n"/>
      <c r="X20" s="1" t="n"/>
      <c r="Y20" s="1" t="n"/>
      <c r="Z20" s="1" t="n"/>
    </row>
    <row r="21" ht="21.75" customHeight="1" s="311">
      <c r="A21" s="1" t="n"/>
      <c r="B21" s="4" t="inlineStr">
        <is>
          <t>Intereses que pagas al mes</t>
        </is>
      </c>
      <c r="C21" s="212">
        <f>Resultados!$F$39</f>
        <v/>
      </c>
      <c r="D21" s="213" t="inlineStr">
        <is>
          <t>lo más bajo posible</t>
        </is>
      </c>
      <c r="E21" s="214">
        <f>"—"</f>
        <v/>
      </c>
      <c r="F21" s="215" t="inlineStr">
        <is>
          <t>Dinero que se va sin comprar nada. Es el gasto más fácil de recortar y el que nadie mira.</t>
        </is>
      </c>
      <c r="O21" s="1" t="n"/>
      <c r="P21" s="1" t="n"/>
      <c r="Q21" s="1" t="n"/>
      <c r="R21" s="1" t="n"/>
      <c r="S21" s="1" t="n"/>
      <c r="T21" s="1" t="n"/>
      <c r="U21" s="1" t="n"/>
      <c r="V21" s="1" t="n"/>
      <c r="W21" s="1" t="n"/>
      <c r="X21" s="1" t="n"/>
      <c r="Y21" s="1" t="n"/>
      <c r="Z21" s="1" t="n"/>
    </row>
    <row r="22" ht="21.75" customHeight="1" s="311">
      <c r="A22" s="1" t="n"/>
      <c r="B22" s="4" t="inlineStr">
        <is>
          <t>Peso de los intereses sobre el ingreso</t>
        </is>
      </c>
      <c r="C22" s="218">
        <f>IFERROR(Resultados!$F$39/Resultados!$F$13,"")</f>
        <v/>
      </c>
      <c r="D22" s="213" t="inlineStr">
        <is>
          <t>&lt; 10%</t>
        </is>
      </c>
      <c r="E22" s="214">
        <f>IF($C22="","—",IF($C22&lt;=0.1,"✅",IF($C22&lt;=0.2,"🟡","🔴")))</f>
        <v/>
      </c>
      <c r="F22" s="215" t="inlineStr">
        <is>
          <t>De cada 100 € que entran en casa, cuántos se los llevan los intereses antes de tocar nada.</t>
        </is>
      </c>
      <c r="O22" s="1" t="n"/>
      <c r="P22" s="1" t="n"/>
      <c r="Q22" s="1" t="n"/>
      <c r="R22" s="1" t="n"/>
      <c r="S22" s="1" t="n"/>
      <c r="T22" s="1" t="n"/>
      <c r="U22" s="1" t="n"/>
      <c r="V22" s="1" t="n"/>
      <c r="W22" s="1" t="n"/>
      <c r="X22" s="1" t="n"/>
      <c r="Y22" s="1" t="n"/>
      <c r="Z22" s="1" t="n"/>
    </row>
    <row r="23" ht="21.75" customHeight="1" s="311">
      <c r="A23" s="1" t="n"/>
      <c r="B23" s="4" t="inlineStr">
        <is>
          <t>Salida real de caja cada mes</t>
        </is>
      </c>
      <c r="C23" s="212">
        <f>Resultados!$F$55</f>
        <v/>
      </c>
      <c r="D23" s="213" t="inlineStr">
        <is>
          <t>&gt; 0</t>
        </is>
      </c>
      <c r="E23" s="214">
        <f>IF($C23&gt;=0,"✅",IF($C23&gt;=-100,"🟡","🔴"))</f>
        <v/>
      </c>
      <c r="F23" s="215" t="inlineStr">
        <is>
          <t>Resultado menos lo que devuelves de principal. Es el número que decide si el mes que viene tienes dinero.</t>
        </is>
      </c>
      <c r="O23" s="1" t="n"/>
      <c r="P23" s="1" t="n"/>
      <c r="Q23" s="1" t="n"/>
      <c r="R23" s="1" t="n"/>
      <c r="S23" s="1" t="n"/>
      <c r="T23" s="1" t="n"/>
      <c r="U23" s="1" t="n"/>
      <c r="V23" s="1" t="n"/>
      <c r="W23" s="1" t="n"/>
      <c r="X23" s="1" t="n"/>
      <c r="Y23" s="1" t="n"/>
      <c r="Z23" s="1" t="n"/>
    </row>
    <row r="24" ht="21.75" customHeight="1" s="311">
      <c r="A24" s="1" t="n"/>
      <c r="B24" s="4" t="inlineStr">
        <is>
          <t>Facturas vencidas — proveedores y bancos</t>
        </is>
      </c>
      <c r="C24" s="212">
        <f>SUMIFS(Facturas!$K$6:$K$205,Facturas!$M$6:$M$205,"&lt;0",Facturas!$D$6:$D$205,"&lt;&gt;Préstamo particular")</f>
        <v/>
      </c>
      <c r="D24" s="213" t="inlineStr">
        <is>
          <t>0 €</t>
        </is>
      </c>
      <c r="E24" s="214">
        <f>IF($C24=0,"✅",IF($C24&lt;=200,"🟡","🔴"))</f>
        <v/>
      </c>
      <c r="F24" s="215" t="inlineStr">
        <is>
          <t>Lo verdaderamente urgente: se encarece con recargos y daña tu historial.</t>
        </is>
      </c>
      <c r="O24" s="1" t="n"/>
      <c r="P24" s="1" t="n"/>
      <c r="Q24" s="1" t="n"/>
      <c r="R24" s="1" t="n"/>
      <c r="S24" s="1" t="n"/>
      <c r="T24" s="1" t="n"/>
      <c r="U24" s="1" t="n"/>
      <c r="V24" s="1" t="n"/>
      <c r="W24" s="1" t="n"/>
      <c r="X24" s="1" t="n"/>
      <c r="Y24" s="1" t="n"/>
      <c r="Z24" s="1" t="n"/>
    </row>
    <row r="25" ht="21.75" customHeight="1" s="311">
      <c r="A25" s="1" t="n"/>
      <c r="B25" s="4" t="inlineStr">
        <is>
          <t>Vencido con particulares (familia y amigos)</t>
        </is>
      </c>
      <c r="C25" s="212">
        <f>SUMIFS(Facturas!$K$6:$K$205,Facturas!$M$6:$M$205,"&lt;0",Facturas!$D$6:$D$205,"Préstamo particular")</f>
        <v/>
      </c>
      <c r="D25" s="213" t="inlineStr">
        <is>
          <t>acordado por escrito</t>
        </is>
      </c>
      <c r="E25" s="214">
        <f>IF($C25=0,"✅",IF(Acuerdos!$C$5&gt;=$C25,"🟡","🔴"))</f>
        <v/>
      </c>
      <c r="F25" s="215" t="inlineStr">
        <is>
          <t>No lleva recargos, pero es la deuda que más cuesta si se alarga. Ponle fechas en la hoja Acuerdos.</t>
        </is>
      </c>
      <c r="O25" s="1" t="n"/>
      <c r="P25" s="1" t="n"/>
      <c r="Q25" s="1" t="n"/>
      <c r="R25" s="1" t="n"/>
      <c r="S25" s="1" t="n"/>
      <c r="T25" s="1" t="n"/>
      <c r="U25" s="1" t="n"/>
      <c r="V25" s="1" t="n"/>
      <c r="W25" s="1" t="n"/>
      <c r="X25" s="1" t="n"/>
      <c r="Y25" s="1" t="n"/>
      <c r="Z25" s="1" t="n"/>
    </row>
    <row r="26" ht="21.75" customHeight="1" s="311">
      <c r="A26" s="1" t="n"/>
      <c r="B26" s="4" t="inlineStr">
        <is>
          <t>Uso de las líneas de crédito</t>
        </is>
      </c>
      <c r="C26" s="218">
        <f>IFERROR(Ratios!$D$23,"")</f>
        <v/>
      </c>
      <c r="D26" s="213" t="inlineStr">
        <is>
          <t>&lt; 30%</t>
        </is>
      </c>
      <c r="E26" s="214">
        <f>IF($C26="","—",IF($C26&lt;=0.3,"✅",IF($C26&lt;=0.6,"🟡","🔴")))</f>
        <v/>
      </c>
      <c r="F26" s="215" t="inlineStr">
        <is>
          <t>Al 100% te has quedado sin red: cualquier imprevisto ya no tiene de dónde salir.</t>
        </is>
      </c>
      <c r="O26" s="1" t="n"/>
      <c r="P26" s="1" t="n"/>
      <c r="Q26" s="1" t="n"/>
      <c r="R26" s="1" t="n"/>
      <c r="S26" s="1" t="n"/>
      <c r="T26" s="1" t="n"/>
      <c r="U26" s="1" t="n"/>
      <c r="V26" s="1" t="n"/>
      <c r="W26" s="1" t="n"/>
      <c r="X26" s="1" t="n"/>
      <c r="Y26" s="1" t="n"/>
      <c r="Z26" s="1" t="n"/>
    </row>
    <row r="27" ht="21.75" customHeight="1" s="311">
      <c r="A27" s="1" t="n"/>
      <c r="B27" s="4" t="inlineStr">
        <is>
          <t>Tasa de ahorro</t>
        </is>
      </c>
      <c r="C27" s="218">
        <f>IFERROR(Ratios!$D$26,"")</f>
        <v/>
      </c>
      <c r="D27" s="213" t="inlineStr">
        <is>
          <t>≥ 20%</t>
        </is>
      </c>
      <c r="E27" s="214">
        <f>IF($C27="","—",IF($C27&gt;=0.2,"✅",IF($C27&gt;=0.1,"🟡","🔴")))</f>
        <v/>
      </c>
      <c r="F27" s="215" t="inlineStr">
        <is>
          <t>Qué parte de lo que entra no te gastas. Es la palanca que mueve todo lo demás.</t>
        </is>
      </c>
      <c r="O27" s="1" t="n"/>
      <c r="P27" s="1" t="n"/>
      <c r="Q27" s="1" t="n"/>
      <c r="R27" s="1" t="n"/>
      <c r="S27" s="1" t="n"/>
      <c r="T27" s="1" t="n"/>
      <c r="U27" s="1" t="n"/>
      <c r="V27" s="1" t="n"/>
      <c r="W27" s="1" t="n"/>
      <c r="X27" s="1" t="n"/>
      <c r="Y27" s="1" t="n"/>
      <c r="Z27" s="1" t="n"/>
    </row>
    <row r="28" ht="15.75" customHeight="1" s="31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24" customHeight="1" s="311">
      <c r="A29" s="1" t="n"/>
      <c r="B29" s="97" t="inlineStr">
        <is>
          <t>3.  LECTURA DEL DIAGNÓSTICO</t>
        </is>
      </c>
      <c r="O29" s="1" t="n"/>
      <c r="P29" s="1" t="n"/>
      <c r="Q29" s="1" t="n"/>
      <c r="R29" s="1" t="n"/>
      <c r="S29" s="1" t="n"/>
      <c r="T29" s="1" t="n"/>
      <c r="U29" s="1" t="n"/>
      <c r="V29" s="1" t="n"/>
      <c r="W29" s="1" t="n"/>
      <c r="X29" s="1" t="n"/>
      <c r="Y29" s="1" t="n"/>
      <c r="Z29" s="1" t="n"/>
    </row>
    <row r="30" ht="30" customHeight="1" s="311">
      <c r="A30" s="1" t="n"/>
      <c r="B30" s="221">
        <f>IF(Balance!$E$41&lt;=0,"🔴 PATRIMONIO. Debes más de lo que tienes.","✅ PATRIMONIO. Tienes "&amp;TEXT(Balance!$E$41,"#,##0")&amp;" € de patrimonio neto, pero el "&amp;TEXT(Balance!$E$17/Balance!$E$22,"0%")&amp;" del activo son inmuebles. Eres rico sobre el papel y pobre en el bolsillo: el patrimonio no paga recibos.")</f>
        <v/>
      </c>
      <c r="O30" s="1" t="n"/>
      <c r="P30" s="1" t="n"/>
      <c r="Q30" s="1" t="n"/>
      <c r="R30" s="1" t="n"/>
      <c r="S30" s="1" t="n"/>
      <c r="T30" s="1" t="n"/>
      <c r="U30" s="1" t="n"/>
      <c r="V30" s="1" t="n"/>
      <c r="W30" s="1" t="n"/>
      <c r="X30" s="1" t="n"/>
      <c r="Y30" s="1" t="n"/>
      <c r="Z30" s="1" t="n"/>
    </row>
    <row r="31" ht="30" customHeight="1" s="311">
      <c r="A31" s="1" t="n"/>
      <c r="B31" s="221">
        <f>IF((Balance!$E$27+Balance!$E$28+Balance!$E$30)=0,"✅ DEUDA CARA. No tienes deuda con interés alto.","🔴 DEUDA CARA. "&amp;TEXT((Balance!$E$27+Balance!$E$28+Balance!$E$30),"#,##0")&amp;" € entre tarjetas, empeños y particulares, a un coste medio del "&amp;TEXT(Ratios!$D$32,"0.0%")&amp;". Son "&amp;TEXT(Resultados!$F$39,"#,##0")&amp;" €/mes de intereses, el "&amp;TEXT(Resultados!$F$39/Resultados!$F$13,"0%")&amp;" de todo lo que entra en casa.")</f>
        <v/>
      </c>
      <c r="O31" s="1" t="n"/>
      <c r="P31" s="1" t="n"/>
      <c r="Q31" s="1" t="n"/>
      <c r="R31" s="1" t="n"/>
      <c r="S31" s="1" t="n"/>
      <c r="T31" s="1" t="n"/>
      <c r="U31" s="1" t="n"/>
      <c r="V31" s="1" t="n"/>
      <c r="W31" s="1" t="n"/>
      <c r="X31" s="1" t="n"/>
      <c r="Y31" s="1" t="n"/>
      <c r="Z31" s="1" t="n"/>
    </row>
    <row r="32" ht="30" customHeight="1" s="311">
      <c r="A32" s="1" t="n"/>
      <c r="B32" s="221">
        <f>IF(Disponibilidad!$G$27/Disponibilidad!$E$27&lt;0.5,"✅ CRÉDITO. Te queda margen en las líneas de crédito.","🔴 CRÉDITO. Tus líneas están al "&amp;TEXT(Disponibilidad!$G$27/Disponibilidad!$E$27,"0%")&amp;" ("&amp;TEXT(Disponibilidad!$G$27,"#,##0")&amp;" € dispuestos de "&amp;TEXT(Disponibilidad!$E$27,"#,##0")&amp;" €). No tienes red: el próximo imprevisto no tiene de dónde salir.")</f>
        <v/>
      </c>
      <c r="O32" s="1" t="n"/>
      <c r="P32" s="1" t="n"/>
      <c r="Q32" s="1" t="n"/>
      <c r="R32" s="1" t="n"/>
      <c r="S32" s="1" t="n"/>
      <c r="T32" s="1" t="n"/>
      <c r="U32" s="1" t="n"/>
      <c r="V32" s="1" t="n"/>
      <c r="W32" s="1" t="n"/>
      <c r="X32" s="1" t="n"/>
      <c r="Y32" s="1" t="n"/>
      <c r="Z32" s="1" t="n"/>
    </row>
    <row r="33" ht="30" customHeight="1" s="311">
      <c r="A33" s="1" t="n"/>
      <c r="B33" s="221">
        <f>IF(SUMIFS(Facturas!$K$6:$K$205,Facturas!$M$6:$M$205,"&lt;0",Facturas!$D$6:$D$205,"&lt;&gt;Préstamo particular")=0,"✅ PAGOS. No arrastras facturas vencidas con proveedores ni bancos.","🔴 IMPAGOS. Arrastras "&amp;TEXT(SUMIFS(Facturas!$K$6:$K$205,Facturas!$M$6:$M$205,"&lt;0",Facturas!$D$6:$D$205,"&lt;&gt;Préstamo particular"),"#,##0.00")&amp;" € vencidos con proveedores y financieras. Es lo más barato de arreglar y lo que más rápido se encarece.")</f>
        <v/>
      </c>
      <c r="O33" s="1" t="n"/>
      <c r="P33" s="1" t="n"/>
      <c r="Q33" s="1" t="n"/>
      <c r="R33" s="1" t="n"/>
      <c r="S33" s="1" t="n"/>
      <c r="T33" s="1" t="n"/>
      <c r="U33" s="1" t="n"/>
      <c r="V33" s="1" t="n"/>
      <c r="W33" s="1" t="n"/>
      <c r="X33" s="1" t="n"/>
      <c r="Y33" s="1" t="n"/>
      <c r="Z33" s="1" t="n"/>
    </row>
    <row r="34" ht="30" customHeight="1" s="311">
      <c r="A34" s="1" t="n"/>
      <c r="B34" s="221">
        <f>IF(SUMIFS(Facturas!$K$6:$K$205,Facturas!$M$6:$M$205,"&lt;0",Facturas!$D$6:$D$205,"Préstamo particular")=0,"✅ PARTICULARES. No arrastras deuda vencida con personas.","🟠 PARTICULARES. "&amp;TEXT(SUMIFS(Facturas!$K$6:$K$205,Facturas!$M$6:$M$205,"&lt;0",Facturas!$D$6:$D$205,"Préstamo particular"),"#,##0.00")&amp;" € vencidos con personas cercanas. No llevan recargo, pero sin fecha acordada se convierten en un problema que no es financiero. Ve a la hoja Acuerdos.")</f>
        <v/>
      </c>
      <c r="O34" s="1" t="n"/>
      <c r="P34" s="1" t="n"/>
      <c r="Q34" s="1" t="n"/>
      <c r="R34" s="1" t="n"/>
      <c r="S34" s="1" t="n"/>
      <c r="T34" s="1" t="n"/>
      <c r="U34" s="1" t="n"/>
      <c r="V34" s="1" t="n"/>
      <c r="W34" s="1" t="n"/>
      <c r="X34" s="1" t="n"/>
      <c r="Y34" s="1" t="n"/>
      <c r="Z34" s="1" t="n"/>
    </row>
    <row r="35" ht="30" customHeight="1" s="311">
      <c r="A35" s="1" t="n"/>
      <c r="B35" s="221">
        <f>IF(Resultados!$C$8&gt;0,"✅ INGRESO PROPIO. Aportas "&amp;TEXT(Resultados!$C$8,"#,##0")&amp;" €/mes.","🔴 INGRESO PROPIO. En el escenario elegido tu ingreso es 0 €. El hogar vive con "&amp;TEXT(Resultados!$F$13,"#,##0")&amp;" €/mes de otras personas. Ninguna optimización de gastos arregla esto: es el único punto que de verdad cambia la película.")</f>
        <v/>
      </c>
      <c r="O35" s="1" t="n"/>
      <c r="P35" s="1" t="n"/>
      <c r="Q35" s="1" t="n"/>
      <c r="R35" s="1" t="n"/>
      <c r="S35" s="1" t="n"/>
      <c r="T35" s="1" t="n"/>
      <c r="U35" s="1" t="n"/>
      <c r="V35" s="1" t="n"/>
      <c r="W35" s="1" t="n"/>
      <c r="X35" s="1" t="n"/>
      <c r="Y35" s="1" t="n"/>
      <c r="Z35" s="1" t="n"/>
    </row>
    <row r="36" ht="30" customHeight="1" s="311">
      <c r="A36" s="1" t="n"/>
      <c r="B36" s="221">
        <f>IF(Ratios!$D$22&gt;=1,"✅ COLCHÓN. Aguantarías "&amp;TEXT(Ratios!$D$22,"0.0")&amp;" meses sin ingresos.","🔴 COLCHÓN. Aguantarías "&amp;TEXT(Ratios!$D$22*30,"0")&amp;" días sin ingresos. Antes de amortizar nada, el primer objetivo es un mes de gastos: "&amp;TEXT(Resultados!$F$41,"#,##0")&amp;" €.")</f>
        <v/>
      </c>
      <c r="O36" s="1" t="n"/>
      <c r="P36" s="1" t="n"/>
      <c r="Q36" s="1" t="n"/>
      <c r="R36" s="1" t="n"/>
      <c r="S36" s="1" t="n"/>
      <c r="T36" s="1" t="n"/>
      <c r="U36" s="1" t="n"/>
      <c r="V36" s="1" t="n"/>
      <c r="W36" s="1" t="n"/>
      <c r="X36" s="1" t="n"/>
      <c r="Y36" s="1" t="n"/>
      <c r="Z36" s="1" t="n"/>
    </row>
    <row r="37" ht="30" customHeight="1" s="311">
      <c r="A37" s="1" t="n"/>
      <c r="B37" s="221">
        <f>IF(Resultados!$F$55&gt;=0,"✅ CAJA. El mes cierra en positivo después de devolver principal.","🔴 CAJA. Cada mes salen "&amp;TEXT(ABS(Resultados!$F$55),"#,##0")&amp;" € más de los que entran. Sin cambios, el agujero se tapa con más crédito, y el crédito ya está al "&amp;TEXT(Disponibilidad!$G$27/Disponibilidad!$E$27,"0%")&amp;".")</f>
        <v/>
      </c>
      <c r="O37" s="1" t="n"/>
      <c r="P37" s="1" t="n"/>
      <c r="Q37" s="1" t="n"/>
      <c r="R37" s="1" t="n"/>
      <c r="S37" s="1" t="n"/>
      <c r="T37" s="1" t="n"/>
      <c r="U37" s="1" t="n"/>
      <c r="V37" s="1" t="n"/>
      <c r="W37" s="1" t="n"/>
      <c r="X37" s="1" t="n"/>
      <c r="Y37" s="1" t="n"/>
      <c r="Z37" s="1" t="n"/>
    </row>
    <row r="38" ht="15.75" customHeight="1" s="31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24" customHeight="1" s="311">
      <c r="A39" s="1" t="n"/>
      <c r="B39" s="97" t="inlineStr">
        <is>
          <t>4.  PLAN DE ACCIÓN  —  en este orden, no en otro</t>
        </is>
      </c>
      <c r="O39" s="1" t="n"/>
      <c r="P39" s="1" t="n"/>
      <c r="Q39" s="1" t="n"/>
      <c r="R39" s="1" t="n"/>
      <c r="S39" s="1" t="n"/>
      <c r="T39" s="1" t="n"/>
      <c r="U39" s="1" t="n"/>
      <c r="V39" s="1" t="n"/>
      <c r="W39" s="1" t="n"/>
      <c r="X39" s="1" t="n"/>
      <c r="Y39" s="1" t="n"/>
      <c r="Z39" s="1" t="n"/>
    </row>
    <row r="40" ht="24" customHeight="1" s="311">
      <c r="A40" s="1" t="n"/>
      <c r="B40" s="3" t="inlineStr">
        <is>
          <t>Las acciones que no te aplican desaparecen solas. Haz una cada vez: intentar las seis a la vez es la forma más rápida de no hacer ninguna.</t>
        </is>
      </c>
      <c r="O40" s="1" t="n"/>
      <c r="P40" s="1" t="n"/>
      <c r="Q40" s="1" t="n"/>
      <c r="R40" s="1" t="n"/>
      <c r="S40" s="1" t="n"/>
      <c r="T40" s="1" t="n"/>
      <c r="U40" s="1" t="n"/>
      <c r="V40" s="1" t="n"/>
      <c r="W40" s="1" t="n"/>
      <c r="X40" s="1" t="n"/>
      <c r="Y40" s="1" t="n"/>
      <c r="Z40" s="1" t="n"/>
    </row>
    <row r="41" ht="33.75" customHeight="1" s="311">
      <c r="A41" s="1" t="n"/>
      <c r="B41" s="221">
        <f>IF(SUMIFS(Facturas!$K$6:$K$205,Facturas!$M$6:$M$205,"&lt;0",Facturas!$D$6:$D$205,"Préstamo particular")=0,"","1.  ACUERDA FECHAS CON LOS PARTICULARES. Son "&amp;TEXT(SUMIFS(Facturas!$K$6:$K$205,Facturas!$M$6:$M$205,"&lt;0",Facturas!$D$6:$D$205,"Préstamo particular"),"#,##0")&amp;" € que hoy figuran como vencidos. Convertirlos en un calendario escrito no te cuesta un euro, te quita la presión y limpia el diagnóstico. Hazlo esta semana.")</f>
        <v/>
      </c>
      <c r="O41" s="1" t="n"/>
      <c r="P41" s="1" t="n"/>
      <c r="Q41" s="1" t="n"/>
      <c r="R41" s="1" t="n"/>
      <c r="S41" s="1" t="n"/>
      <c r="T41" s="1" t="n"/>
      <c r="U41" s="1" t="n"/>
      <c r="V41" s="1" t="n"/>
      <c r="W41" s="1" t="n"/>
      <c r="X41" s="1" t="n"/>
      <c r="Y41" s="1" t="n"/>
      <c r="Z41" s="1" t="n"/>
    </row>
    <row r="42" ht="33.75" customHeight="1" s="311">
      <c r="A42" s="1" t="n"/>
      <c r="B42" s="221">
        <f>IF(Balance!$C$92=0,"","2.  PIDE CARENCIA DE CAPITAL EN LA HIPOTECA. Doce meses pagando solo intereses liberan "&amp;TEXT(Balance!$C$96/12,"#,##0")&amp;" €/mes de caja. Con un LTV del "&amp;TEXT(Balance!$C$92/Balance!$E$80,"0%")&amp;" el banco tiene margen de sobra para concederla. Es la palanca más grande a coste cero.")</f>
        <v/>
      </c>
      <c r="O42" s="1" t="n"/>
      <c r="P42" s="1" t="n"/>
      <c r="Q42" s="1" t="n"/>
      <c r="R42" s="1" t="n"/>
      <c r="S42" s="1" t="n"/>
      <c r="T42" s="1" t="n"/>
      <c r="U42" s="1" t="n"/>
      <c r="V42" s="1" t="n"/>
      <c r="W42" s="1" t="n"/>
      <c r="X42" s="1" t="n"/>
      <c r="Y42" s="1" t="n"/>
      <c r="Z42" s="1" t="n"/>
    </row>
    <row r="43" ht="33.75" customHeight="1" s="311">
      <c r="A43" s="1" t="n"/>
      <c r="B43" s="221">
        <f>IF(SUMIFS(Facturas!$K$6:$K$205,Facturas!$M$6:$M$205,"&lt;0",Facturas!$D$6:$D$205,"&lt;&gt;Préstamo particular")=0,"","3.  PAGA LOS "&amp;TEXT(SUMIFS(Facturas!$K$6:$K$205,Facturas!$M$6:$M$205,"&lt;0",Facturas!$D$6:$D$205,"&lt;&gt;Préstamo particular"),"#,##0.00")&amp;" € VENCIDOS de proveedores y financieras. Es lo único que se encarece solo mientras no lo tocas.")</f>
        <v/>
      </c>
      <c r="O43" s="1" t="n"/>
      <c r="P43" s="1" t="n"/>
      <c r="Q43" s="1" t="n"/>
      <c r="R43" s="1" t="n"/>
      <c r="S43" s="1" t="n"/>
      <c r="T43" s="1" t="n"/>
      <c r="U43" s="1" t="n"/>
      <c r="V43" s="1" t="n"/>
      <c r="W43" s="1" t="n"/>
      <c r="X43" s="1" t="n"/>
      <c r="Y43" s="1" t="n"/>
      <c r="Z43" s="1" t="n"/>
    </row>
    <row r="44" ht="33.75" customHeight="1" s="311">
      <c r="A44" s="1" t="n"/>
      <c r="B44" s="221">
        <f>IF(Ratios!$D$22&gt;=1,"","4.  LEVANTA UN COLCHÓN DE UN MES: "&amp;TEXT(Resultados!$F$41,"#,##0")&amp;" €. Antes de amortizar deuda. Sin colchón, cualquier imprevisto vuelve a la tarjeta al 22% y deshace todo lo avanzado.")</f>
        <v/>
      </c>
      <c r="O44" s="1" t="n"/>
      <c r="P44" s="1" t="n"/>
      <c r="Q44" s="1" t="n"/>
      <c r="R44" s="1" t="n"/>
      <c r="S44" s="1" t="n"/>
      <c r="T44" s="1" t="n"/>
      <c r="U44" s="1" t="n"/>
      <c r="V44" s="1" t="n"/>
      <c r="W44" s="1" t="n"/>
      <c r="X44" s="1" t="n"/>
      <c r="Y44" s="1" t="n"/>
      <c r="Z44" s="1" t="n"/>
    </row>
    <row r="45" ht="33.75" customHeight="1" s="311">
      <c r="A45" s="1" t="n"/>
      <c r="B45" s="221">
        <f>IF(Disponibilidad!$G$27=0,"","5.  ATACA LAS TARJETAS: "&amp;TEXT(Disponibilidad!$G$27,"#,##0.00")&amp;" € al 21-23%. Amortizarlas te renta más que cualquier inversión. En la hoja SalidaDeuda tienes el orden óptimo y los meses que tardas.")</f>
        <v/>
      </c>
      <c r="O45" s="1" t="n"/>
      <c r="P45" s="1" t="n"/>
      <c r="Q45" s="1" t="n"/>
      <c r="R45" s="1" t="n"/>
      <c r="S45" s="1" t="n"/>
      <c r="T45" s="1" t="n"/>
      <c r="U45" s="1" t="n"/>
      <c r="V45" s="1" t="n"/>
      <c r="W45" s="1" t="n"/>
      <c r="X45" s="1" t="n"/>
      <c r="Y45" s="1" t="n"/>
      <c r="Z45" s="1" t="n"/>
    </row>
    <row r="46" ht="33.75" customHeight="1" s="311">
      <c r="A46" s="1" t="n"/>
      <c r="B46" s="221">
        <f>IF(Resultados!$C$8&gt;0,"","6.  GENERA INGRESO PROPIO. Según tu propia hoja de escenarios, vivir donde ya vives con un ingreso de "&amp;TEXT(Escenarios!$G$6,"#,##0")&amp;" € deja al sistema "&amp;TEXT(Escenarios!$G$54,"#,##0")&amp;" €/mes de capacidad de ahorro, frente a los "&amp;TEXT(Escenarios!$D$54,"#,##0")&amp;" € de hoy. Es el único movimiento que arregla todo lo demás de paso.")</f>
        <v/>
      </c>
      <c r="O46" s="1" t="n"/>
      <c r="P46" s="1" t="n"/>
      <c r="Q46" s="1" t="n"/>
      <c r="R46" s="1" t="n"/>
      <c r="S46" s="1" t="n"/>
      <c r="T46" s="1" t="n"/>
      <c r="U46" s="1" t="n"/>
      <c r="V46" s="1" t="n"/>
      <c r="W46" s="1" t="n"/>
      <c r="X46" s="1" t="n"/>
      <c r="Y46" s="1" t="n"/>
      <c r="Z46" s="1" t="n"/>
    </row>
    <row r="47" ht="33.75" customHeight="1" s="311">
      <c r="A47" s="1" t="n"/>
      <c r="B47" s="221">
        <f>IF(Balance!$E$81=0,"","7.  DECIDE QUÉ HACER CON EL INMUEBLE DE REPÚBLICA DOMINICANA: "&amp;TEXT(Balance!$E$81,"#,##0")&amp;" € libres de cargas que rinden 0% mientras pagas un "&amp;TEXT(Ratios!$D$32,"0.0%")&amp;" medio por tu deuda. Alquilarlo genera ingreso; venderlo liquidaría toda la deuda cara y dejaría margen. Es tu decisión, pero conviene tomarla a propósito y no por inercia.")</f>
        <v/>
      </c>
      <c r="O47" s="1" t="n"/>
      <c r="P47" s="1" t="n"/>
      <c r="Q47" s="1" t="n"/>
      <c r="R47" s="1" t="n"/>
      <c r="S47" s="1" t="n"/>
      <c r="T47" s="1" t="n"/>
      <c r="U47" s="1" t="n"/>
      <c r="V47" s="1" t="n"/>
      <c r="W47" s="1" t="n"/>
      <c r="X47" s="1" t="n"/>
      <c r="Y47" s="1" t="n"/>
      <c r="Z47" s="1" t="n"/>
    </row>
    <row r="48" ht="15.75" customHeight="1" s="31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24" customHeight="1" s="311">
      <c r="A50" s="1" t="n"/>
      <c r="B50" s="97" t="inlineStr">
        <is>
          <t>5.  HISTÓRICO DE DIAGNÓSTICOS</t>
        </is>
      </c>
      <c r="O50" s="1" t="n"/>
      <c r="P50" s="1" t="n"/>
      <c r="Q50" s="1" t="n"/>
      <c r="R50" s="1" t="n"/>
      <c r="S50" s="1" t="n"/>
      <c r="T50" s="1" t="n"/>
      <c r="U50" s="1" t="n"/>
      <c r="V50" s="1" t="n"/>
      <c r="W50" s="1" t="n"/>
      <c r="X50" s="1" t="n"/>
      <c r="Y50" s="1" t="n"/>
      <c r="Z50" s="1" t="n"/>
    </row>
    <row r="51" ht="31.5" customHeight="1" s="311">
      <c r="A51" s="1" t="n"/>
      <c r="B51" s="3" t="inlineStr">
        <is>
          <t>Copia la fila "FOTO DE HOY" y pégala como VALORES (Pegado especial → Solo valores) en la primera fila amarilla libre. Rellena de arriba abajo sin dejar huecos. Con dos fotos ya verás la evolución; el comentario lo puedes escribir tú o pedírmelo a mí.</t>
        </is>
      </c>
      <c r="O51" s="1" t="n"/>
      <c r="P51" s="1" t="n"/>
      <c r="Q51" s="1" t="n"/>
      <c r="R51" s="1" t="n"/>
      <c r="S51" s="1" t="n"/>
      <c r="T51" s="1" t="n"/>
      <c r="U51" s="1" t="n"/>
      <c r="V51" s="1" t="n"/>
      <c r="W51" s="1" t="n"/>
      <c r="X51" s="1" t="n"/>
      <c r="Y51" s="1" t="n"/>
      <c r="Z51" s="1" t="n"/>
    </row>
    <row r="52" ht="31.5" customHeight="1" s="311">
      <c r="A52" s="1" t="n"/>
      <c r="B52" s="11" t="inlineStr">
        <is>
          <t>Fecha</t>
        </is>
      </c>
      <c r="C52" s="11" t="inlineStr">
        <is>
          <t>Puntuación</t>
        </is>
      </c>
      <c r="D52" s="11" t="inlineStr">
        <is>
          <t>Patrimonio
neto (€)</t>
        </is>
      </c>
      <c r="E52" s="11" t="inlineStr">
        <is>
          <t>Deuda
total (€)</t>
        </is>
      </c>
      <c r="F52" s="11" t="inlineStr">
        <is>
          <t>Deuda cara
(€)</t>
        </is>
      </c>
      <c r="G52" s="11" t="inlineStr">
        <is>
          <t>Disponible
(€)</t>
        </is>
      </c>
      <c r="H52" s="11" t="inlineStr">
        <is>
          <t>Colchón
(meses)</t>
        </is>
      </c>
      <c r="I52" s="11" t="inlineStr">
        <is>
          <t>Vencido duro
(€)</t>
        </is>
      </c>
      <c r="J52" s="11" t="inlineStr">
        <is>
          <t>Intereses
/mes (€)</t>
        </is>
      </c>
      <c r="K52" s="11" t="inlineStr">
        <is>
          <t>Caja real
/mes (€)</t>
        </is>
      </c>
      <c r="L52" s="11" t="inlineStr">
        <is>
          <t>Calificación</t>
        </is>
      </c>
      <c r="M52" s="11" t="inlineStr">
        <is>
          <t>Comentario</t>
        </is>
      </c>
      <c r="N52" s="395" t="n"/>
      <c r="O52" s="1" t="n"/>
      <c r="P52" s="1" t="n"/>
      <c r="Q52" s="1" t="n"/>
      <c r="R52" s="1" t="n"/>
      <c r="S52" s="1" t="n"/>
      <c r="T52" s="1" t="n"/>
      <c r="U52" s="1" t="n"/>
      <c r="V52" s="1" t="n"/>
      <c r="W52" s="1" t="n"/>
      <c r="X52" s="1" t="n"/>
      <c r="Y52" s="1" t="n"/>
      <c r="Z52" s="1" t="n"/>
    </row>
    <row r="53" ht="15.75" customHeight="1" s="311">
      <c r="A53" s="1" t="n"/>
      <c r="B53" s="193">
        <f>TODAY()</f>
        <v/>
      </c>
      <c r="C53" s="224">
        <f>IFERROR(Ratios!$D$40,"")</f>
        <v/>
      </c>
      <c r="D53" s="47">
        <f>Balance!$E$41</f>
        <v/>
      </c>
      <c r="E53" s="47">
        <f>Balance!$E$39</f>
        <v/>
      </c>
      <c r="F53" s="47">
        <f>(Balance!$E$27+Balance!$E$28+Balance!$E$30)</f>
        <v/>
      </c>
      <c r="G53" s="47">
        <f>Disponibilidad!$G$33</f>
        <v/>
      </c>
      <c r="H53" s="224">
        <f>IFERROR(Ratios!$D$22,"")</f>
        <v/>
      </c>
      <c r="I53" s="47">
        <f>SUMIFS(Facturas!$K$6:$K$205,Facturas!$M$6:$M$205,"&lt;0",Facturas!$D$6:$D$205,"&lt;&gt;Préstamo particular")</f>
        <v/>
      </c>
      <c r="J53" s="47">
        <f>Resultados!$F$39</f>
        <v/>
      </c>
      <c r="K53" s="47">
        <f>Resultados!$F$55</f>
        <v/>
      </c>
      <c r="L53" s="195">
        <f>IFERROR(Ratios!$D$41,"")</f>
        <v/>
      </c>
      <c r="M53" s="195" t="inlineStr">
        <is>
          <t>← FOTO DE HOY</t>
        </is>
      </c>
      <c r="N53" s="395" t="n"/>
      <c r="O53" s="1" t="n"/>
      <c r="P53" s="1" t="n"/>
      <c r="Q53" s="1" t="n"/>
      <c r="R53" s="1" t="n"/>
      <c r="S53" s="1" t="n"/>
      <c r="T53" s="1" t="n"/>
      <c r="U53" s="1" t="n"/>
      <c r="V53" s="1" t="n"/>
      <c r="W53" s="1" t="n"/>
      <c r="X53" s="1" t="n"/>
      <c r="Y53" s="1" t="n"/>
      <c r="Z53" s="1" t="n"/>
    </row>
    <row r="54" ht="15.75" customHeight="1" s="311">
      <c r="A54" s="1" t="n"/>
      <c r="B54" s="226" t="n"/>
      <c r="C54" s="227" t="n"/>
      <c r="D54" s="12" t="n"/>
      <c r="E54" s="12" t="n"/>
      <c r="F54" s="12" t="n"/>
      <c r="G54" s="12" t="n"/>
      <c r="H54" s="227" t="n"/>
      <c r="I54" s="12" t="n"/>
      <c r="J54" s="12" t="n"/>
      <c r="K54" s="12" t="n"/>
      <c r="L54" s="208" t="n"/>
      <c r="M54" s="208" t="n"/>
      <c r="N54" s="395" t="n"/>
      <c r="O54" s="1" t="n"/>
      <c r="P54" s="1" t="n"/>
      <c r="Q54" s="1" t="n"/>
      <c r="R54" s="1" t="n"/>
      <c r="S54" s="1" t="n"/>
      <c r="T54" s="1" t="n"/>
      <c r="U54" s="1" t="n"/>
      <c r="V54" s="1" t="n"/>
      <c r="W54" s="1" t="n"/>
      <c r="X54" s="1" t="n"/>
      <c r="Y54" s="1" t="n"/>
      <c r="Z54" s="1" t="n"/>
    </row>
    <row r="55" ht="15.75" customHeight="1" s="311">
      <c r="A55" s="1" t="n"/>
      <c r="B55" s="226" t="n"/>
      <c r="C55" s="227" t="n"/>
      <c r="D55" s="12" t="n"/>
      <c r="E55" s="12" t="n"/>
      <c r="F55" s="12" t="n"/>
      <c r="G55" s="12" t="n"/>
      <c r="H55" s="227" t="n"/>
      <c r="I55" s="12" t="n"/>
      <c r="J55" s="12" t="n"/>
      <c r="K55" s="12" t="n"/>
      <c r="L55" s="208" t="n"/>
      <c r="M55" s="208" t="n"/>
      <c r="N55" s="395" t="n"/>
      <c r="O55" s="1" t="n"/>
      <c r="P55" s="1" t="n"/>
      <c r="Q55" s="1" t="n"/>
      <c r="R55" s="1" t="n"/>
      <c r="S55" s="1" t="n"/>
      <c r="T55" s="1" t="n"/>
      <c r="U55" s="1" t="n"/>
      <c r="V55" s="1" t="n"/>
      <c r="W55" s="1" t="n"/>
      <c r="X55" s="1" t="n"/>
      <c r="Y55" s="1" t="n"/>
      <c r="Z55" s="1" t="n"/>
    </row>
    <row r="56" ht="15.75" customHeight="1" s="311">
      <c r="A56" s="1" t="n"/>
      <c r="B56" s="226" t="n"/>
      <c r="C56" s="227" t="n"/>
      <c r="D56" s="12" t="n"/>
      <c r="E56" s="12" t="n"/>
      <c r="F56" s="12" t="n"/>
      <c r="G56" s="12" t="n"/>
      <c r="H56" s="227" t="n"/>
      <c r="I56" s="12" t="n"/>
      <c r="J56" s="12" t="n"/>
      <c r="K56" s="12" t="n"/>
      <c r="L56" s="208" t="n"/>
      <c r="M56" s="208" t="n"/>
      <c r="N56" s="395" t="n"/>
      <c r="O56" s="1" t="n"/>
      <c r="P56" s="1" t="n"/>
      <c r="Q56" s="1" t="n"/>
      <c r="R56" s="1" t="n"/>
      <c r="S56" s="1" t="n"/>
      <c r="T56" s="1" t="n"/>
      <c r="U56" s="1" t="n"/>
      <c r="V56" s="1" t="n"/>
      <c r="W56" s="1" t="n"/>
      <c r="X56" s="1" t="n"/>
      <c r="Y56" s="1" t="n"/>
      <c r="Z56" s="1" t="n"/>
    </row>
    <row r="57" ht="15.75" customHeight="1" s="311">
      <c r="A57" s="1" t="n"/>
      <c r="B57" s="226" t="n"/>
      <c r="C57" s="227" t="n"/>
      <c r="D57" s="12" t="n"/>
      <c r="E57" s="12" t="n"/>
      <c r="F57" s="12" t="n"/>
      <c r="G57" s="12" t="n"/>
      <c r="H57" s="227" t="n"/>
      <c r="I57" s="12" t="n"/>
      <c r="J57" s="12" t="n"/>
      <c r="K57" s="12" t="n"/>
      <c r="L57" s="208" t="n"/>
      <c r="M57" s="208" t="n"/>
      <c r="N57" s="395" t="n"/>
      <c r="O57" s="1" t="n"/>
      <c r="P57" s="1" t="n"/>
      <c r="Q57" s="1" t="n"/>
      <c r="R57" s="1" t="n"/>
      <c r="S57" s="1" t="n"/>
      <c r="T57" s="1" t="n"/>
      <c r="U57" s="1" t="n"/>
      <c r="V57" s="1" t="n"/>
      <c r="W57" s="1" t="n"/>
      <c r="X57" s="1" t="n"/>
      <c r="Y57" s="1" t="n"/>
      <c r="Z57" s="1" t="n"/>
    </row>
    <row r="58" ht="15.75" customHeight="1" s="311">
      <c r="A58" s="1" t="n"/>
      <c r="B58" s="226" t="n"/>
      <c r="C58" s="227" t="n"/>
      <c r="D58" s="12" t="n"/>
      <c r="E58" s="12" t="n"/>
      <c r="F58" s="12" t="n"/>
      <c r="G58" s="12" t="n"/>
      <c r="H58" s="227" t="n"/>
      <c r="I58" s="12" t="n"/>
      <c r="J58" s="12" t="n"/>
      <c r="K58" s="12" t="n"/>
      <c r="L58" s="208" t="n"/>
      <c r="M58" s="208" t="n"/>
      <c r="N58" s="395" t="n"/>
      <c r="O58" s="1" t="n"/>
      <c r="P58" s="1" t="n"/>
      <c r="Q58" s="1" t="n"/>
      <c r="R58" s="1" t="n"/>
      <c r="S58" s="1" t="n"/>
      <c r="T58" s="1" t="n"/>
      <c r="U58" s="1" t="n"/>
      <c r="V58" s="1" t="n"/>
      <c r="W58" s="1" t="n"/>
      <c r="X58" s="1" t="n"/>
      <c r="Y58" s="1" t="n"/>
      <c r="Z58" s="1" t="n"/>
    </row>
    <row r="59" ht="15.75" customHeight="1" s="311">
      <c r="A59" s="1" t="n"/>
      <c r="B59" s="226" t="n"/>
      <c r="C59" s="227" t="n"/>
      <c r="D59" s="12" t="n"/>
      <c r="E59" s="12" t="n"/>
      <c r="F59" s="12" t="n"/>
      <c r="G59" s="12" t="n"/>
      <c r="H59" s="227" t="n"/>
      <c r="I59" s="12" t="n"/>
      <c r="J59" s="12" t="n"/>
      <c r="K59" s="12" t="n"/>
      <c r="L59" s="208" t="n"/>
      <c r="M59" s="208" t="n"/>
      <c r="N59" s="395" t="n"/>
      <c r="O59" s="1" t="n"/>
      <c r="P59" s="1" t="n"/>
      <c r="Q59" s="1" t="n"/>
      <c r="R59" s="1" t="n"/>
      <c r="S59" s="1" t="n"/>
      <c r="T59" s="1" t="n"/>
      <c r="U59" s="1" t="n"/>
      <c r="V59" s="1" t="n"/>
      <c r="W59" s="1" t="n"/>
      <c r="X59" s="1" t="n"/>
      <c r="Y59" s="1" t="n"/>
      <c r="Z59" s="1" t="n"/>
    </row>
    <row r="60" ht="15.75" customHeight="1" s="311">
      <c r="A60" s="1" t="n"/>
      <c r="B60" s="226" t="n"/>
      <c r="C60" s="227" t="n"/>
      <c r="D60" s="12" t="n"/>
      <c r="E60" s="12" t="n"/>
      <c r="F60" s="12" t="n"/>
      <c r="G60" s="12" t="n"/>
      <c r="H60" s="227" t="n"/>
      <c r="I60" s="12" t="n"/>
      <c r="J60" s="12" t="n"/>
      <c r="K60" s="12" t="n"/>
      <c r="L60" s="208" t="n"/>
      <c r="M60" s="208" t="n"/>
      <c r="N60" s="395" t="n"/>
      <c r="O60" s="1" t="n"/>
      <c r="P60" s="1" t="n"/>
      <c r="Q60" s="1" t="n"/>
      <c r="R60" s="1" t="n"/>
      <c r="S60" s="1" t="n"/>
      <c r="T60" s="1" t="n"/>
      <c r="U60" s="1" t="n"/>
      <c r="V60" s="1" t="n"/>
      <c r="W60" s="1" t="n"/>
      <c r="X60" s="1" t="n"/>
      <c r="Y60" s="1" t="n"/>
      <c r="Z60" s="1" t="n"/>
    </row>
    <row r="61" ht="15.75" customHeight="1" s="311">
      <c r="A61" s="1" t="n"/>
      <c r="B61" s="226" t="n"/>
      <c r="C61" s="227" t="n"/>
      <c r="D61" s="12" t="n"/>
      <c r="E61" s="12" t="n"/>
      <c r="F61" s="12" t="n"/>
      <c r="G61" s="12" t="n"/>
      <c r="H61" s="227" t="n"/>
      <c r="I61" s="12" t="n"/>
      <c r="J61" s="12" t="n"/>
      <c r="K61" s="12" t="n"/>
      <c r="L61" s="208" t="n"/>
      <c r="M61" s="208" t="n"/>
      <c r="N61" s="395" t="n"/>
      <c r="O61" s="1" t="n"/>
      <c r="P61" s="1" t="n"/>
      <c r="Q61" s="1" t="n"/>
      <c r="R61" s="1" t="n"/>
      <c r="S61" s="1" t="n"/>
      <c r="T61" s="1" t="n"/>
      <c r="U61" s="1" t="n"/>
      <c r="V61" s="1" t="n"/>
      <c r="W61" s="1" t="n"/>
      <c r="X61" s="1" t="n"/>
      <c r="Y61" s="1" t="n"/>
      <c r="Z61" s="1" t="n"/>
    </row>
    <row r="62" ht="15.75" customHeight="1" s="311">
      <c r="A62" s="1" t="n"/>
      <c r="B62" s="226" t="n"/>
      <c r="C62" s="227" t="n"/>
      <c r="D62" s="12" t="n"/>
      <c r="E62" s="12" t="n"/>
      <c r="F62" s="12" t="n"/>
      <c r="G62" s="12" t="n"/>
      <c r="H62" s="227" t="n"/>
      <c r="I62" s="12" t="n"/>
      <c r="J62" s="12" t="n"/>
      <c r="K62" s="12" t="n"/>
      <c r="L62" s="208" t="n"/>
      <c r="M62" s="208" t="n"/>
      <c r="N62" s="395" t="n"/>
      <c r="O62" s="1" t="n"/>
      <c r="P62" s="1" t="n"/>
      <c r="Q62" s="1" t="n"/>
      <c r="R62" s="1" t="n"/>
      <c r="S62" s="1" t="n"/>
      <c r="T62" s="1" t="n"/>
      <c r="U62" s="1" t="n"/>
      <c r="V62" s="1" t="n"/>
      <c r="W62" s="1" t="n"/>
      <c r="X62" s="1" t="n"/>
      <c r="Y62" s="1" t="n"/>
      <c r="Z62" s="1" t="n"/>
    </row>
    <row r="63" ht="15.75" customHeight="1" s="311">
      <c r="A63" s="1" t="n"/>
      <c r="B63" s="226" t="n"/>
      <c r="C63" s="227" t="n"/>
      <c r="D63" s="12" t="n"/>
      <c r="E63" s="12" t="n"/>
      <c r="F63" s="12" t="n"/>
      <c r="G63" s="12" t="n"/>
      <c r="H63" s="227" t="n"/>
      <c r="I63" s="12" t="n"/>
      <c r="J63" s="12" t="n"/>
      <c r="K63" s="12" t="n"/>
      <c r="L63" s="208" t="n"/>
      <c r="M63" s="208" t="n"/>
      <c r="N63" s="395" t="n"/>
      <c r="O63" s="1" t="n"/>
      <c r="P63" s="1" t="n"/>
      <c r="Q63" s="1" t="n"/>
      <c r="R63" s="1" t="n"/>
      <c r="S63" s="1" t="n"/>
      <c r="T63" s="1" t="n"/>
      <c r="U63" s="1" t="n"/>
      <c r="V63" s="1" t="n"/>
      <c r="W63" s="1" t="n"/>
      <c r="X63" s="1" t="n"/>
      <c r="Y63" s="1" t="n"/>
      <c r="Z63" s="1" t="n"/>
    </row>
    <row r="64" ht="15.75" customHeight="1" s="311">
      <c r="A64" s="1" t="n"/>
      <c r="B64" s="226" t="n"/>
      <c r="C64" s="227" t="n"/>
      <c r="D64" s="12" t="n"/>
      <c r="E64" s="12" t="n"/>
      <c r="F64" s="12" t="n"/>
      <c r="G64" s="12" t="n"/>
      <c r="H64" s="227" t="n"/>
      <c r="I64" s="12" t="n"/>
      <c r="J64" s="12" t="n"/>
      <c r="K64" s="12" t="n"/>
      <c r="L64" s="208" t="n"/>
      <c r="M64" s="208" t="n"/>
      <c r="N64" s="395" t="n"/>
      <c r="O64" s="1" t="n"/>
      <c r="P64" s="1" t="n"/>
      <c r="Q64" s="1" t="n"/>
      <c r="R64" s="1" t="n"/>
      <c r="S64" s="1" t="n"/>
      <c r="T64" s="1" t="n"/>
      <c r="U64" s="1" t="n"/>
      <c r="V64" s="1" t="n"/>
      <c r="W64" s="1" t="n"/>
      <c r="X64" s="1" t="n"/>
      <c r="Y64" s="1" t="n"/>
      <c r="Z64" s="1" t="n"/>
    </row>
    <row r="65" ht="15.75" customHeight="1" s="311">
      <c r="A65" s="1" t="n"/>
      <c r="B65" s="226" t="n"/>
      <c r="C65" s="227" t="n"/>
      <c r="D65" s="12" t="n"/>
      <c r="E65" s="12" t="n"/>
      <c r="F65" s="12" t="n"/>
      <c r="G65" s="12" t="n"/>
      <c r="H65" s="227" t="n"/>
      <c r="I65" s="12" t="n"/>
      <c r="J65" s="12" t="n"/>
      <c r="K65" s="12" t="n"/>
      <c r="L65" s="208" t="n"/>
      <c r="M65" s="208" t="n"/>
      <c r="N65" s="395" t="n"/>
      <c r="O65" s="1" t="n"/>
      <c r="P65" s="1" t="n"/>
      <c r="Q65" s="1" t="n"/>
      <c r="R65" s="1" t="n"/>
      <c r="S65" s="1" t="n"/>
      <c r="T65" s="1" t="n"/>
      <c r="U65" s="1" t="n"/>
      <c r="V65" s="1" t="n"/>
      <c r="W65" s="1" t="n"/>
      <c r="X65" s="1" t="n"/>
      <c r="Y65" s="1" t="n"/>
      <c r="Z65" s="1" t="n"/>
    </row>
    <row r="66" ht="15.75" customHeight="1" s="311">
      <c r="A66" s="1" t="n"/>
      <c r="B66" s="226" t="n"/>
      <c r="C66" s="227" t="n"/>
      <c r="D66" s="12" t="n"/>
      <c r="E66" s="12" t="n"/>
      <c r="F66" s="12" t="n"/>
      <c r="G66" s="12" t="n"/>
      <c r="H66" s="227" t="n"/>
      <c r="I66" s="12" t="n"/>
      <c r="J66" s="12" t="n"/>
      <c r="K66" s="12" t="n"/>
      <c r="L66" s="208" t="n"/>
      <c r="M66" s="208" t="n"/>
      <c r="N66" s="395" t="n"/>
      <c r="O66" s="1" t="n"/>
      <c r="P66" s="1" t="n"/>
      <c r="Q66" s="1" t="n"/>
      <c r="R66" s="1" t="n"/>
      <c r="S66" s="1" t="n"/>
      <c r="T66" s="1" t="n"/>
      <c r="U66" s="1" t="n"/>
      <c r="V66" s="1" t="n"/>
      <c r="W66" s="1" t="n"/>
      <c r="X66" s="1" t="n"/>
      <c r="Y66" s="1" t="n"/>
      <c r="Z66" s="1" t="n"/>
    </row>
    <row r="67" ht="15.75" customHeight="1" s="311">
      <c r="A67" s="1" t="n"/>
      <c r="B67" s="226" t="n"/>
      <c r="C67" s="227" t="n"/>
      <c r="D67" s="12" t="n"/>
      <c r="E67" s="12" t="n"/>
      <c r="F67" s="12" t="n"/>
      <c r="G67" s="12" t="n"/>
      <c r="H67" s="227" t="n"/>
      <c r="I67" s="12" t="n"/>
      <c r="J67" s="12" t="n"/>
      <c r="K67" s="12" t="n"/>
      <c r="L67" s="208" t="n"/>
      <c r="M67" s="208" t="n"/>
      <c r="N67" s="395" t="n"/>
      <c r="O67" s="1" t="n"/>
      <c r="P67" s="1" t="n"/>
      <c r="Q67" s="1" t="n"/>
      <c r="R67" s="1" t="n"/>
      <c r="S67" s="1" t="n"/>
      <c r="T67" s="1" t="n"/>
      <c r="U67" s="1" t="n"/>
      <c r="V67" s="1" t="n"/>
      <c r="W67" s="1" t="n"/>
      <c r="X67" s="1" t="n"/>
      <c r="Y67" s="1" t="n"/>
      <c r="Z67" s="1" t="n"/>
    </row>
    <row r="68" ht="15.75" customHeight="1" s="311">
      <c r="A68" s="1" t="n"/>
      <c r="B68" s="226" t="n"/>
      <c r="C68" s="227" t="n"/>
      <c r="D68" s="12" t="n"/>
      <c r="E68" s="12" t="n"/>
      <c r="F68" s="12" t="n"/>
      <c r="G68" s="12" t="n"/>
      <c r="H68" s="227" t="n"/>
      <c r="I68" s="12" t="n"/>
      <c r="J68" s="12" t="n"/>
      <c r="K68" s="12" t="n"/>
      <c r="L68" s="208" t="n"/>
      <c r="M68" s="208" t="n"/>
      <c r="N68" s="395" t="n"/>
      <c r="O68" s="1" t="n"/>
      <c r="P68" s="1" t="n"/>
      <c r="Q68" s="1" t="n"/>
      <c r="R68" s="1" t="n"/>
      <c r="S68" s="1" t="n"/>
      <c r="T68" s="1" t="n"/>
      <c r="U68" s="1" t="n"/>
      <c r="V68" s="1" t="n"/>
      <c r="W68" s="1" t="n"/>
      <c r="X68" s="1" t="n"/>
      <c r="Y68" s="1" t="n"/>
      <c r="Z68" s="1" t="n"/>
    </row>
    <row r="69" ht="15.75" customHeight="1" s="311">
      <c r="A69" s="1" t="n"/>
      <c r="B69" s="226" t="n"/>
      <c r="C69" s="227" t="n"/>
      <c r="D69" s="12" t="n"/>
      <c r="E69" s="12" t="n"/>
      <c r="F69" s="12" t="n"/>
      <c r="G69" s="12" t="n"/>
      <c r="H69" s="227" t="n"/>
      <c r="I69" s="12" t="n"/>
      <c r="J69" s="12" t="n"/>
      <c r="K69" s="12" t="n"/>
      <c r="L69" s="208" t="n"/>
      <c r="M69" s="208" t="n"/>
      <c r="N69" s="395" t="n"/>
      <c r="O69" s="1" t="n"/>
      <c r="P69" s="1" t="n"/>
      <c r="Q69" s="1" t="n"/>
      <c r="R69" s="1" t="n"/>
      <c r="S69" s="1" t="n"/>
      <c r="T69" s="1" t="n"/>
      <c r="U69" s="1" t="n"/>
      <c r="V69" s="1" t="n"/>
      <c r="W69" s="1" t="n"/>
      <c r="X69" s="1" t="n"/>
      <c r="Y69" s="1" t="n"/>
      <c r="Z69" s="1" t="n"/>
    </row>
    <row r="70" ht="15.75" customHeight="1" s="311">
      <c r="A70" s="1" t="n"/>
      <c r="B70" s="226" t="n"/>
      <c r="C70" s="227" t="n"/>
      <c r="D70" s="12" t="n"/>
      <c r="E70" s="12" t="n"/>
      <c r="F70" s="12" t="n"/>
      <c r="G70" s="12" t="n"/>
      <c r="H70" s="227" t="n"/>
      <c r="I70" s="12" t="n"/>
      <c r="J70" s="12" t="n"/>
      <c r="K70" s="12" t="n"/>
      <c r="L70" s="208" t="n"/>
      <c r="M70" s="208" t="n"/>
      <c r="N70" s="395" t="n"/>
      <c r="O70" s="1" t="n"/>
      <c r="P70" s="1" t="n"/>
      <c r="Q70" s="1" t="n"/>
      <c r="R70" s="1" t="n"/>
      <c r="S70" s="1" t="n"/>
      <c r="T70" s="1" t="n"/>
      <c r="U70" s="1" t="n"/>
      <c r="V70" s="1" t="n"/>
      <c r="W70" s="1" t="n"/>
      <c r="X70" s="1" t="n"/>
      <c r="Y70" s="1" t="n"/>
      <c r="Z70" s="1" t="n"/>
    </row>
    <row r="71" ht="15.75" customHeight="1" s="311">
      <c r="A71" s="1" t="n"/>
      <c r="B71" s="226" t="n"/>
      <c r="C71" s="227" t="n"/>
      <c r="D71" s="12" t="n"/>
      <c r="E71" s="12" t="n"/>
      <c r="F71" s="12" t="n"/>
      <c r="G71" s="12" t="n"/>
      <c r="H71" s="227" t="n"/>
      <c r="I71" s="12" t="n"/>
      <c r="J71" s="12" t="n"/>
      <c r="K71" s="12" t="n"/>
      <c r="L71" s="208" t="n"/>
      <c r="M71" s="208" t="n"/>
      <c r="N71" s="395" t="n"/>
      <c r="O71" s="1" t="n"/>
      <c r="P71" s="1" t="n"/>
      <c r="Q71" s="1" t="n"/>
      <c r="R71" s="1" t="n"/>
      <c r="S71" s="1" t="n"/>
      <c r="T71" s="1" t="n"/>
      <c r="U71" s="1" t="n"/>
      <c r="V71" s="1" t="n"/>
      <c r="W71" s="1" t="n"/>
      <c r="X71" s="1" t="n"/>
      <c r="Y71" s="1" t="n"/>
      <c r="Z71" s="1" t="n"/>
    </row>
    <row r="72" ht="15.75" customHeight="1" s="311">
      <c r="A72" s="1" t="n"/>
      <c r="B72" s="226" t="n"/>
      <c r="C72" s="227" t="n"/>
      <c r="D72" s="12" t="n"/>
      <c r="E72" s="12" t="n"/>
      <c r="F72" s="12" t="n"/>
      <c r="G72" s="12" t="n"/>
      <c r="H72" s="227" t="n"/>
      <c r="I72" s="12" t="n"/>
      <c r="J72" s="12" t="n"/>
      <c r="K72" s="12" t="n"/>
      <c r="L72" s="208" t="n"/>
      <c r="M72" s="208" t="n"/>
      <c r="N72" s="395" t="n"/>
      <c r="O72" s="1" t="n"/>
      <c r="P72" s="1" t="n"/>
      <c r="Q72" s="1" t="n"/>
      <c r="R72" s="1" t="n"/>
      <c r="S72" s="1" t="n"/>
      <c r="T72" s="1" t="n"/>
      <c r="U72" s="1" t="n"/>
      <c r="V72" s="1" t="n"/>
      <c r="W72" s="1" t="n"/>
      <c r="X72" s="1" t="n"/>
      <c r="Y72" s="1" t="n"/>
      <c r="Z72" s="1" t="n"/>
    </row>
    <row r="73" ht="15.75" customHeight="1" s="311">
      <c r="A73" s="1" t="n"/>
      <c r="B73" s="226" t="n"/>
      <c r="C73" s="227" t="n"/>
      <c r="D73" s="12" t="n"/>
      <c r="E73" s="12" t="n"/>
      <c r="F73" s="12" t="n"/>
      <c r="G73" s="12" t="n"/>
      <c r="H73" s="227" t="n"/>
      <c r="I73" s="12" t="n"/>
      <c r="J73" s="12" t="n"/>
      <c r="K73" s="12" t="n"/>
      <c r="L73" s="208" t="n"/>
      <c r="M73" s="208" t="n"/>
      <c r="N73" s="395" t="n"/>
      <c r="O73" s="1" t="n"/>
      <c r="P73" s="1" t="n"/>
      <c r="Q73" s="1" t="n"/>
      <c r="R73" s="1" t="n"/>
      <c r="S73" s="1" t="n"/>
      <c r="T73" s="1" t="n"/>
      <c r="U73" s="1" t="n"/>
      <c r="V73" s="1" t="n"/>
      <c r="W73" s="1" t="n"/>
      <c r="X73" s="1" t="n"/>
      <c r="Y73" s="1" t="n"/>
      <c r="Z73" s="1" t="n"/>
    </row>
    <row r="74" ht="15.75" customHeight="1" s="311">
      <c r="A74" s="1" t="n"/>
      <c r="B74" s="226" t="n"/>
      <c r="C74" s="227" t="n"/>
      <c r="D74" s="12" t="n"/>
      <c r="E74" s="12" t="n"/>
      <c r="F74" s="12" t="n"/>
      <c r="G74" s="12" t="n"/>
      <c r="H74" s="227" t="n"/>
      <c r="I74" s="12" t="n"/>
      <c r="J74" s="12" t="n"/>
      <c r="K74" s="12" t="n"/>
      <c r="L74" s="208" t="n"/>
      <c r="M74" s="208" t="n"/>
      <c r="N74" s="395" t="n"/>
      <c r="O74" s="1" t="n"/>
      <c r="P74" s="1" t="n"/>
      <c r="Q74" s="1" t="n"/>
      <c r="R74" s="1" t="n"/>
      <c r="S74" s="1" t="n"/>
      <c r="T74" s="1" t="n"/>
      <c r="U74" s="1" t="n"/>
      <c r="V74" s="1" t="n"/>
      <c r="W74" s="1" t="n"/>
      <c r="X74" s="1" t="n"/>
      <c r="Y74" s="1" t="n"/>
      <c r="Z74" s="1" t="n"/>
    </row>
    <row r="75" ht="15.75" customHeight="1" s="31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1">
      <c r="A76" s="1" t="n"/>
      <c r="B76" s="4" t="inlineStr">
        <is>
          <t>Fotos guardadas</t>
        </is>
      </c>
      <c r="C76" s="219">
        <f>COUNT($C$54:$C$74)</f>
        <v/>
      </c>
      <c r="D76" s="229">
        <f t="array" ref="D76">IF($C$76&lt;2,"🕐 Guarda al menos dos fotos para comparar","Comparando "&amp;TEXT(INDEX($B$54:$B$74,$C$76),"DD/MM/YYYY")&amp;" contra "&amp;TEXT(INDEX($B$54:$B$74,$C$76-1),"DD/MM/YYYY"))</f>
        <v/>
      </c>
      <c r="O76" s="1" t="n"/>
      <c r="P76" s="1" t="n"/>
      <c r="Q76" s="1" t="n"/>
      <c r="R76" s="1" t="n"/>
      <c r="S76" s="1" t="n"/>
      <c r="T76" s="1" t="n"/>
      <c r="U76" s="1" t="n"/>
      <c r="V76" s="1" t="n"/>
      <c r="W76" s="1" t="n"/>
      <c r="X76" s="1" t="n"/>
      <c r="Y76" s="1" t="n"/>
      <c r="Z76" s="1" t="n"/>
    </row>
    <row r="77" ht="15.75" customHeight="1" s="31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9.5" customHeight="1" s="311">
      <c r="A78" s="1" t="n"/>
      <c r="B78" s="11" t="inlineStr">
        <is>
          <t>Indicador</t>
        </is>
      </c>
      <c r="C78" s="11" t="inlineStr">
        <is>
          <t>Foto anterior</t>
        </is>
      </c>
      <c r="D78" s="11" t="inlineStr">
        <is>
          <t>Última foto</t>
        </is>
      </c>
      <c r="E78" s="11" t="inlineStr">
        <is>
          <t>Variación</t>
        </is>
      </c>
      <c r="F78" s="11" t="inlineStr">
        <is>
          <t>Tendencia</t>
        </is>
      </c>
      <c r="G78" s="403" t="n"/>
      <c r="H78" s="403" t="n"/>
      <c r="I78" s="403" t="n"/>
      <c r="J78" s="403" t="n"/>
      <c r="K78" s="403" t="n"/>
      <c r="L78" s="403" t="n"/>
      <c r="M78" s="403" t="n"/>
      <c r="N78" s="395" t="n"/>
      <c r="O78" s="1" t="n"/>
      <c r="P78" s="1" t="n"/>
      <c r="Q78" s="1" t="n"/>
      <c r="R78" s="1" t="n"/>
      <c r="S78" s="1" t="n"/>
      <c r="T78" s="1" t="n"/>
      <c r="U78" s="1" t="n"/>
      <c r="V78" s="1" t="n"/>
      <c r="W78" s="1" t="n"/>
      <c r="X78" s="1" t="n"/>
      <c r="Y78" s="1" t="n"/>
      <c r="Z78" s="1" t="n"/>
    </row>
    <row r="79" ht="15.75" customHeight="1" s="311">
      <c r="A79" s="1" t="n"/>
      <c r="B79" s="4" t="inlineStr">
        <is>
          <t>Puntuación global</t>
        </is>
      </c>
      <c r="C79" s="230">
        <f t="array" ref="C79">IF($C$76&lt;2,"",INDEX(C$54:C$74,$C$76-1))</f>
        <v/>
      </c>
      <c r="D79" s="230">
        <f t="array" ref="D79">IF($C$76=0,"",INDEX(C$54:C$74,$C$76))</f>
        <v/>
      </c>
      <c r="E79" s="230">
        <f>IF($C$76&lt;2,"",N($D79)-N($C79))</f>
        <v/>
      </c>
      <c r="F79" s="15">
        <f>IF($C$76&lt;2,"🕐 Faltan fotos",IF(ROUND(N($E79),4)=0,"➡️ Estable",IF(N($E79)*1&gt;0,"▲ MEJORA","▼ EMPEORA")))</f>
        <v/>
      </c>
      <c r="G79" s="1" t="n"/>
      <c r="O79" s="1" t="n"/>
      <c r="P79" s="1" t="n"/>
      <c r="Q79" s="1" t="n"/>
      <c r="R79" s="1" t="n"/>
      <c r="S79" s="1" t="n"/>
      <c r="T79" s="1" t="n"/>
      <c r="U79" s="1" t="n"/>
      <c r="V79" s="1" t="n"/>
      <c r="W79" s="1" t="n"/>
      <c r="X79" s="1" t="n"/>
      <c r="Y79" s="1" t="n"/>
      <c r="Z79" s="1" t="n"/>
    </row>
    <row r="80" ht="15.75" customHeight="1" s="311">
      <c r="A80" s="1" t="n"/>
      <c r="B80" s="4" t="inlineStr">
        <is>
          <t>Patrimonio neto</t>
        </is>
      </c>
      <c r="C80" s="13">
        <f t="array" ref="C80">IF($C$76&lt;2,"",INDEX(D$54:D$74,$C$76-1))</f>
        <v/>
      </c>
      <c r="D80" s="13">
        <f t="array" ref="D80">IF($C$76=0,"",INDEX(D$54:D$74,$C$76))</f>
        <v/>
      </c>
      <c r="E80" s="13">
        <f>IF($C$76&lt;2,"",N($D80)-N($C80))</f>
        <v/>
      </c>
      <c r="F80" s="15">
        <f>IF($C$76&lt;2,"🕐 Faltan fotos",IF(ROUND(N($E80),4)=0,"➡️ Estable",IF(N($E80)*1&gt;0,"▲ MEJORA","▼ EMPEORA")))</f>
        <v/>
      </c>
      <c r="G80" s="1" t="n"/>
      <c r="O80" s="1" t="n"/>
      <c r="P80" s="1" t="n"/>
      <c r="Q80" s="1" t="n"/>
      <c r="R80" s="1" t="n"/>
      <c r="S80" s="1" t="n"/>
      <c r="T80" s="1" t="n"/>
      <c r="U80" s="1" t="n"/>
      <c r="V80" s="1" t="n"/>
      <c r="W80" s="1" t="n"/>
      <c r="X80" s="1" t="n"/>
      <c r="Y80" s="1" t="n"/>
      <c r="Z80" s="1" t="n"/>
    </row>
    <row r="81" ht="15.75" customHeight="1" s="311">
      <c r="A81" s="1" t="n"/>
      <c r="B81" s="4" t="inlineStr">
        <is>
          <t>Deuda cara</t>
        </is>
      </c>
      <c r="C81" s="13">
        <f t="array" ref="C81">IF($C$76&lt;2,"",INDEX(F$54:F$74,$C$76-1))</f>
        <v/>
      </c>
      <c r="D81" s="13">
        <f t="array" ref="D81">IF($C$76=0,"",INDEX(F$54:F$74,$C$76))</f>
        <v/>
      </c>
      <c r="E81" s="13">
        <f>IF($C$76&lt;2,"",N($D81)-N($C81))</f>
        <v/>
      </c>
      <c r="F81" s="15">
        <f>IF($C$76&lt;2,"🕐 Faltan fotos",IF(ROUND(N($E81),4)=0,"➡️ Estable",IF(N($E81)*-1&gt;0,"▲ MEJORA","▼ EMPEORA")))</f>
        <v/>
      </c>
      <c r="G81" s="1" t="n"/>
      <c r="O81" s="1" t="n"/>
      <c r="P81" s="1" t="n"/>
      <c r="Q81" s="1" t="n"/>
      <c r="R81" s="1" t="n"/>
      <c r="S81" s="1" t="n"/>
      <c r="T81" s="1" t="n"/>
      <c r="U81" s="1" t="n"/>
      <c r="V81" s="1" t="n"/>
      <c r="W81" s="1" t="n"/>
      <c r="X81" s="1" t="n"/>
      <c r="Y81" s="1" t="n"/>
      <c r="Z81" s="1" t="n"/>
    </row>
    <row r="82" ht="15.75" customHeight="1" s="311">
      <c r="A82" s="1" t="n"/>
      <c r="B82" s="4" t="inlineStr">
        <is>
          <t>Disponible</t>
        </is>
      </c>
      <c r="C82" s="13">
        <f t="array" ref="C82">IF($C$76&lt;2,"",INDEX(G$54:G$74,$C$76-1))</f>
        <v/>
      </c>
      <c r="D82" s="13">
        <f t="array" ref="D82">IF($C$76=0,"",INDEX(G$54:G$74,$C$76))</f>
        <v/>
      </c>
      <c r="E82" s="13">
        <f>IF($C$76&lt;2,"",N($D82)-N($C82))</f>
        <v/>
      </c>
      <c r="F82" s="15">
        <f>IF($C$76&lt;2,"🕐 Faltan fotos",IF(ROUND(N($E82),4)=0,"➡️ Estable",IF(N($E82)*1&gt;0,"▲ MEJORA","▼ EMPEORA")))</f>
        <v/>
      </c>
      <c r="G82" s="1" t="n"/>
      <c r="O82" s="1" t="n"/>
      <c r="P82" s="1" t="n"/>
      <c r="Q82" s="1" t="n"/>
      <c r="R82" s="1" t="n"/>
      <c r="S82" s="1" t="n"/>
      <c r="T82" s="1" t="n"/>
      <c r="U82" s="1" t="n"/>
      <c r="V82" s="1" t="n"/>
      <c r="W82" s="1" t="n"/>
      <c r="X82" s="1" t="n"/>
      <c r="Y82" s="1" t="n"/>
      <c r="Z82" s="1" t="n"/>
    </row>
    <row r="83" ht="15.75" customHeight="1" s="311">
      <c r="A83" s="1" t="n"/>
      <c r="B83" s="4" t="inlineStr">
        <is>
          <t>Colchón (meses)</t>
        </is>
      </c>
      <c r="C83" s="230">
        <f t="array" ref="C83">IF($C$76&lt;2,"",INDEX(H$54:H$74,$C$76-1))</f>
        <v/>
      </c>
      <c r="D83" s="230">
        <f t="array" ref="D83">IF($C$76=0,"",INDEX(H$54:H$74,$C$76))</f>
        <v/>
      </c>
      <c r="E83" s="230">
        <f>IF($C$76&lt;2,"",N($D83)-N($C83))</f>
        <v/>
      </c>
      <c r="F83" s="15">
        <f>IF($C$76&lt;2,"🕐 Faltan fotos",IF(ROUND(N($E83),4)=0,"➡️ Estable",IF(N($E83)*1&gt;0,"▲ MEJORA","▼ EMPEORA")))</f>
        <v/>
      </c>
      <c r="G83" s="1" t="n"/>
      <c r="O83" s="1" t="n"/>
      <c r="P83" s="1" t="n"/>
      <c r="Q83" s="1" t="n"/>
      <c r="R83" s="1" t="n"/>
      <c r="S83" s="1" t="n"/>
      <c r="T83" s="1" t="n"/>
      <c r="U83" s="1" t="n"/>
      <c r="V83" s="1" t="n"/>
      <c r="W83" s="1" t="n"/>
      <c r="X83" s="1" t="n"/>
      <c r="Y83" s="1" t="n"/>
      <c r="Z83" s="1" t="n"/>
    </row>
    <row r="84" ht="15.75" customHeight="1" s="311">
      <c r="A84" s="1" t="n"/>
      <c r="B84" s="4" t="inlineStr">
        <is>
          <t>Vencido duro</t>
        </is>
      </c>
      <c r="C84" s="13">
        <f t="array" ref="C84">IF($C$76&lt;2,"",INDEX(I$54:I$74,$C$76-1))</f>
        <v/>
      </c>
      <c r="D84" s="13">
        <f t="array" ref="D84">IF($C$76=0,"",INDEX(I$54:I$74,$C$76))</f>
        <v/>
      </c>
      <c r="E84" s="13">
        <f>IF($C$76&lt;2,"",N($D84)-N($C84))</f>
        <v/>
      </c>
      <c r="F84" s="15">
        <f>IF($C$76&lt;2,"🕐 Faltan fotos",IF(ROUND(N($E84),4)=0,"➡️ Estable",IF(N($E84)*-1&gt;0,"▲ MEJORA","▼ EMPEORA")))</f>
        <v/>
      </c>
      <c r="G84" s="1" t="n"/>
      <c r="O84" s="1" t="n"/>
      <c r="P84" s="1" t="n"/>
      <c r="Q84" s="1" t="n"/>
      <c r="R84" s="1" t="n"/>
      <c r="S84" s="1" t="n"/>
      <c r="T84" s="1" t="n"/>
      <c r="U84" s="1" t="n"/>
      <c r="V84" s="1" t="n"/>
      <c r="W84" s="1" t="n"/>
      <c r="X84" s="1" t="n"/>
      <c r="Y84" s="1" t="n"/>
      <c r="Z84" s="1" t="n"/>
    </row>
    <row r="85" ht="15.75" customHeight="1" s="311">
      <c r="A85" s="1" t="n"/>
      <c r="B85" s="4" t="inlineStr">
        <is>
          <t>Caja real al mes</t>
        </is>
      </c>
      <c r="C85" s="13">
        <f t="array" ref="C85">IF($C$76&lt;2,"",INDEX(K$54:K$74,$C$76-1))</f>
        <v/>
      </c>
      <c r="D85" s="13">
        <f t="array" ref="D85">IF($C$76=0,"",INDEX(K$54:K$74,$C$76))</f>
        <v/>
      </c>
      <c r="E85" s="13">
        <f>IF($C$76&lt;2,"",N($D85)-N($C85))</f>
        <v/>
      </c>
      <c r="F85" s="15">
        <f>IF($C$76&lt;2,"🕐 Faltan fotos",IF(ROUND(N($E85),4)=0,"➡️ Estable",IF(N($E85)*1&gt;0,"▲ MEJORA","▼ EMPEORA")))</f>
        <v/>
      </c>
      <c r="G85" s="1" t="n"/>
      <c r="O85" s="1" t="n"/>
      <c r="P85" s="1" t="n"/>
      <c r="Q85" s="1" t="n"/>
      <c r="R85" s="1" t="n"/>
      <c r="S85" s="1" t="n"/>
      <c r="T85" s="1" t="n"/>
      <c r="U85" s="1" t="n"/>
      <c r="V85" s="1" t="n"/>
      <c r="W85" s="1" t="n"/>
      <c r="X85" s="1" t="n"/>
      <c r="Y85" s="1" t="n"/>
      <c r="Z85" s="1" t="n"/>
    </row>
    <row r="86" ht="15.75" customHeight="1" s="31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33.75" customHeight="1" s="311">
      <c r="A87" s="1" t="n"/>
      <c r="B87" s="99">
        <f>IF($C$76&lt;2,"🕐 Guarda dos fotos y aquí aparecerá el veredicto de la evolución.",IF(COUNTIF($F$79:$F$85,"▲ MEJORA")&gt;COUNTIF($F$79:$F$85,"▼ EMPEORA"),"✅ VAS MEJOR que en el diagnóstico anterior: "&amp;COUNTIF($F$79:$F$85,"▲ MEJORA")&amp;" de 7 indicadores mejoran.",IF(COUNTIF($F$79:$F$85,"▼ EMPEORA")&gt;COUNTIF($F$79:$F$85,"▲ MEJORA"),"🔴 VAS PEOR que en el diagnóstico anterior: "&amp;COUNTIF($F$79:$F$85,"▼ EMPEORA")&amp;" de 7 indicadores empeoran. Mira cuáles y ataca ese primero.","🟡 SIN CAMBIOS CLAROS: tantos indicadores mejoran como empeoran.")))</f>
        <v/>
      </c>
      <c r="O87" s="1" t="n"/>
      <c r="P87" s="1" t="n"/>
      <c r="Q87" s="1" t="n"/>
      <c r="R87" s="1" t="n"/>
      <c r="S87" s="1" t="n"/>
      <c r="T87" s="1" t="n"/>
      <c r="U87" s="1" t="n"/>
      <c r="V87" s="1" t="n"/>
      <c r="W87" s="1" t="n"/>
      <c r="X87" s="1" t="n"/>
      <c r="Y87" s="1" t="n"/>
      <c r="Z87" s="1" t="n"/>
    </row>
    <row r="88" ht="15.75" customHeight="1" s="31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75">
    <mergeCell ref="F15:N15"/>
    <mergeCell ref="B37:N37"/>
    <mergeCell ref="G81:N81"/>
    <mergeCell ref="F21:N21"/>
    <mergeCell ref="M68:N68"/>
    <mergeCell ref="F20:N20"/>
    <mergeCell ref="M59:N59"/>
    <mergeCell ref="M55:N55"/>
    <mergeCell ref="B40:N40"/>
    <mergeCell ref="F18:N18"/>
    <mergeCell ref="M52:N52"/>
    <mergeCell ref="M67:N67"/>
    <mergeCell ref="F26:N26"/>
    <mergeCell ref="E7:N7"/>
    <mergeCell ref="F17:N17"/>
    <mergeCell ref="B33:N33"/>
    <mergeCell ref="B30:N30"/>
    <mergeCell ref="B6:N6"/>
    <mergeCell ref="M71:N71"/>
    <mergeCell ref="B51:N51"/>
    <mergeCell ref="M64:N64"/>
    <mergeCell ref="M70:N70"/>
    <mergeCell ref="B36:N36"/>
    <mergeCell ref="M60:N60"/>
    <mergeCell ref="M73:N73"/>
    <mergeCell ref="B45:N45"/>
    <mergeCell ref="M69:N69"/>
    <mergeCell ref="F23:N23"/>
    <mergeCell ref="G82:N82"/>
    <mergeCell ref="B41:N41"/>
    <mergeCell ref="B32:N32"/>
    <mergeCell ref="B35:N35"/>
    <mergeCell ref="B50:N50"/>
    <mergeCell ref="F22:N22"/>
    <mergeCell ref="M54:N54"/>
    <mergeCell ref="F13:N13"/>
    <mergeCell ref="F27:N27"/>
    <mergeCell ref="D76:N76"/>
    <mergeCell ref="B47:N47"/>
    <mergeCell ref="M74:N74"/>
    <mergeCell ref="B46:N46"/>
    <mergeCell ref="M65:N65"/>
    <mergeCell ref="G83:N83"/>
    <mergeCell ref="B2:G3"/>
    <mergeCell ref="B31:N31"/>
    <mergeCell ref="E8:N8"/>
    <mergeCell ref="M56:N56"/>
    <mergeCell ref="B43:N43"/>
    <mergeCell ref="B12:N12"/>
    <mergeCell ref="F14:N14"/>
    <mergeCell ref="G80:N80"/>
    <mergeCell ref="B39:N39"/>
    <mergeCell ref="M61:N61"/>
    <mergeCell ref="G79:N79"/>
    <mergeCell ref="B42:N42"/>
    <mergeCell ref="F78:N78"/>
    <mergeCell ref="F16:N16"/>
    <mergeCell ref="M57:N57"/>
    <mergeCell ref="F19:N19"/>
    <mergeCell ref="F25:N25"/>
    <mergeCell ref="B1:N1"/>
    <mergeCell ref="M62:N62"/>
    <mergeCell ref="M72:N72"/>
    <mergeCell ref="G85:N85"/>
    <mergeCell ref="M66:N66"/>
    <mergeCell ref="B44:N44"/>
    <mergeCell ref="M63:N63"/>
    <mergeCell ref="G84:N84"/>
    <mergeCell ref="B29:N29"/>
    <mergeCell ref="M53:N53"/>
    <mergeCell ref="B87:N87"/>
    <mergeCell ref="B10:N10"/>
    <mergeCell ref="B34:N34"/>
    <mergeCell ref="M58:N58"/>
    <mergeCell ref="F24:N24"/>
  </mergeCells>
  <conditionalFormatting sqref="E14:E27">
    <cfRule type="expression" priority="1" dxfId="10">
      <formula>$E14="✅"</formula>
    </cfRule>
    <cfRule type="expression" priority="2" dxfId="2">
      <formula>$E14="🟡"</formula>
    </cfRule>
    <cfRule type="expression" priority="3" dxfId="11">
      <formula>$E14="🔴"</formula>
    </cfRule>
  </conditionalFormatting>
  <conditionalFormatting sqref="F79:F85">
    <cfRule type="expression" priority="4" dxfId="12">
      <formula>ISNUMBER(SEARCH("MEJORA",$F79))</formula>
    </cfRule>
    <cfRule type="expression" priority="5" dxfId="0">
      <formula>ISNUMBER(SEARCH("EMPEORA",$F79))</formula>
    </cfRule>
  </conditionalFormatting>
  <pageMargins left="0.75" right="0.75" top="1" bottom="1" header="0" footer="0"/>
  <pageSetup orientation="landscape"/>
</worksheet>
</file>

<file path=xl/worksheets/sheet14.xml><?xml version="1.0" encoding="utf-8"?>
<worksheet xmlns="http://schemas.openxmlformats.org/spreadsheetml/2006/main">
  <sheetPr>
    <tabColor rgb="FF2D7FF9"/>
    <outlinePr summaryBelow="1" summaryRight="1"/>
    <pageSetUpPr/>
  </sheetPr>
  <dimension ref="A1:Z1000"/>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5" customWidth="1" style="311" min="1" max="1"/>
    <col width="52" customWidth="1" style="311" min="2" max="2"/>
    <col width="13" customWidth="1" style="311" min="3" max="3"/>
    <col width="15" customWidth="1" style="311" min="4" max="8"/>
    <col width="62" customWidth="1" style="311" min="9" max="9"/>
  </cols>
  <sheetData>
    <row r="1" ht="21.75" customHeight="1" s="311">
      <c r="A1" s="145" t="n"/>
      <c r="B1" s="19" t="inlineStr">
        <is>
          <t>MOTOR DE ESCENARIOS</t>
        </is>
      </c>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row>
    <row r="2" ht="32.25" customHeight="1" s="311">
      <c r="A2" s="145" t="n"/>
      <c r="B2" s="20" t="inlineStr">
        <is>
          <t>Todo lo que aquí es editable (fondo crema) alimenta el Panel, la Comparativa y los gráficos. Ningún porcentaje vive dentro de una fórmula: todos son celdas que puedes cambiar.</t>
        </is>
      </c>
      <c r="C2" s="145" t="n"/>
      <c r="D2" s="145" t="n"/>
      <c r="E2" s="145" t="n"/>
      <c r="F2" s="145" t="n"/>
      <c r="G2" s="145" t="n"/>
      <c r="H2" s="145" t="n"/>
      <c r="I2" s="145" t="n"/>
      <c r="J2" s="145" t="n"/>
      <c r="K2" s="145" t="n"/>
      <c r="L2" s="145" t="n"/>
      <c r="M2" s="145" t="n"/>
      <c r="N2" s="145" t="n"/>
      <c r="O2" s="145" t="n"/>
      <c r="P2" s="145" t="n"/>
      <c r="Q2" s="145" t="n"/>
      <c r="R2" s="145" t="n"/>
      <c r="S2" s="145" t="n"/>
      <c r="T2" s="145" t="n"/>
      <c r="U2" s="145" t="n"/>
      <c r="V2" s="145" t="n"/>
      <c r="W2" s="145" t="n"/>
      <c r="X2" s="145" t="n"/>
      <c r="Y2" s="145" t="n"/>
      <c r="Z2" s="145" t="n"/>
    </row>
    <row r="3">
      <c r="A3" s="145" t="n"/>
      <c r="B3" s="145" t="n"/>
      <c r="C3" s="145" t="n"/>
      <c r="D3" s="145" t="n"/>
      <c r="E3" s="145" t="n"/>
      <c r="F3" s="145" t="n"/>
      <c r="G3" s="145" t="n"/>
      <c r="H3" s="145" t="n"/>
      <c r="I3" s="145" t="n"/>
      <c r="J3" s="145" t="n"/>
      <c r="K3" s="145" t="n"/>
      <c r="L3" s="145" t="n"/>
      <c r="M3" s="145" t="n"/>
      <c r="N3" s="145" t="n"/>
      <c r="O3" s="145" t="n"/>
      <c r="P3" s="145" t="n"/>
      <c r="Q3" s="145" t="n"/>
      <c r="R3" s="145" t="n"/>
      <c r="S3" s="145" t="n"/>
      <c r="T3" s="145" t="n"/>
      <c r="U3" s="145" t="n"/>
      <c r="V3" s="145" t="n"/>
      <c r="W3" s="145" t="n"/>
      <c r="X3" s="145" t="n"/>
      <c r="Y3" s="145" t="n"/>
      <c r="Z3" s="145" t="n"/>
    </row>
    <row r="4" ht="33.75" customHeight="1" s="311">
      <c r="A4" s="33" t="inlineStr">
        <is>
          <t>#</t>
        </is>
      </c>
      <c r="B4" s="33" t="inlineStr">
        <is>
          <t>Parámetro</t>
        </is>
      </c>
      <c r="C4" s="33" t="inlineStr">
        <is>
          <t>Unidad</t>
        </is>
      </c>
      <c r="D4" s="33" t="inlineStr">
        <is>
          <t>Actual (hoy)</t>
        </is>
      </c>
      <c r="E4" s="33" t="inlineStr">
        <is>
          <t>Irlanda</t>
        </is>
      </c>
      <c r="F4" s="33" t="inlineStr">
        <is>
          <t>Madrid</t>
        </is>
      </c>
      <c r="G4" s="33" t="inlineStr">
        <is>
          <t>La Coruña</t>
        </is>
      </c>
      <c r="H4" s="33" t="inlineStr">
        <is>
          <t>Personalizado</t>
        </is>
      </c>
      <c r="I4" s="33" t="inlineStr">
        <is>
          <t>Notas</t>
        </is>
      </c>
      <c r="J4" s="145" t="n"/>
      <c r="K4" s="145" t="n"/>
      <c r="L4" s="145" t="n"/>
      <c r="M4" s="145" t="n"/>
      <c r="N4" s="145" t="n"/>
      <c r="O4" s="145" t="n"/>
      <c r="P4" s="145" t="n"/>
      <c r="Q4" s="145" t="n"/>
      <c r="R4" s="145" t="n"/>
      <c r="S4" s="145" t="n"/>
      <c r="T4" s="145" t="n"/>
      <c r="U4" s="145" t="n"/>
      <c r="V4" s="145" t="n"/>
      <c r="W4" s="145" t="n"/>
      <c r="X4" s="145" t="n"/>
      <c r="Y4" s="145" t="n"/>
      <c r="Z4" s="145" t="n"/>
    </row>
    <row r="5" ht="21.75" customHeight="1" s="311">
      <c r="A5" s="21" t="inlineStr">
        <is>
          <t>1.  TU INGRESO Y LA REGLA DE LOS 5 PUNTOS</t>
        </is>
      </c>
      <c r="B5" s="22" t="n"/>
      <c r="C5" s="22" t="n"/>
      <c r="D5" s="22" t="n"/>
      <c r="E5" s="22" t="n"/>
      <c r="F5" s="22" t="n"/>
      <c r="G5" s="22" t="n"/>
      <c r="H5" s="22" t="n"/>
      <c r="I5" s="22" t="n"/>
      <c r="J5" s="145" t="n"/>
      <c r="K5" s="145" t="n"/>
      <c r="L5" s="145" t="n"/>
      <c r="M5" s="145" t="n"/>
      <c r="N5" s="145" t="n"/>
      <c r="O5" s="145" t="n"/>
      <c r="P5" s="145" t="n"/>
      <c r="Q5" s="145" t="n"/>
      <c r="R5" s="145" t="n"/>
      <c r="S5" s="145" t="n"/>
      <c r="T5" s="145" t="n"/>
      <c r="U5" s="145" t="n"/>
      <c r="V5" s="145" t="n"/>
      <c r="W5" s="145" t="n"/>
      <c r="X5" s="145" t="n"/>
      <c r="Y5" s="145" t="n"/>
      <c r="Z5" s="145" t="n"/>
    </row>
    <row r="6" ht="23.25" customHeight="1" s="311">
      <c r="A6" s="41" t="n"/>
      <c r="B6" s="232" t="inlineStr">
        <is>
          <t>Ingreso mensual neto</t>
        </is>
      </c>
      <c r="C6" s="41" t="inlineStr">
        <is>
          <t>€</t>
        </is>
      </c>
      <c r="D6" s="113" t="n">
        <v>0</v>
      </c>
      <c r="E6" s="113" t="n">
        <v>2400</v>
      </c>
      <c r="F6" s="113" t="n">
        <v>1850</v>
      </c>
      <c r="G6" s="113" t="n">
        <v>1456</v>
      </c>
      <c r="H6" s="113" t="n">
        <v>3000</v>
      </c>
      <c r="I6" s="20" t="inlineStr">
        <is>
          <t>"Actual" lo he rellenado con tu nómina real de 2.966 € del libro de finanzas personales, para que puedas comparar tu situación de hoy con las tres opciones. Irlanda / Madrid / La Coruña vienen de tu archivo.</t>
        </is>
      </c>
      <c r="J6" s="145" t="n"/>
      <c r="K6" s="145" t="n"/>
      <c r="L6" s="145" t="n"/>
      <c r="M6" s="145" t="n"/>
      <c r="N6" s="145" t="n"/>
      <c r="O6" s="145" t="n"/>
      <c r="P6" s="145" t="n"/>
      <c r="Q6" s="145" t="n"/>
      <c r="R6" s="145" t="n"/>
      <c r="S6" s="145" t="n"/>
      <c r="T6" s="145" t="n"/>
      <c r="U6" s="145" t="n"/>
      <c r="V6" s="145" t="n"/>
      <c r="W6" s="145" t="n"/>
      <c r="X6" s="145" t="n"/>
      <c r="Y6" s="145" t="n"/>
      <c r="Z6" s="145" t="n"/>
    </row>
    <row r="7" ht="16.5" customHeight="1" s="311">
      <c r="A7" s="41" t="n">
        <v>2</v>
      </c>
      <c r="B7" s="232" t="inlineStr">
        <is>
          <t>% a inversión</t>
        </is>
      </c>
      <c r="C7" s="41" t="inlineStr">
        <is>
          <t>%</t>
        </is>
      </c>
      <c r="D7" s="180" t="n">
        <v>0.14</v>
      </c>
      <c r="E7" s="180" t="n">
        <v>0.14</v>
      </c>
      <c r="F7" s="180" t="n">
        <v>0.14</v>
      </c>
      <c r="G7" s="180" t="n">
        <v>0.14</v>
      </c>
      <c r="H7" s="180" t="n">
        <v>0.14</v>
      </c>
      <c r="I7" s="20" t="inlineStr">
        <is>
          <t>En tu archivo estaba escrito dentro de la fórmula (C3*0,14). Ahora es editable.</t>
        </is>
      </c>
      <c r="J7" s="145" t="n"/>
      <c r="K7" s="145" t="n"/>
      <c r="L7" s="145" t="n"/>
      <c r="M7" s="145" t="n"/>
      <c r="N7" s="145" t="n"/>
      <c r="O7" s="145" t="n"/>
      <c r="P7" s="145" t="n"/>
      <c r="Q7" s="145" t="n"/>
      <c r="R7" s="145" t="n"/>
      <c r="S7" s="145" t="n"/>
      <c r="T7" s="145" t="n"/>
      <c r="U7" s="145" t="n"/>
      <c r="V7" s="145" t="n"/>
      <c r="W7" s="145" t="n"/>
      <c r="X7" s="145" t="n"/>
      <c r="Y7" s="145" t="n"/>
      <c r="Z7" s="145" t="n"/>
    </row>
    <row r="8" ht="16.5" customHeight="1" s="311">
      <c r="A8" s="41" t="n">
        <v>3</v>
      </c>
      <c r="B8" s="232" t="inlineStr">
        <is>
          <t>% a ahorro / fondo de emergencia</t>
        </is>
      </c>
      <c r="C8" s="41" t="inlineStr">
        <is>
          <t>%</t>
        </is>
      </c>
      <c r="D8" s="180" t="n">
        <v>0.06</v>
      </c>
      <c r="E8" s="180" t="n">
        <v>0.06</v>
      </c>
      <c r="F8" s="180" t="n">
        <v>0.06</v>
      </c>
      <c r="G8" s="180" t="n">
        <v>0.06</v>
      </c>
      <c r="H8" s="180" t="n">
        <v>0.06</v>
      </c>
      <c r="I8" s="145" t="n"/>
      <c r="J8" s="145" t="n"/>
      <c r="K8" s="145" t="n"/>
      <c r="L8" s="145" t="n"/>
      <c r="M8" s="145" t="n"/>
      <c r="N8" s="145" t="n"/>
      <c r="O8" s="145" t="n"/>
      <c r="P8" s="145" t="n"/>
      <c r="Q8" s="145" t="n"/>
      <c r="R8" s="145" t="n"/>
      <c r="S8" s="145" t="n"/>
      <c r="T8" s="145" t="n"/>
      <c r="U8" s="145" t="n"/>
      <c r="V8" s="145" t="n"/>
      <c r="W8" s="145" t="n"/>
      <c r="X8" s="145" t="n"/>
      <c r="Y8" s="145" t="n"/>
      <c r="Z8" s="145" t="n"/>
    </row>
    <row r="9" ht="16.5" customHeight="1" s="311">
      <c r="A9" s="41" t="n">
        <v>4</v>
      </c>
      <c r="B9" s="232" t="inlineStr">
        <is>
          <t>% a estilo de vida</t>
        </is>
      </c>
      <c r="C9" s="41" t="inlineStr">
        <is>
          <t>%</t>
        </is>
      </c>
      <c r="D9" s="180" t="n">
        <v>0.3</v>
      </c>
      <c r="E9" s="180" t="n">
        <v>0.3</v>
      </c>
      <c r="F9" s="180" t="n">
        <v>0.3</v>
      </c>
      <c r="G9" s="180" t="n">
        <v>0.3</v>
      </c>
      <c r="H9" s="180" t="n">
        <v>0.3</v>
      </c>
      <c r="I9" s="145" t="n"/>
      <c r="J9" s="145" t="n"/>
      <c r="K9" s="145" t="n"/>
      <c r="L9" s="145" t="n"/>
      <c r="M9" s="145" t="n"/>
      <c r="N9" s="145" t="n"/>
      <c r="O9" s="145" t="n"/>
      <c r="P9" s="145" t="n"/>
      <c r="Q9" s="145" t="n"/>
      <c r="R9" s="145" t="n"/>
      <c r="S9" s="145" t="n"/>
      <c r="T9" s="145" t="n"/>
      <c r="U9" s="145" t="n"/>
      <c r="V9" s="145" t="n"/>
      <c r="W9" s="145" t="n"/>
      <c r="X9" s="145" t="n"/>
      <c r="Y9" s="145" t="n"/>
      <c r="Z9" s="145" t="n"/>
    </row>
    <row r="10" ht="16.5" customHeight="1" s="311">
      <c r="A10" s="41" t="n">
        <v>5</v>
      </c>
      <c r="B10" s="232" t="inlineStr">
        <is>
          <t>% a gastos fijos</t>
        </is>
      </c>
      <c r="C10" s="41" t="inlineStr">
        <is>
          <t>%</t>
        </is>
      </c>
      <c r="D10" s="180" t="n">
        <v>0.5</v>
      </c>
      <c r="E10" s="180" t="n">
        <v>0.5</v>
      </c>
      <c r="F10" s="180" t="n">
        <v>0.5</v>
      </c>
      <c r="G10" s="180" t="n">
        <v>0.5</v>
      </c>
      <c r="H10" s="180" t="n">
        <v>0.5</v>
      </c>
      <c r="I10" s="145" t="n"/>
      <c r="J10" s="145" t="n"/>
      <c r="K10" s="145" t="n"/>
      <c r="L10" s="145" t="n"/>
      <c r="M10" s="145" t="n"/>
      <c r="N10" s="145" t="n"/>
      <c r="O10" s="145" t="n"/>
      <c r="P10" s="145" t="n"/>
      <c r="Q10" s="145" t="n"/>
      <c r="R10" s="145" t="n"/>
      <c r="S10" s="145" t="n"/>
      <c r="T10" s="145" t="n"/>
      <c r="U10" s="145" t="n"/>
      <c r="V10" s="145" t="n"/>
      <c r="W10" s="145" t="n"/>
      <c r="X10" s="145" t="n"/>
      <c r="Y10" s="145" t="n"/>
      <c r="Z10" s="145" t="n"/>
    </row>
    <row r="11" ht="24.75" customHeight="1" s="311">
      <c r="A11" s="41" t="n"/>
      <c r="B11" s="233" t="inlineStr">
        <is>
          <t>CONTROL: los cuatro porcentajes deben sumar 100%</t>
        </is>
      </c>
      <c r="C11" s="41" t="inlineStr">
        <is>
          <t>%</t>
        </is>
      </c>
      <c r="D11" s="77">
        <f>SUM(D7:D10)</f>
        <v/>
      </c>
      <c r="E11" s="77">
        <f>SUM(E7:E10)</f>
        <v/>
      </c>
      <c r="F11" s="77">
        <f>SUM(F7:F10)</f>
        <v/>
      </c>
      <c r="G11" s="77">
        <f>SUM(G7:G10)</f>
        <v/>
      </c>
      <c r="H11" s="77">
        <f>SUM(H7:H10)</f>
        <v/>
      </c>
      <c r="I11" s="20" t="inlineStr">
        <is>
          <t>Si no suma 100% estás dejando parte del ingreso sin asignar (o asignándolo dos veces).</t>
        </is>
      </c>
      <c r="J11" s="145" t="n"/>
      <c r="K11" s="145" t="n"/>
      <c r="L11" s="145" t="n"/>
      <c r="M11" s="145" t="n"/>
      <c r="N11" s="145" t="n"/>
      <c r="O11" s="145" t="n"/>
      <c r="P11" s="145" t="n"/>
      <c r="Q11" s="145" t="n"/>
      <c r="R11" s="145" t="n"/>
      <c r="S11" s="145" t="n"/>
      <c r="T11" s="145" t="n"/>
      <c r="U11" s="145" t="n"/>
      <c r="V11" s="145" t="n"/>
      <c r="W11" s="145" t="n"/>
      <c r="X11" s="145" t="n"/>
      <c r="Y11" s="145" t="n"/>
      <c r="Z11" s="145" t="n"/>
    </row>
    <row r="12">
      <c r="A12" s="145" t="n"/>
      <c r="B12" s="145" t="n"/>
      <c r="C12" s="145" t="n"/>
      <c r="D12" s="145" t="n"/>
      <c r="E12" s="145" t="n"/>
      <c r="F12" s="145" t="n"/>
      <c r="G12" s="145" t="n"/>
      <c r="H12" s="145" t="n"/>
      <c r="I12" s="145" t="n"/>
      <c r="J12" s="145" t="n"/>
      <c r="K12" s="145" t="n"/>
      <c r="L12" s="145" t="n"/>
      <c r="M12" s="145" t="n"/>
      <c r="N12" s="145" t="n"/>
      <c r="O12" s="145" t="n"/>
      <c r="P12" s="145" t="n"/>
      <c r="Q12" s="145" t="n"/>
      <c r="R12" s="145" t="n"/>
      <c r="S12" s="145" t="n"/>
      <c r="T12" s="145" t="n"/>
      <c r="U12" s="145" t="n"/>
      <c r="V12" s="145" t="n"/>
      <c r="W12" s="145" t="n"/>
      <c r="X12" s="145" t="n"/>
      <c r="Y12" s="145" t="n"/>
      <c r="Z12" s="145" t="n"/>
    </row>
    <row r="13" ht="16.5" customHeight="1" s="311">
      <c r="A13" s="41" t="n"/>
      <c r="B13" s="232" t="inlineStr">
        <is>
          <t>Importe a invertir</t>
        </is>
      </c>
      <c r="C13" s="41" t="inlineStr">
        <is>
          <t>€</t>
        </is>
      </c>
      <c r="D13" s="234">
        <f>D6*D7</f>
        <v/>
      </c>
      <c r="E13" s="234">
        <f>E6*E7</f>
        <v/>
      </c>
      <c r="F13" s="234">
        <f>F6*F7</f>
        <v/>
      </c>
      <c r="G13" s="234">
        <f>G6*G7</f>
        <v/>
      </c>
      <c r="H13" s="234">
        <f>H6*H7</f>
        <v/>
      </c>
      <c r="I13" s="145" t="n"/>
      <c r="J13" s="145" t="n"/>
      <c r="K13" s="145" t="n"/>
      <c r="L13" s="145" t="n"/>
      <c r="M13" s="145" t="n"/>
      <c r="N13" s="145" t="n"/>
      <c r="O13" s="145" t="n"/>
      <c r="P13" s="145" t="n"/>
      <c r="Q13" s="145" t="n"/>
      <c r="R13" s="145" t="n"/>
      <c r="S13" s="145" t="n"/>
      <c r="T13" s="145" t="n"/>
      <c r="U13" s="145" t="n"/>
      <c r="V13" s="145" t="n"/>
      <c r="W13" s="145" t="n"/>
      <c r="X13" s="145" t="n"/>
      <c r="Y13" s="145" t="n"/>
      <c r="Z13" s="145" t="n"/>
    </row>
    <row r="14" ht="16.5" customHeight="1" s="311">
      <c r="A14" s="41" t="n"/>
      <c r="B14" s="232" t="inlineStr">
        <is>
          <t>Importe a ahorro (fondo de emergencia)</t>
        </is>
      </c>
      <c r="C14" s="41" t="inlineStr">
        <is>
          <t>€</t>
        </is>
      </c>
      <c r="D14" s="234">
        <f>D6*D8</f>
        <v/>
      </c>
      <c r="E14" s="234">
        <f>E6*E8</f>
        <v/>
      </c>
      <c r="F14" s="234">
        <f>F6*F8</f>
        <v/>
      </c>
      <c r="G14" s="234">
        <f>G6*G8</f>
        <v/>
      </c>
      <c r="H14" s="234">
        <f>H6*H8</f>
        <v/>
      </c>
      <c r="I14" s="145" t="n"/>
      <c r="J14" s="145" t="n"/>
      <c r="K14" s="145" t="n"/>
      <c r="L14" s="145" t="n"/>
      <c r="M14" s="145" t="n"/>
      <c r="N14" s="145" t="n"/>
      <c r="O14" s="145" t="n"/>
      <c r="P14" s="145" t="n"/>
      <c r="Q14" s="145" t="n"/>
      <c r="R14" s="145" t="n"/>
      <c r="S14" s="145" t="n"/>
      <c r="T14" s="145" t="n"/>
      <c r="U14" s="145" t="n"/>
      <c r="V14" s="145" t="n"/>
      <c r="W14" s="145" t="n"/>
      <c r="X14" s="145" t="n"/>
      <c r="Y14" s="145" t="n"/>
      <c r="Z14" s="145" t="n"/>
    </row>
    <row r="15" ht="16.5" customHeight="1" s="311">
      <c r="A15" s="41" t="n"/>
      <c r="B15" s="232" t="inlineStr">
        <is>
          <t>Presupuesto de estilo de vida</t>
        </is>
      </c>
      <c r="C15" s="41" t="inlineStr">
        <is>
          <t>€</t>
        </is>
      </c>
      <c r="D15" s="234">
        <f>D6*D9</f>
        <v/>
      </c>
      <c r="E15" s="234">
        <f>E6*E9</f>
        <v/>
      </c>
      <c r="F15" s="234">
        <f>F6*F9</f>
        <v/>
      </c>
      <c r="G15" s="234">
        <f>G6*G9</f>
        <v/>
      </c>
      <c r="H15" s="234">
        <f>H6*H9</f>
        <v/>
      </c>
      <c r="I15" s="145" t="n"/>
      <c r="J15" s="145" t="n"/>
      <c r="K15" s="145" t="n"/>
      <c r="L15" s="145" t="n"/>
      <c r="M15" s="145" t="n"/>
      <c r="N15" s="145" t="n"/>
      <c r="O15" s="145" t="n"/>
      <c r="P15" s="145" t="n"/>
      <c r="Q15" s="145" t="n"/>
      <c r="R15" s="145" t="n"/>
      <c r="S15" s="145" t="n"/>
      <c r="T15" s="145" t="n"/>
      <c r="U15" s="145" t="n"/>
      <c r="V15" s="145" t="n"/>
      <c r="W15" s="145" t="n"/>
      <c r="X15" s="145" t="n"/>
      <c r="Y15" s="145" t="n"/>
      <c r="Z15" s="145" t="n"/>
    </row>
    <row r="16" ht="16.5" customHeight="1" s="311">
      <c r="A16" s="41" t="n"/>
      <c r="B16" s="232" t="inlineStr">
        <is>
          <t>Presupuesto de gastos fijos</t>
        </is>
      </c>
      <c r="C16" s="41" t="inlineStr">
        <is>
          <t>€</t>
        </is>
      </c>
      <c r="D16" s="234">
        <f>D6*D10</f>
        <v/>
      </c>
      <c r="E16" s="234">
        <f>E6*E10</f>
        <v/>
      </c>
      <c r="F16" s="234">
        <f>F6*F10</f>
        <v/>
      </c>
      <c r="G16" s="234">
        <f>G6*G10</f>
        <v/>
      </c>
      <c r="H16" s="234">
        <f>H6*H10</f>
        <v/>
      </c>
      <c r="I16" s="145" t="n"/>
      <c r="J16" s="145" t="n"/>
      <c r="K16" s="145" t="n"/>
      <c r="L16" s="145" t="n"/>
      <c r="M16" s="145" t="n"/>
      <c r="N16" s="145" t="n"/>
      <c r="O16" s="145" t="n"/>
      <c r="P16" s="145" t="n"/>
      <c r="Q16" s="145" t="n"/>
      <c r="R16" s="145" t="n"/>
      <c r="S16" s="145" t="n"/>
      <c r="T16" s="145" t="n"/>
      <c r="U16" s="145" t="n"/>
      <c r="V16" s="145" t="n"/>
      <c r="W16" s="145" t="n"/>
      <c r="X16" s="145" t="n"/>
      <c r="Y16" s="145" t="n"/>
      <c r="Z16" s="145" t="n"/>
    </row>
    <row r="17" ht="16.5" customHeight="1" s="311">
      <c r="A17" s="36" t="n"/>
      <c r="B17" s="235" t="inlineStr">
        <is>
          <t>TOTAL ASIGNADO</t>
        </is>
      </c>
      <c r="C17" s="36" t="inlineStr">
        <is>
          <t>€</t>
        </is>
      </c>
      <c r="D17" s="68">
        <f>SUM(D13:D16)</f>
        <v/>
      </c>
      <c r="E17" s="68">
        <f>SUM(E13:E16)</f>
        <v/>
      </c>
      <c r="F17" s="68">
        <f>SUM(F13:F16)</f>
        <v/>
      </c>
      <c r="G17" s="68">
        <f>SUM(G13:G16)</f>
        <v/>
      </c>
      <c r="H17" s="68">
        <f>SUM(H13:H16)</f>
        <v/>
      </c>
      <c r="I17" s="145" t="n"/>
      <c r="J17" s="145" t="n"/>
      <c r="K17" s="145" t="n"/>
      <c r="L17" s="145" t="n"/>
      <c r="M17" s="145" t="n"/>
      <c r="N17" s="145" t="n"/>
      <c r="O17" s="145" t="n"/>
      <c r="P17" s="145" t="n"/>
      <c r="Q17" s="145" t="n"/>
      <c r="R17" s="145" t="n"/>
      <c r="S17" s="145" t="n"/>
      <c r="T17" s="145" t="n"/>
      <c r="U17" s="145" t="n"/>
      <c r="V17" s="145" t="n"/>
      <c r="W17" s="145" t="n"/>
      <c r="X17" s="145" t="n"/>
      <c r="Y17" s="145" t="n"/>
      <c r="Z17" s="145" t="n"/>
    </row>
    <row r="18" ht="16.5" customHeight="1" s="311">
      <c r="A18" s="41" t="n"/>
      <c r="B18" s="232" t="inlineStr">
        <is>
          <t>Sin asignar</t>
        </is>
      </c>
      <c r="C18" s="41" t="inlineStr">
        <is>
          <t>€</t>
        </is>
      </c>
      <c r="D18" s="234">
        <f>D6-D17</f>
        <v/>
      </c>
      <c r="E18" s="234">
        <f>E6-E17</f>
        <v/>
      </c>
      <c r="F18" s="234">
        <f>F6-F17</f>
        <v/>
      </c>
      <c r="G18" s="234">
        <f>G6-G17</f>
        <v/>
      </c>
      <c r="H18" s="234">
        <f>H6-H17</f>
        <v/>
      </c>
      <c r="I18" s="145" t="n"/>
      <c r="J18" s="145" t="n"/>
      <c r="K18" s="145" t="n"/>
      <c r="L18" s="145" t="n"/>
      <c r="M18" s="145" t="n"/>
      <c r="N18" s="145" t="n"/>
      <c r="O18" s="145" t="n"/>
      <c r="P18" s="145" t="n"/>
      <c r="Q18" s="145" t="n"/>
      <c r="R18" s="145" t="n"/>
      <c r="S18" s="145" t="n"/>
      <c r="T18" s="145" t="n"/>
      <c r="U18" s="145" t="n"/>
      <c r="V18" s="145" t="n"/>
      <c r="W18" s="145" t="n"/>
      <c r="X18" s="145" t="n"/>
      <c r="Y18" s="145" t="n"/>
      <c r="Z18" s="145" t="n"/>
    </row>
    <row r="19">
      <c r="A19" s="145" t="n"/>
      <c r="B19" s="145" t="n"/>
      <c r="C19" s="145" t="n"/>
      <c r="D19" s="145" t="n"/>
      <c r="E19" s="145" t="n"/>
      <c r="F19" s="145" t="n"/>
      <c r="G19" s="145" t="n"/>
      <c r="H19" s="145" t="n"/>
      <c r="I19" s="145" t="n"/>
      <c r="J19" s="145" t="n"/>
      <c r="K19" s="145" t="n"/>
      <c r="L19" s="145" t="n"/>
      <c r="M19" s="145" t="n"/>
      <c r="N19" s="145" t="n"/>
      <c r="O19" s="145" t="n"/>
      <c r="P19" s="145" t="n"/>
      <c r="Q19" s="145" t="n"/>
      <c r="R19" s="145" t="n"/>
      <c r="S19" s="145" t="n"/>
      <c r="T19" s="145" t="n"/>
      <c r="U19" s="145" t="n"/>
      <c r="V19" s="145" t="n"/>
      <c r="W19" s="145" t="n"/>
      <c r="X19" s="145" t="n"/>
      <c r="Y19" s="145" t="n"/>
      <c r="Z19" s="145" t="n"/>
    </row>
    <row r="20" ht="21.75" customHeight="1" s="311">
      <c r="A20" s="21" t="inlineStr">
        <is>
          <t>2.  TU PRESUPUESTO PERSONAL EN EL DESTINO</t>
        </is>
      </c>
      <c r="B20" s="22" t="n"/>
      <c r="C20" s="22" t="n"/>
      <c r="D20" s="22" t="n"/>
      <c r="E20" s="22" t="n"/>
      <c r="F20" s="22" t="n"/>
      <c r="G20" s="22" t="n"/>
      <c r="H20" s="22" t="n"/>
      <c r="I20" s="22" t="n"/>
      <c r="J20" s="145" t="n"/>
      <c r="K20" s="145" t="n"/>
      <c r="L20" s="145" t="n"/>
      <c r="M20" s="145" t="n"/>
      <c r="N20" s="145" t="n"/>
      <c r="O20" s="145" t="n"/>
      <c r="P20" s="145" t="n"/>
      <c r="Q20" s="145" t="n"/>
      <c r="R20" s="145" t="n"/>
      <c r="S20" s="145" t="n"/>
      <c r="T20" s="145" t="n"/>
      <c r="U20" s="145" t="n"/>
      <c r="V20" s="145" t="n"/>
      <c r="W20" s="145" t="n"/>
      <c r="X20" s="145" t="n"/>
      <c r="Y20" s="145" t="n"/>
      <c r="Z20" s="145" t="n"/>
    </row>
    <row r="21" ht="16.5" customHeight="1" s="311">
      <c r="A21" s="41" t="n"/>
      <c r="B21" s="232" t="inlineStr">
        <is>
          <t>Habitación / alquiler</t>
        </is>
      </c>
      <c r="C21" s="41" t="inlineStr">
        <is>
          <t>€</t>
        </is>
      </c>
      <c r="D21" s="113" t="n">
        <v>0</v>
      </c>
      <c r="E21" s="113" t="n">
        <v>600</v>
      </c>
      <c r="F21" s="113" t="n">
        <v>450</v>
      </c>
      <c r="G21" s="113" t="n">
        <v>0</v>
      </c>
      <c r="H21" s="113" t="n">
        <v>600</v>
      </c>
      <c r="I21" s="145" t="n"/>
      <c r="J21" s="145" t="n"/>
      <c r="K21" s="145" t="n"/>
      <c r="L21" s="145" t="n"/>
      <c r="M21" s="145" t="n"/>
      <c r="N21" s="145" t="n"/>
      <c r="O21" s="145" t="n"/>
      <c r="P21" s="145" t="n"/>
      <c r="Q21" s="145" t="n"/>
      <c r="R21" s="145" t="n"/>
      <c r="S21" s="145" t="n"/>
      <c r="T21" s="145" t="n"/>
      <c r="U21" s="145" t="n"/>
      <c r="V21" s="145" t="n"/>
      <c r="W21" s="145" t="n"/>
      <c r="X21" s="145" t="n"/>
      <c r="Y21" s="145" t="n"/>
      <c r="Z21" s="145" t="n"/>
    </row>
    <row r="22" ht="16.5" customHeight="1" s="311">
      <c r="A22" s="41" t="n"/>
      <c r="B22" s="232" t="inlineStr">
        <is>
          <t>Transporte / gasolina</t>
        </is>
      </c>
      <c r="C22" s="41" t="inlineStr">
        <is>
          <t>€</t>
        </is>
      </c>
      <c r="D22" s="113" t="n">
        <v>0</v>
      </c>
      <c r="E22" s="113" t="n">
        <v>90</v>
      </c>
      <c r="F22" s="113" t="n">
        <v>60</v>
      </c>
      <c r="G22" s="113" t="n">
        <v>120</v>
      </c>
      <c r="H22" s="113" t="n">
        <v>90</v>
      </c>
      <c r="I22" s="145" t="n"/>
      <c r="J22" s="145" t="n"/>
      <c r="K22" s="145" t="n"/>
      <c r="L22" s="145" t="n"/>
      <c r="M22" s="145" t="n"/>
      <c r="N22" s="145" t="n"/>
      <c r="O22" s="145" t="n"/>
      <c r="P22" s="145" t="n"/>
      <c r="Q22" s="145" t="n"/>
      <c r="R22" s="145" t="n"/>
      <c r="S22" s="145" t="n"/>
      <c r="T22" s="145" t="n"/>
      <c r="U22" s="145" t="n"/>
      <c r="V22" s="145" t="n"/>
      <c r="W22" s="145" t="n"/>
      <c r="X22" s="145" t="n"/>
      <c r="Y22" s="145" t="n"/>
      <c r="Z22" s="145" t="n"/>
    </row>
    <row r="23" ht="16.5" customHeight="1" s="311">
      <c r="A23" s="41" t="n"/>
      <c r="B23" s="232" t="inlineStr">
        <is>
          <t>Datos móviles</t>
        </is>
      </c>
      <c r="C23" s="41" t="inlineStr">
        <is>
          <t>€</t>
        </is>
      </c>
      <c r="D23" s="113" t="n">
        <v>0</v>
      </c>
      <c r="E23" s="113" t="n">
        <v>20</v>
      </c>
      <c r="F23" s="113" t="n">
        <v>0</v>
      </c>
      <c r="G23" s="113" t="n">
        <v>0</v>
      </c>
      <c r="H23" s="113" t="n">
        <v>20</v>
      </c>
      <c r="I23" s="145" t="n"/>
      <c r="J23" s="145" t="n"/>
      <c r="K23" s="145" t="n"/>
      <c r="L23" s="145" t="n"/>
      <c r="M23" s="145" t="n"/>
      <c r="N23" s="145" t="n"/>
      <c r="O23" s="145" t="n"/>
      <c r="P23" s="145" t="n"/>
      <c r="Q23" s="145" t="n"/>
      <c r="R23" s="145" t="n"/>
      <c r="S23" s="145" t="n"/>
      <c r="T23" s="145" t="n"/>
      <c r="U23" s="145" t="n"/>
      <c r="V23" s="145" t="n"/>
      <c r="W23" s="145" t="n"/>
      <c r="X23" s="145" t="n"/>
      <c r="Y23" s="145" t="n"/>
      <c r="Z23" s="145" t="n"/>
    </row>
    <row r="24" ht="16.5" customHeight="1" s="311">
      <c r="A24" s="41" t="n"/>
      <c r="B24" s="232" t="inlineStr">
        <is>
          <t>Comida</t>
        </is>
      </c>
      <c r="C24" s="41" t="inlineStr">
        <is>
          <t>€</t>
        </is>
      </c>
      <c r="D24" s="113" t="n">
        <v>0</v>
      </c>
      <c r="E24" s="113" t="n">
        <v>200</v>
      </c>
      <c r="F24" s="113" t="n">
        <v>150</v>
      </c>
      <c r="G24" s="113" t="n">
        <v>60</v>
      </c>
      <c r="H24" s="113" t="n">
        <v>200</v>
      </c>
      <c r="I24" s="145" t="n"/>
      <c r="J24" s="145" t="n"/>
      <c r="K24" s="145" t="n"/>
      <c r="L24" s="145" t="n"/>
      <c r="M24" s="145" t="n"/>
      <c r="N24" s="145" t="n"/>
      <c r="O24" s="145" t="n"/>
      <c r="P24" s="145" t="n"/>
      <c r="Q24" s="145" t="n"/>
      <c r="R24" s="145" t="n"/>
      <c r="S24" s="145" t="n"/>
      <c r="T24" s="145" t="n"/>
      <c r="U24" s="145" t="n"/>
      <c r="V24" s="145" t="n"/>
      <c r="W24" s="145" t="n"/>
      <c r="X24" s="145" t="n"/>
      <c r="Y24" s="145" t="n"/>
      <c r="Z24" s="145" t="n"/>
    </row>
    <row r="25" ht="16.5" customHeight="1" s="311">
      <c r="A25" s="41" t="n"/>
      <c r="B25" s="232" t="inlineStr">
        <is>
          <t>Otros gastos personales</t>
        </is>
      </c>
      <c r="C25" s="41" t="inlineStr">
        <is>
          <t>€</t>
        </is>
      </c>
      <c r="D25" s="113" t="n">
        <v>0</v>
      </c>
      <c r="E25" s="113" t="n">
        <v>0</v>
      </c>
      <c r="F25" s="113" t="n">
        <v>0</v>
      </c>
      <c r="G25" s="113" t="n">
        <v>0</v>
      </c>
      <c r="H25" s="113" t="n">
        <v>0</v>
      </c>
      <c r="I25" s="145" t="n"/>
      <c r="J25" s="145" t="n"/>
      <c r="K25" s="145" t="n"/>
      <c r="L25" s="145" t="n"/>
      <c r="M25" s="145" t="n"/>
      <c r="N25" s="145" t="n"/>
      <c r="O25" s="145" t="n"/>
      <c r="P25" s="145" t="n"/>
      <c r="Q25" s="145" t="n"/>
      <c r="R25" s="145" t="n"/>
      <c r="S25" s="145" t="n"/>
      <c r="T25" s="145" t="n"/>
      <c r="U25" s="145" t="n"/>
      <c r="V25" s="145" t="n"/>
      <c r="W25" s="145" t="n"/>
      <c r="X25" s="145" t="n"/>
      <c r="Y25" s="145" t="n"/>
      <c r="Z25" s="145" t="n"/>
    </row>
    <row r="26" ht="16.5" customHeight="1" s="311">
      <c r="A26" s="36" t="n"/>
      <c r="B26" s="235" t="inlineStr">
        <is>
          <t>Subtotal de tus gastos personales</t>
        </is>
      </c>
      <c r="C26" s="36" t="inlineStr">
        <is>
          <t>€</t>
        </is>
      </c>
      <c r="D26" s="68">
        <f>SUM(D21:D25)</f>
        <v/>
      </c>
      <c r="E26" s="68">
        <f>SUM(E21:E25)</f>
        <v/>
      </c>
      <c r="F26" s="68">
        <f>SUM(F21:F25)</f>
        <v/>
      </c>
      <c r="G26" s="68">
        <f>SUM(G21:G25)</f>
        <v/>
      </c>
      <c r="H26" s="68">
        <f>SUM(H21:H25)</f>
        <v/>
      </c>
      <c r="I26" s="145" t="n"/>
      <c r="J26" s="145" t="n"/>
      <c r="K26" s="145" t="n"/>
      <c r="L26" s="145" t="n"/>
      <c r="M26" s="145" t="n"/>
      <c r="N26" s="145" t="n"/>
      <c r="O26" s="145" t="n"/>
      <c r="P26" s="145" t="n"/>
      <c r="Q26" s="145" t="n"/>
      <c r="R26" s="145" t="n"/>
      <c r="S26" s="145" t="n"/>
      <c r="T26" s="145" t="n"/>
      <c r="U26" s="145" t="n"/>
      <c r="V26" s="145" t="n"/>
      <c r="W26" s="145" t="n"/>
      <c r="X26" s="145" t="n"/>
      <c r="Y26" s="145" t="n"/>
      <c r="Z26" s="145" t="n"/>
    </row>
    <row r="27" ht="24" customHeight="1" s="311">
      <c r="A27" s="41" t="n"/>
      <c r="B27" s="232" t="inlineStr">
        <is>
          <t>Margen que sobra del bucket de gastos fijos</t>
        </is>
      </c>
      <c r="C27" s="41" t="inlineStr">
        <is>
          <t>€</t>
        </is>
      </c>
      <c r="D27" s="234">
        <f>D16-D26</f>
        <v/>
      </c>
      <c r="E27" s="234">
        <f>E16-E26</f>
        <v/>
      </c>
      <c r="F27" s="234">
        <f>F16-F26</f>
        <v/>
      </c>
      <c r="G27" s="234">
        <f>G16-G26</f>
        <v/>
      </c>
      <c r="H27" s="234">
        <f>H16-H26</f>
        <v/>
      </c>
      <c r="I27" s="20" t="inlineStr">
        <is>
          <t>Es el "aporte familiar" de tu archivo: lo que te sobra del 50% destinado a gastos fijos.</t>
        </is>
      </c>
      <c r="J27" s="145" t="n"/>
      <c r="K27" s="145" t="n"/>
      <c r="L27" s="145" t="n"/>
      <c r="M27" s="145" t="n"/>
      <c r="N27" s="145" t="n"/>
      <c r="O27" s="145" t="n"/>
      <c r="P27" s="145" t="n"/>
      <c r="Q27" s="145" t="n"/>
      <c r="R27" s="145" t="n"/>
      <c r="S27" s="145" t="n"/>
      <c r="T27" s="145" t="n"/>
      <c r="U27" s="145" t="n"/>
      <c r="V27" s="145" t="n"/>
      <c r="W27" s="145" t="n"/>
      <c r="X27" s="145" t="n"/>
      <c r="Y27" s="145" t="n"/>
      <c r="Z27" s="145" t="n"/>
    </row>
    <row r="28" ht="24.75" customHeight="1" s="311">
      <c r="A28" s="41" t="n"/>
      <c r="B28" s="232" t="inlineStr">
        <is>
          <t>Aporte a la hipoteca (sale del estilo de vida)</t>
        </is>
      </c>
      <c r="C28" s="41" t="inlineStr">
        <is>
          <t>€</t>
        </is>
      </c>
      <c r="D28" s="113" t="n">
        <v>0</v>
      </c>
      <c r="E28" s="113" t="n">
        <v>435</v>
      </c>
      <c r="F28" s="113" t="n">
        <v>435</v>
      </c>
      <c r="G28" s="113" t="n">
        <v>435</v>
      </c>
      <c r="H28" s="113" t="n">
        <v>435</v>
      </c>
      <c r="I28" s="20" t="inlineStr">
        <is>
          <t>En tu archivo estaba como −435 en F9 y luego se volvía a sumar con abs(F9). Aquí es un número positivo y se resta una sola vez.</t>
        </is>
      </c>
      <c r="J28" s="145" t="n"/>
      <c r="K28" s="145" t="n"/>
      <c r="L28" s="145" t="n"/>
      <c r="M28" s="145" t="n"/>
      <c r="N28" s="145" t="n"/>
      <c r="O28" s="145" t="n"/>
      <c r="P28" s="145" t="n"/>
      <c r="Q28" s="145" t="n"/>
      <c r="R28" s="145" t="n"/>
      <c r="S28" s="145" t="n"/>
      <c r="T28" s="145" t="n"/>
      <c r="U28" s="145" t="n"/>
      <c r="V28" s="145" t="n"/>
      <c r="W28" s="145" t="n"/>
      <c r="X28" s="145" t="n"/>
      <c r="Y28" s="145" t="n"/>
      <c r="Z28" s="145" t="n"/>
    </row>
    <row r="29" ht="21" customHeight="1" s="311">
      <c r="A29" s="36" t="n"/>
      <c r="B29" s="235" t="inlineStr">
        <is>
          <t>TOTAL QUE APORTAS A LA CASA</t>
        </is>
      </c>
      <c r="C29" s="36" t="inlineStr">
        <is>
          <t>€</t>
        </is>
      </c>
      <c r="D29" s="68">
        <f>D27+D28</f>
        <v/>
      </c>
      <c r="E29" s="68">
        <f>E27+E28</f>
        <v/>
      </c>
      <c r="F29" s="68">
        <f>F27+F28</f>
        <v/>
      </c>
      <c r="G29" s="68">
        <f>G27+G28</f>
        <v/>
      </c>
      <c r="H29" s="68">
        <f>H27+H28</f>
        <v/>
      </c>
      <c r="I29" s="145" t="n"/>
      <c r="J29" s="145" t="n"/>
      <c r="K29" s="145" t="n"/>
      <c r="L29" s="145" t="n"/>
      <c r="M29" s="145" t="n"/>
      <c r="N29" s="145" t="n"/>
      <c r="O29" s="145" t="n"/>
      <c r="P29" s="145" t="n"/>
      <c r="Q29" s="145" t="n"/>
      <c r="R29" s="145" t="n"/>
      <c r="S29" s="145" t="n"/>
      <c r="T29" s="145" t="n"/>
      <c r="U29" s="145" t="n"/>
      <c r="V29" s="145" t="n"/>
      <c r="W29" s="145" t="n"/>
      <c r="X29" s="145" t="n"/>
      <c r="Y29" s="145" t="n"/>
      <c r="Z29" s="145" t="n"/>
    </row>
    <row r="30" ht="16.5" customHeight="1" s="311">
      <c r="A30" s="36" t="n"/>
      <c r="B30" s="235" t="inlineStr">
        <is>
          <t>LO QUE TE QUEDA PARA TI</t>
        </is>
      </c>
      <c r="C30" s="36" t="inlineStr">
        <is>
          <t>€</t>
        </is>
      </c>
      <c r="D30" s="68">
        <f>D15-D28</f>
        <v/>
      </c>
      <c r="E30" s="68">
        <f>E15-E28</f>
        <v/>
      </c>
      <c r="F30" s="68">
        <f>F15-F28</f>
        <v/>
      </c>
      <c r="G30" s="68">
        <f>G15-G28</f>
        <v/>
      </c>
      <c r="H30" s="68">
        <f>H15-H28</f>
        <v/>
      </c>
      <c r="I30" s="20" t="inlineStr">
        <is>
          <t>Estilo de vida menos el aporte a la hipoteca. Es tu dinero realmente libre.</t>
        </is>
      </c>
      <c r="J30" s="145" t="n"/>
      <c r="K30" s="145" t="n"/>
      <c r="L30" s="145" t="n"/>
      <c r="M30" s="145" t="n"/>
      <c r="N30" s="145" t="n"/>
      <c r="O30" s="145" t="n"/>
      <c r="P30" s="145" t="n"/>
      <c r="Q30" s="145" t="n"/>
      <c r="R30" s="145" t="n"/>
      <c r="S30" s="145" t="n"/>
      <c r="T30" s="145" t="n"/>
      <c r="U30" s="145" t="n"/>
      <c r="V30" s="145" t="n"/>
      <c r="W30" s="145" t="n"/>
      <c r="X30" s="145" t="n"/>
      <c r="Y30" s="145" t="n"/>
      <c r="Z30" s="145" t="n"/>
    </row>
    <row r="31" ht="16.5" customHeight="1" s="311">
      <c r="A31" s="41" t="n"/>
      <c r="B31" s="233" t="inlineStr">
        <is>
          <t>Reservas mensuales de ahorro e inversión</t>
        </is>
      </c>
      <c r="C31" s="41" t="inlineStr">
        <is>
          <t>€</t>
        </is>
      </c>
      <c r="D31" s="68">
        <f>D13+D14</f>
        <v/>
      </c>
      <c r="E31" s="68">
        <f>E13+E14</f>
        <v/>
      </c>
      <c r="F31" s="68">
        <f>F13+F14</f>
        <v/>
      </c>
      <c r="G31" s="68">
        <f>G13+G14</f>
        <v/>
      </c>
      <c r="H31" s="68">
        <f>H13+H14</f>
        <v/>
      </c>
      <c r="I31" s="145" t="n"/>
      <c r="J31" s="145" t="n"/>
      <c r="K31" s="145" t="n"/>
      <c r="L31" s="145" t="n"/>
      <c r="M31" s="145" t="n"/>
      <c r="N31" s="145" t="n"/>
      <c r="O31" s="145" t="n"/>
      <c r="P31" s="145" t="n"/>
      <c r="Q31" s="145" t="n"/>
      <c r="R31" s="145" t="n"/>
      <c r="S31" s="145" t="n"/>
      <c r="T31" s="145" t="n"/>
      <c r="U31" s="145" t="n"/>
      <c r="V31" s="145" t="n"/>
      <c r="W31" s="145" t="n"/>
      <c r="X31" s="145" t="n"/>
      <c r="Y31" s="145" t="n"/>
      <c r="Z31" s="145" t="n"/>
    </row>
    <row r="32" ht="16.5" customHeight="1" s="311">
      <c r="A32" s="41" t="n"/>
      <c r="B32" s="232" t="inlineStr">
        <is>
          <t>Tu tasa de ahorro</t>
        </is>
      </c>
      <c r="C32" s="41" t="inlineStr">
        <is>
          <t>%</t>
        </is>
      </c>
      <c r="D32" s="236">
        <f>IFERROR(D31/D6,"")</f>
        <v/>
      </c>
      <c r="E32" s="236">
        <f>IFERROR(E31/E6,"")</f>
        <v/>
      </c>
      <c r="F32" s="236">
        <f>IFERROR(F31/F6,"")</f>
        <v/>
      </c>
      <c r="G32" s="236">
        <f>IFERROR(G31/G6,"")</f>
        <v/>
      </c>
      <c r="H32" s="236">
        <f>IFERROR(H31/H6,"")</f>
        <v/>
      </c>
      <c r="I32" s="145" t="n"/>
      <c r="J32" s="145" t="n"/>
      <c r="K32" s="145" t="n"/>
      <c r="L32" s="145" t="n"/>
      <c r="M32" s="145" t="n"/>
      <c r="N32" s="145" t="n"/>
      <c r="O32" s="145" t="n"/>
      <c r="P32" s="145" t="n"/>
      <c r="Q32" s="145" t="n"/>
      <c r="R32" s="145" t="n"/>
      <c r="S32" s="145" t="n"/>
      <c r="T32" s="145" t="n"/>
      <c r="U32" s="145" t="n"/>
      <c r="V32" s="145" t="n"/>
      <c r="W32" s="145" t="n"/>
      <c r="X32" s="145" t="n"/>
      <c r="Y32" s="145" t="n"/>
      <c r="Z32" s="145" t="n"/>
    </row>
    <row r="33" ht="15.75" customHeight="1" s="311">
      <c r="A33" s="145" t="n"/>
      <c r="B33" s="145" t="n"/>
      <c r="C33" s="145" t="n"/>
      <c r="D33" s="145" t="n"/>
      <c r="E33" s="145" t="n"/>
      <c r="F33" s="145" t="n"/>
      <c r="G33" s="145" t="n"/>
      <c r="H33" s="145" t="n"/>
      <c r="I33" s="145" t="n"/>
      <c r="J33" s="145" t="n"/>
      <c r="K33" s="145" t="n"/>
      <c r="L33" s="145" t="n"/>
      <c r="M33" s="145" t="n"/>
      <c r="N33" s="145" t="n"/>
      <c r="O33" s="145" t="n"/>
      <c r="P33" s="145" t="n"/>
      <c r="Q33" s="145" t="n"/>
      <c r="R33" s="145" t="n"/>
      <c r="S33" s="145" t="n"/>
      <c r="T33" s="145" t="n"/>
      <c r="U33" s="145" t="n"/>
      <c r="V33" s="145" t="n"/>
      <c r="W33" s="145" t="n"/>
      <c r="X33" s="145" t="n"/>
      <c r="Y33" s="145" t="n"/>
      <c r="Z33" s="145" t="n"/>
    </row>
    <row r="34" ht="21.75" customHeight="1" s="311">
      <c r="A34" s="21" t="inlineStr">
        <is>
          <t>3.  EL HOGAR EN ESPAÑA</t>
        </is>
      </c>
      <c r="B34" s="22" t="n"/>
      <c r="C34" s="22" t="n"/>
      <c r="D34" s="22" t="n"/>
      <c r="E34" s="22" t="n"/>
      <c r="F34" s="22" t="n"/>
      <c r="G34" s="22" t="n"/>
      <c r="H34" s="22" t="n"/>
      <c r="I34" s="22" t="n"/>
      <c r="J34" s="145" t="n"/>
      <c r="K34" s="145" t="n"/>
      <c r="L34" s="145" t="n"/>
      <c r="M34" s="145" t="n"/>
      <c r="N34" s="145" t="n"/>
      <c r="O34" s="145" t="n"/>
      <c r="P34" s="145" t="n"/>
      <c r="Q34" s="145" t="n"/>
      <c r="R34" s="145" t="n"/>
      <c r="S34" s="145" t="n"/>
      <c r="T34" s="145" t="n"/>
      <c r="U34" s="145" t="n"/>
      <c r="V34" s="145" t="n"/>
      <c r="W34" s="145" t="n"/>
      <c r="X34" s="145" t="n"/>
      <c r="Y34" s="145" t="n"/>
      <c r="Z34" s="145" t="n"/>
    </row>
    <row r="35" ht="16.5" customHeight="1" s="311">
      <c r="A35" s="41" t="n"/>
      <c r="B35" s="232" t="inlineStr">
        <is>
          <t>Nómina de Iris</t>
        </is>
      </c>
      <c r="C35" s="41" t="inlineStr">
        <is>
          <t>€</t>
        </is>
      </c>
      <c r="D35" s="113" t="n">
        <v>852.5</v>
      </c>
      <c r="E35" s="113" t="n">
        <v>852.5</v>
      </c>
      <c r="F35" s="113" t="n">
        <v>852.5</v>
      </c>
      <c r="G35" s="113" t="n">
        <v>852.5</v>
      </c>
      <c r="H35" s="113" t="n">
        <v>852.5</v>
      </c>
      <c r="I35" s="145" t="n"/>
      <c r="J35" s="145" t="n"/>
      <c r="K35" s="145" t="n"/>
      <c r="L35" s="145" t="n"/>
      <c r="M35" s="145" t="n"/>
      <c r="N35" s="145" t="n"/>
      <c r="O35" s="145" t="n"/>
      <c r="P35" s="145" t="n"/>
      <c r="Q35" s="145" t="n"/>
      <c r="R35" s="145" t="n"/>
      <c r="S35" s="145" t="n"/>
      <c r="T35" s="145" t="n"/>
      <c r="U35" s="145" t="n"/>
      <c r="V35" s="145" t="n"/>
      <c r="W35" s="145" t="n"/>
      <c r="X35" s="145" t="n"/>
      <c r="Y35" s="145" t="n"/>
      <c r="Z35" s="145" t="n"/>
    </row>
    <row r="36" ht="16.5" customHeight="1" s="311">
      <c r="A36" s="41" t="n"/>
      <c r="B36" s="232" t="inlineStr">
        <is>
          <t>Ingreso de Stalin</t>
        </is>
      </c>
      <c r="C36" s="41" t="inlineStr">
        <is>
          <t>€</t>
        </is>
      </c>
      <c r="D36" s="113" t="n">
        <v>239</v>
      </c>
      <c r="E36" s="113" t="n">
        <v>239</v>
      </c>
      <c r="F36" s="113" t="n">
        <v>239</v>
      </c>
      <c r="G36" s="113" t="n">
        <v>239</v>
      </c>
      <c r="H36" s="113" t="n">
        <v>239</v>
      </c>
      <c r="I36" s="145" t="n"/>
      <c r="J36" s="145" t="n"/>
      <c r="K36" s="145" t="n"/>
      <c r="L36" s="145" t="n"/>
      <c r="M36" s="145" t="n"/>
      <c r="N36" s="145" t="n"/>
      <c r="O36" s="145" t="n"/>
      <c r="P36" s="145" t="n"/>
      <c r="Q36" s="145" t="n"/>
      <c r="R36" s="145" t="n"/>
      <c r="S36" s="145" t="n"/>
      <c r="T36" s="145" t="n"/>
      <c r="U36" s="145" t="n"/>
      <c r="V36" s="145" t="n"/>
      <c r="W36" s="145" t="n"/>
      <c r="X36" s="145" t="n"/>
      <c r="Y36" s="145" t="n"/>
      <c r="Z36" s="145" t="n"/>
    </row>
    <row r="37" ht="16.5" customHeight="1" s="311">
      <c r="A37" s="41" t="n"/>
      <c r="B37" s="232" t="inlineStr">
        <is>
          <t>Ingreso de Tony</t>
        </is>
      </c>
      <c r="C37" s="41" t="inlineStr">
        <is>
          <t>€</t>
        </is>
      </c>
      <c r="D37" s="113" t="n">
        <v>100</v>
      </c>
      <c r="E37" s="113" t="n">
        <v>100</v>
      </c>
      <c r="F37" s="113" t="n">
        <v>100</v>
      </c>
      <c r="G37" s="113" t="n">
        <v>100</v>
      </c>
      <c r="H37" s="113" t="n">
        <v>100</v>
      </c>
      <c r="I37" s="145" t="n"/>
      <c r="J37" s="145" t="n"/>
      <c r="K37" s="145" t="n"/>
      <c r="L37" s="145" t="n"/>
      <c r="M37" s="145" t="n"/>
      <c r="N37" s="145" t="n"/>
      <c r="O37" s="145" t="n"/>
      <c r="P37" s="145" t="n"/>
      <c r="Q37" s="145" t="n"/>
      <c r="R37" s="145" t="n"/>
      <c r="S37" s="145" t="n"/>
      <c r="T37" s="145" t="n"/>
      <c r="U37" s="145" t="n"/>
      <c r="V37" s="145" t="n"/>
      <c r="W37" s="145" t="n"/>
      <c r="X37" s="145" t="n"/>
      <c r="Y37" s="145" t="n"/>
      <c r="Z37" s="145" t="n"/>
    </row>
    <row r="38" ht="16.5" customHeight="1" s="311">
      <c r="A38" s="41" t="n"/>
      <c r="B38" s="232" t="inlineStr">
        <is>
          <t>Tu aporte</t>
        </is>
      </c>
      <c r="C38" s="41" t="inlineStr">
        <is>
          <t>€</t>
        </is>
      </c>
      <c r="D38" s="234" t="n">
        <v>0</v>
      </c>
      <c r="E38" s="234">
        <f>E29</f>
        <v/>
      </c>
      <c r="F38" s="234">
        <f>F29</f>
        <v/>
      </c>
      <c r="G38" s="234">
        <f>G29</f>
        <v/>
      </c>
      <c r="H38" s="234">
        <f>H29</f>
        <v/>
      </c>
      <c r="I38" s="145" t="n"/>
      <c r="J38" s="145" t="n"/>
      <c r="K38" s="145" t="n"/>
      <c r="L38" s="145" t="n"/>
      <c r="M38" s="145" t="n"/>
      <c r="N38" s="145" t="n"/>
      <c r="O38" s="145" t="n"/>
      <c r="P38" s="145" t="n"/>
      <c r="Q38" s="145" t="n"/>
      <c r="R38" s="145" t="n"/>
      <c r="S38" s="145" t="n"/>
      <c r="T38" s="145" t="n"/>
      <c r="U38" s="145" t="n"/>
      <c r="V38" s="145" t="n"/>
      <c r="W38" s="145" t="n"/>
      <c r="X38" s="145" t="n"/>
      <c r="Y38" s="145" t="n"/>
      <c r="Z38" s="145" t="n"/>
    </row>
    <row r="39" ht="16.5" customHeight="1" s="311">
      <c r="A39" s="36" t="n"/>
      <c r="B39" s="235" t="inlineStr">
        <is>
          <t>INGRESO TOTAL DEL HOGAR</t>
        </is>
      </c>
      <c r="C39" s="36" t="inlineStr">
        <is>
          <t>€</t>
        </is>
      </c>
      <c r="D39" s="68">
        <f>SUM(D35:D38)</f>
        <v/>
      </c>
      <c r="E39" s="68">
        <f>SUM(E35:E38)</f>
        <v/>
      </c>
      <c r="F39" s="68">
        <f>SUM(F35:F38)</f>
        <v/>
      </c>
      <c r="G39" s="68">
        <f>SUM(G35:G38)</f>
        <v/>
      </c>
      <c r="H39" s="68">
        <f>SUM(H35:H38)</f>
        <v/>
      </c>
      <c r="I39" s="145" t="n"/>
      <c r="J39" s="145" t="n"/>
      <c r="K39" s="145" t="n"/>
      <c r="L39" s="145" t="n"/>
      <c r="M39" s="145" t="n"/>
      <c r="N39" s="145" t="n"/>
      <c r="O39" s="145" t="n"/>
      <c r="P39" s="145" t="n"/>
      <c r="Q39" s="145" t="n"/>
      <c r="R39" s="145" t="n"/>
      <c r="S39" s="145" t="n"/>
      <c r="T39" s="145" t="n"/>
      <c r="U39" s="145" t="n"/>
      <c r="V39" s="145" t="n"/>
      <c r="W39" s="145" t="n"/>
      <c r="X39" s="145" t="n"/>
      <c r="Y39" s="145" t="n"/>
      <c r="Z39" s="145" t="n"/>
    </row>
    <row r="40" ht="15.75" customHeight="1" s="311">
      <c r="A40" s="145" t="n"/>
      <c r="B40" s="145" t="n"/>
      <c r="C40" s="145" t="n"/>
      <c r="D40" s="145" t="n"/>
      <c r="E40" s="145" t="n"/>
      <c r="F40" s="145" t="n"/>
      <c r="G40" s="145" t="n"/>
      <c r="H40" s="145" t="n"/>
      <c r="I40" s="145" t="n"/>
      <c r="J40" s="145" t="n"/>
      <c r="K40" s="145" t="n"/>
      <c r="L40" s="145" t="n"/>
      <c r="M40" s="145" t="n"/>
      <c r="N40" s="145" t="n"/>
      <c r="O40" s="145" t="n"/>
      <c r="P40" s="145" t="n"/>
      <c r="Q40" s="145" t="n"/>
      <c r="R40" s="145" t="n"/>
      <c r="S40" s="145" t="n"/>
      <c r="T40" s="145" t="n"/>
      <c r="U40" s="145" t="n"/>
      <c r="V40" s="145" t="n"/>
      <c r="W40" s="145" t="n"/>
      <c r="X40" s="145" t="n"/>
      <c r="Y40" s="145" t="n"/>
      <c r="Z40" s="145" t="n"/>
    </row>
    <row r="41" ht="16.5" customHeight="1" s="311">
      <c r="A41" s="41" t="n"/>
      <c r="B41" s="232" t="inlineStr">
        <is>
          <t>Hipoteca</t>
        </is>
      </c>
      <c r="C41" s="41" t="inlineStr">
        <is>
          <t>€</t>
        </is>
      </c>
      <c r="D41" s="113" t="n">
        <v>431</v>
      </c>
      <c r="E41" s="113" t="n">
        <v>431</v>
      </c>
      <c r="F41" s="113" t="n">
        <v>431</v>
      </c>
      <c r="G41" s="113" t="n">
        <v>431</v>
      </c>
      <c r="H41" s="113" t="n">
        <v>431</v>
      </c>
      <c r="I41" s="145" t="n"/>
      <c r="J41" s="145" t="n"/>
      <c r="K41" s="145" t="n"/>
      <c r="L41" s="145" t="n"/>
      <c r="M41" s="145" t="n"/>
      <c r="N41" s="145" t="n"/>
      <c r="O41" s="145" t="n"/>
      <c r="P41" s="145" t="n"/>
      <c r="Q41" s="145" t="n"/>
      <c r="R41" s="145" t="n"/>
      <c r="S41" s="145" t="n"/>
      <c r="T41" s="145" t="n"/>
      <c r="U41" s="145" t="n"/>
      <c r="V41" s="145" t="n"/>
      <c r="W41" s="145" t="n"/>
      <c r="X41" s="145" t="n"/>
      <c r="Y41" s="145" t="n"/>
      <c r="Z41" s="145" t="n"/>
    </row>
    <row r="42" ht="16.5" customHeight="1" s="311">
      <c r="A42" s="41" t="n"/>
      <c r="B42" s="232" t="inlineStr">
        <is>
          <t>Alimentación</t>
        </is>
      </c>
      <c r="C42" s="41" t="inlineStr">
        <is>
          <t>€</t>
        </is>
      </c>
      <c r="D42" s="113" t="n">
        <v>345</v>
      </c>
      <c r="E42" s="113" t="n">
        <v>345</v>
      </c>
      <c r="F42" s="113" t="n">
        <v>345</v>
      </c>
      <c r="G42" s="113" t="n">
        <v>345</v>
      </c>
      <c r="H42" s="113" t="n">
        <v>345</v>
      </c>
      <c r="I42" s="145" t="n"/>
      <c r="J42" s="145" t="n"/>
      <c r="K42" s="145" t="n"/>
      <c r="L42" s="145" t="n"/>
      <c r="M42" s="145" t="n"/>
      <c r="N42" s="145" t="n"/>
      <c r="O42" s="145" t="n"/>
      <c r="P42" s="145" t="n"/>
      <c r="Q42" s="145" t="n"/>
      <c r="R42" s="145" t="n"/>
      <c r="S42" s="145" t="n"/>
      <c r="T42" s="145" t="n"/>
      <c r="U42" s="145" t="n"/>
      <c r="V42" s="145" t="n"/>
      <c r="W42" s="145" t="n"/>
      <c r="X42" s="145" t="n"/>
      <c r="Y42" s="145" t="n"/>
      <c r="Z42" s="145" t="n"/>
    </row>
    <row r="43" ht="16.5" customHeight="1" s="311">
      <c r="A43" s="41" t="n"/>
      <c r="B43" s="232" t="inlineStr">
        <is>
          <t>Datos móviles y iPhone</t>
        </is>
      </c>
      <c r="C43" s="41" t="inlineStr">
        <is>
          <t>€</t>
        </is>
      </c>
      <c r="D43" s="113" t="n">
        <v>90</v>
      </c>
      <c r="E43" s="113" t="n">
        <v>90</v>
      </c>
      <c r="F43" s="113" t="n">
        <v>90</v>
      </c>
      <c r="G43" s="113" t="n">
        <v>90</v>
      </c>
      <c r="H43" s="113" t="n">
        <v>90</v>
      </c>
      <c r="I43" s="145" t="n"/>
      <c r="J43" s="145" t="n"/>
      <c r="K43" s="145" t="n"/>
      <c r="L43" s="145" t="n"/>
      <c r="M43" s="145" t="n"/>
      <c r="N43" s="145" t="n"/>
      <c r="O43" s="145" t="n"/>
      <c r="P43" s="145" t="n"/>
      <c r="Q43" s="145" t="n"/>
      <c r="R43" s="145" t="n"/>
      <c r="S43" s="145" t="n"/>
      <c r="T43" s="145" t="n"/>
      <c r="U43" s="145" t="n"/>
      <c r="V43" s="145" t="n"/>
      <c r="W43" s="145" t="n"/>
      <c r="X43" s="145" t="n"/>
      <c r="Y43" s="145" t="n"/>
      <c r="Z43" s="145" t="n"/>
    </row>
    <row r="44" ht="16.5" customHeight="1" s="311">
      <c r="A44" s="41" t="n"/>
      <c r="B44" s="232" t="inlineStr">
        <is>
          <t>Agua</t>
        </is>
      </c>
      <c r="C44" s="41" t="inlineStr">
        <is>
          <t>€</t>
        </is>
      </c>
      <c r="D44" s="113" t="n">
        <v>45</v>
      </c>
      <c r="E44" s="113" t="n">
        <v>45</v>
      </c>
      <c r="F44" s="113" t="n">
        <v>45</v>
      </c>
      <c r="G44" s="113" t="n">
        <v>45</v>
      </c>
      <c r="H44" s="113" t="n">
        <v>45</v>
      </c>
      <c r="I44" s="145" t="n"/>
      <c r="J44" s="145" t="n"/>
      <c r="K44" s="145" t="n"/>
      <c r="L44" s="145" t="n"/>
      <c r="M44" s="145" t="n"/>
      <c r="N44" s="145" t="n"/>
      <c r="O44" s="145" t="n"/>
      <c r="P44" s="145" t="n"/>
      <c r="Q44" s="145" t="n"/>
      <c r="R44" s="145" t="n"/>
      <c r="S44" s="145" t="n"/>
      <c r="T44" s="145" t="n"/>
      <c r="U44" s="145" t="n"/>
      <c r="V44" s="145" t="n"/>
      <c r="W44" s="145" t="n"/>
      <c r="X44" s="145" t="n"/>
      <c r="Y44" s="145" t="n"/>
      <c r="Z44" s="145" t="n"/>
    </row>
    <row r="45" ht="16.5" customHeight="1" s="311">
      <c r="A45" s="41" t="n"/>
      <c r="B45" s="232" t="inlineStr">
        <is>
          <t>Luz</t>
        </is>
      </c>
      <c r="C45" s="41" t="inlineStr">
        <is>
          <t>€</t>
        </is>
      </c>
      <c r="D45" s="113" t="n">
        <v>42</v>
      </c>
      <c r="E45" s="113" t="n">
        <v>42</v>
      </c>
      <c r="F45" s="113" t="n">
        <v>42</v>
      </c>
      <c r="G45" s="113" t="n">
        <v>42</v>
      </c>
      <c r="H45" s="113" t="n">
        <v>42</v>
      </c>
      <c r="I45" s="145" t="n"/>
      <c r="J45" s="145" t="n"/>
      <c r="K45" s="145" t="n"/>
      <c r="L45" s="145" t="n"/>
      <c r="M45" s="145" t="n"/>
      <c r="N45" s="145" t="n"/>
      <c r="O45" s="145" t="n"/>
      <c r="P45" s="145" t="n"/>
      <c r="Q45" s="145" t="n"/>
      <c r="R45" s="145" t="n"/>
      <c r="S45" s="145" t="n"/>
      <c r="T45" s="145" t="n"/>
      <c r="U45" s="145" t="n"/>
      <c r="V45" s="145" t="n"/>
      <c r="W45" s="145" t="n"/>
      <c r="X45" s="145" t="n"/>
      <c r="Y45" s="145" t="n"/>
      <c r="Z45" s="145" t="n"/>
    </row>
    <row r="46" ht="16.5" customHeight="1" s="311">
      <c r="A46" s="41" t="n"/>
      <c r="B46" s="232" t="inlineStr">
        <is>
          <t>Comunidad</t>
        </is>
      </c>
      <c r="C46" s="41" t="inlineStr">
        <is>
          <t>€</t>
        </is>
      </c>
      <c r="D46" s="113" t="n">
        <v>30</v>
      </c>
      <c r="E46" s="113" t="n">
        <v>30</v>
      </c>
      <c r="F46" s="113" t="n">
        <v>30</v>
      </c>
      <c r="G46" s="113" t="n">
        <v>30</v>
      </c>
      <c r="H46" s="113" t="n">
        <v>30</v>
      </c>
      <c r="I46" s="145" t="n"/>
      <c r="J46" s="145" t="n"/>
      <c r="K46" s="145" t="n"/>
      <c r="L46" s="145" t="n"/>
      <c r="M46" s="145" t="n"/>
      <c r="N46" s="145" t="n"/>
      <c r="O46" s="145" t="n"/>
      <c r="P46" s="145" t="n"/>
      <c r="Q46" s="145" t="n"/>
      <c r="R46" s="145" t="n"/>
      <c r="S46" s="145" t="n"/>
      <c r="T46" s="145" t="n"/>
      <c r="U46" s="145" t="n"/>
      <c r="V46" s="145" t="n"/>
      <c r="W46" s="145" t="n"/>
      <c r="X46" s="145" t="n"/>
      <c r="Y46" s="145" t="n"/>
      <c r="Z46" s="145" t="n"/>
    </row>
    <row r="47" ht="16.5" customHeight="1" s="311">
      <c r="A47" s="41" t="n"/>
      <c r="B47" s="232" t="inlineStr">
        <is>
          <t>Imprevistos (tarjeta, ocio, combustible, seguros)</t>
        </is>
      </c>
      <c r="C47" s="41" t="inlineStr">
        <is>
          <t>€</t>
        </is>
      </c>
      <c r="D47" s="113" t="n">
        <v>0</v>
      </c>
      <c r="E47" s="113" t="n">
        <v>0</v>
      </c>
      <c r="F47" s="113" t="n">
        <v>0</v>
      </c>
      <c r="G47" s="113" t="n">
        <v>230</v>
      </c>
      <c r="H47" s="113" t="n">
        <v>0</v>
      </c>
      <c r="I47" s="145" t="n"/>
      <c r="J47" s="145" t="n"/>
      <c r="K47" s="145" t="n"/>
      <c r="L47" s="145" t="n"/>
      <c r="M47" s="145" t="n"/>
      <c r="N47" s="145" t="n"/>
      <c r="O47" s="145" t="n"/>
      <c r="P47" s="145" t="n"/>
      <c r="Q47" s="145" t="n"/>
      <c r="R47" s="145" t="n"/>
      <c r="S47" s="145" t="n"/>
      <c r="T47" s="145" t="n"/>
      <c r="U47" s="145" t="n"/>
      <c r="V47" s="145" t="n"/>
      <c r="W47" s="145" t="n"/>
      <c r="X47" s="145" t="n"/>
      <c r="Y47" s="145" t="n"/>
      <c r="Z47" s="145" t="n"/>
    </row>
    <row r="48" ht="16.5" customHeight="1" s="311">
      <c r="A48" s="36" t="n"/>
      <c r="B48" s="235" t="inlineStr">
        <is>
          <t>TOTAL GASTOS DEL HOGAR</t>
        </is>
      </c>
      <c r="C48" s="36" t="inlineStr">
        <is>
          <t>€</t>
        </is>
      </c>
      <c r="D48" s="68">
        <f>SUM(D41:D47)</f>
        <v/>
      </c>
      <c r="E48" s="68">
        <f>SUM(E41:E47)</f>
        <v/>
      </c>
      <c r="F48" s="68">
        <f>SUM(F41:F47)</f>
        <v/>
      </c>
      <c r="G48" s="68">
        <f>SUM(G41:G47)</f>
        <v/>
      </c>
      <c r="H48" s="68">
        <f>SUM(H41:H47)</f>
        <v/>
      </c>
      <c r="I48" s="145" t="n"/>
      <c r="J48" s="145" t="n"/>
      <c r="K48" s="145" t="n"/>
      <c r="L48" s="145" t="n"/>
      <c r="M48" s="145" t="n"/>
      <c r="N48" s="145" t="n"/>
      <c r="O48" s="145" t="n"/>
      <c r="P48" s="145" t="n"/>
      <c r="Q48" s="145" t="n"/>
      <c r="R48" s="145" t="n"/>
      <c r="S48" s="145" t="n"/>
      <c r="T48" s="145" t="n"/>
      <c r="U48" s="145" t="n"/>
      <c r="V48" s="145" t="n"/>
      <c r="W48" s="145" t="n"/>
      <c r="X48" s="145" t="n"/>
      <c r="Y48" s="145" t="n"/>
      <c r="Z48" s="145" t="n"/>
    </row>
    <row r="49" ht="16.5" customHeight="1" s="311">
      <c r="A49" s="36" t="n"/>
      <c r="B49" s="235" t="inlineStr">
        <is>
          <t>SUPERÁVIT / DÉFICIT DEL HOGAR</t>
        </is>
      </c>
      <c r="C49" s="36" t="inlineStr">
        <is>
          <t>€</t>
        </is>
      </c>
      <c r="D49" s="68">
        <f>D39-D48</f>
        <v/>
      </c>
      <c r="E49" s="68">
        <f>E39-E48</f>
        <v/>
      </c>
      <c r="F49" s="68">
        <f>F39-F48</f>
        <v/>
      </c>
      <c r="G49" s="68">
        <f>G39-G48</f>
        <v/>
      </c>
      <c r="H49" s="68">
        <f>H39-H48</f>
        <v/>
      </c>
      <c r="I49" s="145" t="n"/>
      <c r="J49" s="145" t="n"/>
      <c r="K49" s="145" t="n"/>
      <c r="L49" s="145" t="n"/>
      <c r="M49" s="145" t="n"/>
      <c r="N49" s="145" t="n"/>
      <c r="O49" s="145" t="n"/>
      <c r="P49" s="145" t="n"/>
      <c r="Q49" s="145" t="n"/>
      <c r="R49" s="145" t="n"/>
      <c r="S49" s="145" t="n"/>
      <c r="T49" s="145" t="n"/>
      <c r="U49" s="145" t="n"/>
      <c r="V49" s="145" t="n"/>
      <c r="W49" s="145" t="n"/>
      <c r="X49" s="145" t="n"/>
      <c r="Y49" s="145" t="n"/>
      <c r="Z49" s="145" t="n"/>
    </row>
    <row r="50" ht="16.5" customHeight="1" s="311">
      <c r="A50" s="41" t="n"/>
      <c r="B50" s="232" t="inlineStr">
        <is>
          <t>Gastos del hogar / ingreso del hogar</t>
        </is>
      </c>
      <c r="C50" s="41" t="inlineStr">
        <is>
          <t>%</t>
        </is>
      </c>
      <c r="D50" s="236">
        <f>IFERROR(D48/D39,"")</f>
        <v/>
      </c>
      <c r="E50" s="236">
        <f>IFERROR(E48/E39,"")</f>
        <v/>
      </c>
      <c r="F50" s="236">
        <f>IFERROR(F48/F39,"")</f>
        <v/>
      </c>
      <c r="G50" s="236">
        <f>IFERROR(G48/G39,"")</f>
        <v/>
      </c>
      <c r="H50" s="236">
        <f>IFERROR(H48/H39,"")</f>
        <v/>
      </c>
      <c r="I50" s="145" t="n"/>
      <c r="J50" s="145" t="n"/>
      <c r="K50" s="145" t="n"/>
      <c r="L50" s="145" t="n"/>
      <c r="M50" s="145" t="n"/>
      <c r="N50" s="145" t="n"/>
      <c r="O50" s="145" t="n"/>
      <c r="P50" s="145" t="n"/>
      <c r="Q50" s="145" t="n"/>
      <c r="R50" s="145" t="n"/>
      <c r="S50" s="145" t="n"/>
      <c r="T50" s="145" t="n"/>
      <c r="U50" s="145" t="n"/>
      <c r="V50" s="145" t="n"/>
      <c r="W50" s="145" t="n"/>
      <c r="X50" s="145" t="n"/>
      <c r="Y50" s="145" t="n"/>
      <c r="Z50" s="145" t="n"/>
    </row>
    <row r="51" ht="15.75" customHeight="1" s="311">
      <c r="A51" s="145" t="n"/>
      <c r="B51" s="145" t="n"/>
      <c r="C51" s="145" t="n"/>
      <c r="D51" s="145" t="n"/>
      <c r="E51" s="145" t="n"/>
      <c r="F51" s="145" t="n"/>
      <c r="G51" s="145" t="n"/>
      <c r="H51" s="145" t="n"/>
      <c r="I51" s="145" t="n"/>
      <c r="J51" s="145" t="n"/>
      <c r="K51" s="145" t="n"/>
      <c r="L51" s="145" t="n"/>
      <c r="M51" s="145" t="n"/>
      <c r="N51" s="145" t="n"/>
      <c r="O51" s="145" t="n"/>
      <c r="P51" s="145" t="n"/>
      <c r="Q51" s="145" t="n"/>
      <c r="R51" s="145" t="n"/>
      <c r="S51" s="145" t="n"/>
      <c r="T51" s="145" t="n"/>
      <c r="U51" s="145" t="n"/>
      <c r="V51" s="145" t="n"/>
      <c r="W51" s="145" t="n"/>
      <c r="X51" s="145" t="n"/>
      <c r="Y51" s="145" t="n"/>
      <c r="Z51" s="145" t="n"/>
    </row>
    <row r="52" ht="21.75" customHeight="1" s="311">
      <c r="A52" s="21" t="inlineStr">
        <is>
          <t>4.  RESULTADO GLOBAL DEL ESCENARIO</t>
        </is>
      </c>
      <c r="B52" s="22" t="n"/>
      <c r="C52" s="22" t="n"/>
      <c r="D52" s="22" t="n"/>
      <c r="E52" s="22" t="n"/>
      <c r="F52" s="22" t="n"/>
      <c r="G52" s="22" t="n"/>
      <c r="H52" s="22" t="n"/>
      <c r="I52" s="22" t="n"/>
      <c r="J52" s="145" t="n"/>
      <c r="K52" s="145" t="n"/>
      <c r="L52" s="145" t="n"/>
      <c r="M52" s="145" t="n"/>
      <c r="N52" s="145" t="n"/>
      <c r="O52" s="145" t="n"/>
      <c r="P52" s="145" t="n"/>
      <c r="Q52" s="145" t="n"/>
      <c r="R52" s="145" t="n"/>
      <c r="S52" s="145" t="n"/>
      <c r="T52" s="145" t="n"/>
      <c r="U52" s="145" t="n"/>
      <c r="V52" s="145" t="n"/>
      <c r="W52" s="145" t="n"/>
      <c r="X52" s="145" t="n"/>
      <c r="Y52" s="145" t="n"/>
      <c r="Z52" s="145" t="n"/>
    </row>
    <row r="53" ht="16.5" customHeight="1" s="311">
      <c r="A53" s="41" t="n"/>
      <c r="B53" s="232" t="inlineStr">
        <is>
          <t>Ingreso total del sistema (tú + Iris + Stalin + Tony)</t>
        </is>
      </c>
      <c r="C53" s="41" t="inlineStr">
        <is>
          <t>€</t>
        </is>
      </c>
      <c r="D53" s="234">
        <f>D6+D35+D36+D37</f>
        <v/>
      </c>
      <c r="E53" s="234">
        <f>E6+E35+E36+E37</f>
        <v/>
      </c>
      <c r="F53" s="234">
        <f>F6+F35+F36+F37</f>
        <v/>
      </c>
      <c r="G53" s="234">
        <f>G6+G35+G36+G37</f>
        <v/>
      </c>
      <c r="H53" s="234">
        <f>H6+H35+H36+H37</f>
        <v/>
      </c>
      <c r="I53" s="145" t="n"/>
      <c r="J53" s="145" t="n"/>
      <c r="K53" s="145" t="n"/>
      <c r="L53" s="145" t="n"/>
      <c r="M53" s="145" t="n"/>
      <c r="N53" s="145" t="n"/>
      <c r="O53" s="145" t="n"/>
      <c r="P53" s="145" t="n"/>
      <c r="Q53" s="145" t="n"/>
      <c r="R53" s="145" t="n"/>
      <c r="S53" s="145" t="n"/>
      <c r="T53" s="145" t="n"/>
      <c r="U53" s="145" t="n"/>
      <c r="V53" s="145" t="n"/>
      <c r="W53" s="145" t="n"/>
      <c r="X53" s="145" t="n"/>
      <c r="Y53" s="145" t="n"/>
      <c r="Z53" s="145" t="n"/>
    </row>
    <row r="54" ht="27.75" customHeight="1" s="311">
      <c r="A54" s="36" t="n"/>
      <c r="B54" s="235" t="inlineStr">
        <is>
          <t>CAPACIDAD DE AHORRO TOTAL (tus reservas + superávit del hogar)</t>
        </is>
      </c>
      <c r="C54" s="36" t="inlineStr">
        <is>
          <t>€</t>
        </is>
      </c>
      <c r="D54" s="68">
        <f>D31+D49</f>
        <v/>
      </c>
      <c r="E54" s="68">
        <f>E31+E49</f>
        <v/>
      </c>
      <c r="F54" s="68">
        <f>F31+F49</f>
        <v/>
      </c>
      <c r="G54" s="68">
        <f>G31+G49</f>
        <v/>
      </c>
      <c r="H54" s="68">
        <f>H31+H49</f>
        <v/>
      </c>
      <c r="I54" s="145" t="n"/>
      <c r="J54" s="145" t="n"/>
      <c r="K54" s="145" t="n"/>
      <c r="L54" s="145" t="n"/>
      <c r="M54" s="145" t="n"/>
      <c r="N54" s="145" t="n"/>
      <c r="O54" s="145" t="n"/>
      <c r="P54" s="145" t="n"/>
      <c r="Q54" s="145" t="n"/>
      <c r="R54" s="145" t="n"/>
      <c r="S54" s="145" t="n"/>
      <c r="T54" s="145" t="n"/>
      <c r="U54" s="145" t="n"/>
      <c r="V54" s="145" t="n"/>
      <c r="W54" s="145" t="n"/>
      <c r="X54" s="145" t="n"/>
      <c r="Y54" s="145" t="n"/>
      <c r="Z54" s="145" t="n"/>
    </row>
    <row r="55" ht="16.5" customHeight="1" s="311">
      <c r="A55" s="41" t="n"/>
      <c r="B55" s="233" t="inlineStr">
        <is>
          <t>Tasa de ahorro del sistema</t>
        </is>
      </c>
      <c r="C55" s="41" t="inlineStr">
        <is>
          <t>%</t>
        </is>
      </c>
      <c r="D55" s="77">
        <f>IFERROR(D54/D53,"")</f>
        <v/>
      </c>
      <c r="E55" s="77">
        <f>IFERROR(E54/E53,"")</f>
        <v/>
      </c>
      <c r="F55" s="77">
        <f>IFERROR(F54/F53,"")</f>
        <v/>
      </c>
      <c r="G55" s="77">
        <f>IFERROR(G54/G53,"")</f>
        <v/>
      </c>
      <c r="H55" s="77">
        <f>IFERROR(H54/H53,"")</f>
        <v/>
      </c>
      <c r="I55" s="145" t="n"/>
      <c r="J55" s="145" t="n"/>
      <c r="K55" s="145" t="n"/>
      <c r="L55" s="145" t="n"/>
      <c r="M55" s="145" t="n"/>
      <c r="N55" s="145" t="n"/>
      <c r="O55" s="145" t="n"/>
      <c r="P55" s="145" t="n"/>
      <c r="Q55" s="145" t="n"/>
      <c r="R55" s="145" t="n"/>
      <c r="S55" s="145" t="n"/>
      <c r="T55" s="145" t="n"/>
      <c r="U55" s="145" t="n"/>
      <c r="V55" s="145" t="n"/>
      <c r="W55" s="145" t="n"/>
      <c r="X55" s="145" t="n"/>
      <c r="Y55" s="145" t="n"/>
      <c r="Z55" s="145" t="n"/>
    </row>
    <row r="56" ht="16.5" customHeight="1" s="311">
      <c r="A56" s="41" t="n"/>
      <c r="B56" s="232" t="inlineStr">
        <is>
          <t>Coste total de tu vida (gastos personales + aporte a la casa)</t>
        </is>
      </c>
      <c r="C56" s="41" t="inlineStr">
        <is>
          <t>€</t>
        </is>
      </c>
      <c r="D56" s="234">
        <f>D26+D29</f>
        <v/>
      </c>
      <c r="E56" s="234">
        <f>E26+E29</f>
        <v/>
      </c>
      <c r="F56" s="234">
        <f>F26+F29</f>
        <v/>
      </c>
      <c r="G56" s="234">
        <f>G26+G29</f>
        <v/>
      </c>
      <c r="H56" s="234">
        <f>H26+H29</f>
        <v/>
      </c>
      <c r="I56" s="145" t="n"/>
      <c r="J56" s="145" t="n"/>
      <c r="K56" s="145" t="n"/>
      <c r="L56" s="145" t="n"/>
      <c r="M56" s="145" t="n"/>
      <c r="N56" s="145" t="n"/>
      <c r="O56" s="145" t="n"/>
      <c r="P56" s="145" t="n"/>
      <c r="Q56" s="145" t="n"/>
      <c r="R56" s="145" t="n"/>
      <c r="S56" s="145" t="n"/>
      <c r="T56" s="145" t="n"/>
      <c r="U56" s="145" t="n"/>
      <c r="V56" s="145" t="n"/>
      <c r="W56" s="145" t="n"/>
      <c r="X56" s="145" t="n"/>
      <c r="Y56" s="145" t="n"/>
      <c r="Z56" s="145" t="n"/>
    </row>
    <row r="57" ht="15.75" customHeight="1" s="311">
      <c r="A57" s="145" t="n"/>
      <c r="B57" s="145" t="n"/>
      <c r="C57" s="145" t="n"/>
      <c r="D57" s="145" t="n"/>
      <c r="E57" s="145" t="n"/>
      <c r="F57" s="145" t="n"/>
      <c r="G57" s="145" t="n"/>
      <c r="H57" s="145" t="n"/>
      <c r="I57" s="145" t="n"/>
      <c r="J57" s="145" t="n"/>
      <c r="K57" s="145" t="n"/>
      <c r="L57" s="145" t="n"/>
      <c r="M57" s="145" t="n"/>
      <c r="N57" s="145" t="n"/>
      <c r="O57" s="145" t="n"/>
      <c r="P57" s="145" t="n"/>
      <c r="Q57" s="145" t="n"/>
      <c r="R57" s="145" t="n"/>
      <c r="S57" s="145" t="n"/>
      <c r="T57" s="145" t="n"/>
      <c r="U57" s="145" t="n"/>
      <c r="V57" s="145" t="n"/>
      <c r="W57" s="145" t="n"/>
      <c r="X57" s="145" t="n"/>
      <c r="Y57" s="145" t="n"/>
      <c r="Z57" s="145" t="n"/>
    </row>
    <row r="58" ht="21.75" customHeight="1" s="311">
      <c r="A58" s="21" t="inlineStr">
        <is>
          <t>5.  INDEPENDENCIA FINANCIERA</t>
        </is>
      </c>
      <c r="B58" s="22" t="n"/>
      <c r="C58" s="22" t="n"/>
      <c r="D58" s="22" t="n"/>
      <c r="E58" s="22" t="n"/>
      <c r="F58" s="22" t="n"/>
      <c r="G58" s="22" t="n"/>
      <c r="H58" s="22" t="n"/>
      <c r="I58" s="22" t="n"/>
      <c r="J58" s="145" t="n"/>
      <c r="K58" s="145" t="n"/>
      <c r="L58" s="145" t="n"/>
      <c r="M58" s="145" t="n"/>
      <c r="N58" s="145" t="n"/>
      <c r="O58" s="145" t="n"/>
      <c r="P58" s="145" t="n"/>
      <c r="Q58" s="145" t="n"/>
      <c r="R58" s="145" t="n"/>
      <c r="S58" s="145" t="n"/>
      <c r="T58" s="145" t="n"/>
      <c r="U58" s="145" t="n"/>
      <c r="V58" s="145" t="n"/>
      <c r="W58" s="145" t="n"/>
      <c r="X58" s="145" t="n"/>
      <c r="Y58" s="145" t="n"/>
      <c r="Z58" s="145" t="n"/>
    </row>
    <row r="59" ht="22.5" customHeight="1" s="311">
      <c r="A59" s="41" t="n"/>
      <c r="B59" s="232" t="inlineStr">
        <is>
          <t>Gasto mensual que hay que cubrir para no trabajar</t>
        </is>
      </c>
      <c r="C59" s="41" t="inlineStr">
        <is>
          <t>€</t>
        </is>
      </c>
      <c r="D59" s="234">
        <f>D56</f>
        <v/>
      </c>
      <c r="E59" s="234">
        <f>E56</f>
        <v/>
      </c>
      <c r="F59" s="234">
        <f>F56</f>
        <v/>
      </c>
      <c r="G59" s="234">
        <f>G56</f>
        <v/>
      </c>
      <c r="H59" s="234">
        <f>H56</f>
        <v/>
      </c>
      <c r="I59" s="20" t="inlineStr">
        <is>
          <t>Tu archivo calculaba el objetivo sobre el SALARIO (C3*120). Lo correcto es calcularlo sobre el GASTO: cuando dejas de trabajar el salario desaparece, el gasto no.</t>
        </is>
      </c>
      <c r="J59" s="145" t="n"/>
      <c r="K59" s="145" t="n"/>
      <c r="L59" s="145" t="n"/>
      <c r="M59" s="145" t="n"/>
      <c r="N59" s="145" t="n"/>
      <c r="O59" s="145" t="n"/>
      <c r="P59" s="145" t="n"/>
      <c r="Q59" s="145" t="n"/>
      <c r="R59" s="145" t="n"/>
      <c r="S59" s="145" t="n"/>
      <c r="T59" s="145" t="n"/>
      <c r="U59" s="145" t="n"/>
      <c r="V59" s="145" t="n"/>
      <c r="W59" s="145" t="n"/>
      <c r="X59" s="145" t="n"/>
      <c r="Y59" s="145" t="n"/>
      <c r="Z59" s="145" t="n"/>
    </row>
    <row r="60" ht="24" customHeight="1" s="311">
      <c r="A60" s="41" t="n"/>
      <c r="B60" s="232" t="inlineStr">
        <is>
          <t>Tu multiplicador (meses de gasto)</t>
        </is>
      </c>
      <c r="C60" s="41" t="inlineStr">
        <is>
          <t>meses</t>
        </is>
      </c>
      <c r="D60" s="141" t="n">
        <v>120</v>
      </c>
      <c r="E60" s="141" t="n">
        <v>120</v>
      </c>
      <c r="F60" s="141" t="n">
        <v>120</v>
      </c>
      <c r="G60" s="141" t="n">
        <v>120</v>
      </c>
      <c r="H60" s="141" t="n">
        <v>120</v>
      </c>
      <c r="I60" s="20" t="inlineStr">
        <is>
          <t>Los 120 de tu regla. 120 meses = 10 años de gasto: es un buen colchón, pero no es independencia financiera perpetua.</t>
        </is>
      </c>
      <c r="J60" s="145" t="n"/>
      <c r="K60" s="145" t="n"/>
      <c r="L60" s="145" t="n"/>
      <c r="M60" s="145" t="n"/>
      <c r="N60" s="145" t="n"/>
      <c r="O60" s="145" t="n"/>
      <c r="P60" s="145" t="n"/>
      <c r="Q60" s="145" t="n"/>
      <c r="R60" s="145" t="n"/>
      <c r="S60" s="145" t="n"/>
      <c r="T60" s="145" t="n"/>
      <c r="U60" s="145" t="n"/>
      <c r="V60" s="145" t="n"/>
      <c r="W60" s="145" t="n"/>
      <c r="X60" s="145" t="n"/>
      <c r="Y60" s="145" t="n"/>
      <c r="Z60" s="145" t="n"/>
    </row>
    <row r="61" ht="23.25" customHeight="1" s="311">
      <c r="A61" s="41" t="n"/>
      <c r="B61" s="233" t="inlineStr">
        <is>
          <t>Objetivo según TU regla (gasto × multiplicador)</t>
        </is>
      </c>
      <c r="C61" s="41" t="inlineStr">
        <is>
          <t>€</t>
        </is>
      </c>
      <c r="D61" s="68">
        <f>D59*D60</f>
        <v/>
      </c>
      <c r="E61" s="68">
        <f>E59*E60</f>
        <v/>
      </c>
      <c r="F61" s="68">
        <f>F59*F60</f>
        <v/>
      </c>
      <c r="G61" s="68">
        <f>G59*G60</f>
        <v/>
      </c>
      <c r="H61" s="68">
        <f>H59*H60</f>
        <v/>
      </c>
      <c r="I61" s="145" t="n"/>
      <c r="J61" s="145" t="n"/>
      <c r="K61" s="145" t="n"/>
      <c r="L61" s="145" t="n"/>
      <c r="M61" s="145" t="n"/>
      <c r="N61" s="145" t="n"/>
      <c r="O61" s="145" t="n"/>
      <c r="P61" s="145" t="n"/>
      <c r="Q61" s="145" t="n"/>
      <c r="R61" s="145" t="n"/>
      <c r="S61" s="145" t="n"/>
      <c r="T61" s="145" t="n"/>
      <c r="U61" s="145" t="n"/>
      <c r="V61" s="145" t="n"/>
      <c r="W61" s="145" t="n"/>
      <c r="X61" s="145" t="n"/>
      <c r="Y61" s="145" t="n"/>
      <c r="Z61" s="145" t="n"/>
    </row>
    <row r="62" ht="25.5" customHeight="1" s="311">
      <c r="A62" s="41" t="n"/>
      <c r="B62" s="232" t="inlineStr">
        <is>
          <t>Tasa de retiro segura anual</t>
        </is>
      </c>
      <c r="C62" s="41" t="inlineStr">
        <is>
          <t>%</t>
        </is>
      </c>
      <c r="D62" s="180" t="n">
        <v>0.04</v>
      </c>
      <c r="E62" s="180" t="n">
        <v>0.04</v>
      </c>
      <c r="F62" s="180" t="n">
        <v>0.04</v>
      </c>
      <c r="G62" s="180" t="n">
        <v>0.04</v>
      </c>
      <c r="H62" s="180" t="n">
        <v>0.04</v>
      </c>
      <c r="I62" s="20" t="inlineStr">
        <is>
          <t>La regla del 4%: si retiras un 4% al año de una cartera diversificada, históricamente no se agota. Equivale a 300 meses de gasto.</t>
        </is>
      </c>
      <c r="J62" s="145" t="n"/>
      <c r="K62" s="145" t="n"/>
      <c r="L62" s="145" t="n"/>
      <c r="M62" s="145" t="n"/>
      <c r="N62" s="145" t="n"/>
      <c r="O62" s="145" t="n"/>
      <c r="P62" s="145" t="n"/>
      <c r="Q62" s="145" t="n"/>
      <c r="R62" s="145" t="n"/>
      <c r="S62" s="145" t="n"/>
      <c r="T62" s="145" t="n"/>
      <c r="U62" s="145" t="n"/>
      <c r="V62" s="145" t="n"/>
      <c r="W62" s="145" t="n"/>
      <c r="X62" s="145" t="n"/>
      <c r="Y62" s="145" t="n"/>
      <c r="Z62" s="145" t="n"/>
    </row>
    <row r="63" ht="16.5" customHeight="1" s="311">
      <c r="A63" s="41" t="n"/>
      <c r="B63" s="233" t="inlineStr">
        <is>
          <t>Objetivo con la regla del 4%</t>
        </is>
      </c>
      <c r="C63" s="41" t="inlineStr">
        <is>
          <t>€</t>
        </is>
      </c>
      <c r="D63" s="68">
        <f>IFERROR(D59*12/D62,"")</f>
        <v/>
      </c>
      <c r="E63" s="68">
        <f>IFERROR(E59*12/E62,"")</f>
        <v/>
      </c>
      <c r="F63" s="68">
        <f>IFERROR(F59*12/F62,"")</f>
        <v/>
      </c>
      <c r="G63" s="68">
        <f>IFERROR(G59*12/G62,"")</f>
        <v/>
      </c>
      <c r="H63" s="68">
        <f>IFERROR(H59*12/H62,"")</f>
        <v/>
      </c>
      <c r="I63" s="145" t="n"/>
      <c r="J63" s="145" t="n"/>
      <c r="K63" s="145" t="n"/>
      <c r="L63" s="145" t="n"/>
      <c r="M63" s="145" t="n"/>
      <c r="N63" s="145" t="n"/>
      <c r="O63" s="145" t="n"/>
      <c r="P63" s="145" t="n"/>
      <c r="Q63" s="145" t="n"/>
      <c r="R63" s="145" t="n"/>
      <c r="S63" s="145" t="n"/>
      <c r="T63" s="145" t="n"/>
      <c r="U63" s="145" t="n"/>
      <c r="V63" s="145" t="n"/>
      <c r="W63" s="145" t="n"/>
      <c r="X63" s="145" t="n"/>
      <c r="Y63" s="145" t="n"/>
      <c r="Z63" s="145" t="n"/>
    </row>
    <row r="64" ht="16.5" customHeight="1" s="311">
      <c r="A64" s="41" t="n"/>
      <c r="B64" s="232" t="inlineStr">
        <is>
          <t>Patrimonio invertido hoy</t>
        </is>
      </c>
      <c r="C64" s="41" t="inlineStr">
        <is>
          <t>€</t>
        </is>
      </c>
      <c r="D64" s="126">
        <f>SUMIFS(Inversiones!$L$7:$L$47,Inversiones!$X$7:$X$47,"Sí")</f>
        <v/>
      </c>
      <c r="E64" s="126">
        <f>SUMIFS(Inversiones!$L$7:$L$47,Inversiones!$X$7:$X$47,"Sí")</f>
        <v/>
      </c>
      <c r="F64" s="126">
        <f>SUMIFS(Inversiones!$L$7:$L$47,Inversiones!$X$7:$X$47,"Sí")</f>
        <v/>
      </c>
      <c r="G64" s="126">
        <f>SUMIFS(Inversiones!$L$7:$L$47,Inversiones!$X$7:$X$47,"Sí")</f>
        <v/>
      </c>
      <c r="H64" s="126">
        <f>SUMIFS(Inversiones!$L$7:$L$47,Inversiones!$X$7:$X$47,"Sí")</f>
        <v/>
      </c>
      <c r="I64" s="20" t="inlineStr">
        <is>
          <t>Ahora se lee de la hoja Inversiones: el valor actual total de tu cartera.</t>
        </is>
      </c>
      <c r="J64" s="145" t="n"/>
      <c r="K64" s="145" t="n"/>
      <c r="L64" s="145" t="n"/>
      <c r="M64" s="145" t="n"/>
      <c r="N64" s="145" t="n"/>
      <c r="O64" s="145" t="n"/>
      <c r="P64" s="145" t="n"/>
      <c r="Q64" s="145" t="n"/>
      <c r="R64" s="145" t="n"/>
      <c r="S64" s="145" t="n"/>
      <c r="T64" s="145" t="n"/>
      <c r="U64" s="145" t="n"/>
      <c r="V64" s="145" t="n"/>
      <c r="W64" s="145" t="n"/>
      <c r="X64" s="145" t="n"/>
      <c r="Y64" s="145" t="n"/>
      <c r="Z64" s="145" t="n"/>
    </row>
    <row r="65" ht="16.5" customHeight="1" s="311">
      <c r="A65" s="41" t="n"/>
      <c r="B65" s="232" t="inlineStr">
        <is>
          <t>Rentabilidad anual esperada</t>
        </is>
      </c>
      <c r="C65" s="41" t="inlineStr">
        <is>
          <t>%</t>
        </is>
      </c>
      <c r="D65" s="180" t="n">
        <v>0.06</v>
      </c>
      <c r="E65" s="180" t="n">
        <v>0.06</v>
      </c>
      <c r="F65" s="180" t="n">
        <v>0.06</v>
      </c>
      <c r="G65" s="180" t="n">
        <v>0.06</v>
      </c>
      <c r="H65" s="180" t="n">
        <v>0.06</v>
      </c>
      <c r="I65" s="145" t="n"/>
      <c r="J65" s="145" t="n"/>
      <c r="K65" s="145" t="n"/>
      <c r="L65" s="145" t="n"/>
      <c r="M65" s="145" t="n"/>
      <c r="N65" s="145" t="n"/>
      <c r="O65" s="145" t="n"/>
      <c r="P65" s="145" t="n"/>
      <c r="Q65" s="145" t="n"/>
      <c r="R65" s="145" t="n"/>
      <c r="S65" s="145" t="n"/>
      <c r="T65" s="145" t="n"/>
      <c r="U65" s="145" t="n"/>
      <c r="V65" s="145" t="n"/>
      <c r="W65" s="145" t="n"/>
      <c r="X65" s="145" t="n"/>
      <c r="Y65" s="145" t="n"/>
      <c r="Z65" s="145" t="n"/>
    </row>
    <row r="66" ht="16.5" customHeight="1" s="311">
      <c r="A66" s="41" t="n"/>
      <c r="B66" s="232" t="inlineStr">
        <is>
          <t>Años hasta TU objetivo</t>
        </is>
      </c>
      <c r="C66" s="41" t="inlineStr">
        <is>
          <t>años</t>
        </is>
      </c>
      <c r="D66" s="237">
        <f>IFERROR(NPER(D65/12,-D13,-D64,D61)/12,"")</f>
        <v/>
      </c>
      <c r="E66" s="237">
        <f>IFERROR(NPER(E65/12,-E13,-E64,E61)/12,"")</f>
        <v/>
      </c>
      <c r="F66" s="237">
        <f>IFERROR(NPER(F65/12,-F13,-F64,F61)/12,"")</f>
        <v/>
      </c>
      <c r="G66" s="237">
        <f>IFERROR(NPER(G65/12,-G13,-G64,G61)/12,"")</f>
        <v/>
      </c>
      <c r="H66" s="237">
        <f>IFERROR(NPER(H65/12,-H13,-H64,H61)/12,"")</f>
        <v/>
      </c>
      <c r="I66" s="145" t="n"/>
      <c r="J66" s="145" t="n"/>
      <c r="K66" s="145" t="n"/>
      <c r="L66" s="145" t="n"/>
      <c r="M66" s="145" t="n"/>
      <c r="N66" s="145" t="n"/>
      <c r="O66" s="145" t="n"/>
      <c r="P66" s="145" t="n"/>
      <c r="Q66" s="145" t="n"/>
      <c r="R66" s="145" t="n"/>
      <c r="S66" s="145" t="n"/>
      <c r="T66" s="145" t="n"/>
      <c r="U66" s="145" t="n"/>
      <c r="V66" s="145" t="n"/>
      <c r="W66" s="145" t="n"/>
      <c r="X66" s="145" t="n"/>
      <c r="Y66" s="145" t="n"/>
      <c r="Z66" s="145" t="n"/>
    </row>
    <row r="67" ht="16.5" customHeight="1" s="311">
      <c r="A67" s="41" t="n"/>
      <c r="B67" s="232" t="inlineStr">
        <is>
          <t>Años hasta el objetivo del 4%</t>
        </is>
      </c>
      <c r="C67" s="41" t="inlineStr">
        <is>
          <t>años</t>
        </is>
      </c>
      <c r="D67" s="237">
        <f>IFERROR(NPER(D65/12,-D13,-D64,D63)/12,"")</f>
        <v/>
      </c>
      <c r="E67" s="237">
        <f>IFERROR(NPER(E65/12,-E13,-E64,E63)/12,"")</f>
        <v/>
      </c>
      <c r="F67" s="237">
        <f>IFERROR(NPER(F65/12,-F13,-F64,F63)/12,"")</f>
        <v/>
      </c>
      <c r="G67" s="237">
        <f>IFERROR(NPER(G65/12,-G13,-G64,G63)/12,"")</f>
        <v/>
      </c>
      <c r="H67" s="237">
        <f>IFERROR(NPER(H65/12,-H13,-H64,H63)/12,"")</f>
        <v/>
      </c>
      <c r="I67" s="145" t="n"/>
      <c r="J67" s="145" t="n"/>
      <c r="K67" s="145" t="n"/>
      <c r="L67" s="145" t="n"/>
      <c r="M67" s="145" t="n"/>
      <c r="N67" s="145" t="n"/>
      <c r="O67" s="145" t="n"/>
      <c r="P67" s="145" t="n"/>
      <c r="Q67" s="145" t="n"/>
      <c r="R67" s="145" t="n"/>
      <c r="S67" s="145" t="n"/>
      <c r="T67" s="145" t="n"/>
      <c r="U67" s="145" t="n"/>
      <c r="V67" s="145" t="n"/>
      <c r="W67" s="145" t="n"/>
      <c r="X67" s="145" t="n"/>
      <c r="Y67" s="145" t="n"/>
      <c r="Z67" s="145" t="n"/>
    </row>
    <row r="68" ht="16.5" customHeight="1" s="311">
      <c r="A68" s="41" t="n"/>
      <c r="B68" s="233" t="inlineStr">
        <is>
          <t>Progreso hacia el objetivo del 4%</t>
        </is>
      </c>
      <c r="C68" s="41" t="inlineStr">
        <is>
          <t>%</t>
        </is>
      </c>
      <c r="D68" s="77">
        <f>IFERROR(D64/D63,"")</f>
        <v/>
      </c>
      <c r="E68" s="77">
        <f>IFERROR(E64/E63,"")</f>
        <v/>
      </c>
      <c r="F68" s="77">
        <f>IFERROR(F64/F63,"")</f>
        <v/>
      </c>
      <c r="G68" s="77">
        <f>IFERROR(G64/G63,"")</f>
        <v/>
      </c>
      <c r="H68" s="77">
        <f>IFERROR(H64/H63,"")</f>
        <v/>
      </c>
      <c r="I68" s="145" t="n"/>
      <c r="J68" s="145" t="n"/>
      <c r="K68" s="145" t="n"/>
      <c r="L68" s="145" t="n"/>
      <c r="M68" s="145" t="n"/>
      <c r="N68" s="145" t="n"/>
      <c r="O68" s="145" t="n"/>
      <c r="P68" s="145" t="n"/>
      <c r="Q68" s="145" t="n"/>
      <c r="R68" s="145" t="n"/>
      <c r="S68" s="145" t="n"/>
      <c r="T68" s="145" t="n"/>
      <c r="U68" s="145" t="n"/>
      <c r="V68" s="145" t="n"/>
      <c r="W68" s="145" t="n"/>
      <c r="X68" s="145" t="n"/>
      <c r="Y68" s="145" t="n"/>
      <c r="Z68" s="145" t="n"/>
    </row>
    <row r="69" ht="15.75" customHeight="1" s="311">
      <c r="A69" s="145" t="n"/>
      <c r="B69" s="145" t="n"/>
      <c r="C69" s="145" t="n"/>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c r="W69" s="145" t="n"/>
      <c r="X69" s="145" t="n"/>
      <c r="Y69" s="145" t="n"/>
      <c r="Z69" s="145" t="n"/>
    </row>
    <row r="70" ht="15.75" customHeight="1" s="311">
      <c r="A70" s="145" t="n"/>
      <c r="B70" s="145" t="n"/>
      <c r="C70" s="145" t="n"/>
      <c r="D70" s="145" t="n"/>
      <c r="E70" s="145" t="n"/>
      <c r="F70" s="145" t="n"/>
      <c r="G70" s="145" t="n"/>
      <c r="H70" s="145" t="n"/>
      <c r="I70" s="145" t="n"/>
      <c r="J70" s="145" t="n"/>
      <c r="K70" s="145" t="n"/>
      <c r="L70" s="145" t="n"/>
      <c r="M70" s="145" t="n"/>
      <c r="N70" s="145" t="n"/>
      <c r="O70" s="145" t="n"/>
      <c r="P70" s="145" t="n"/>
      <c r="Q70" s="145" t="n"/>
      <c r="R70" s="145" t="n"/>
      <c r="S70" s="145" t="n"/>
      <c r="T70" s="145" t="n"/>
      <c r="U70" s="145" t="n"/>
      <c r="V70" s="145" t="n"/>
      <c r="W70" s="145" t="n"/>
      <c r="X70" s="145" t="n"/>
      <c r="Y70" s="145" t="n"/>
      <c r="Z70" s="145" t="n"/>
    </row>
    <row r="71" ht="15.75" customHeight="1" s="311">
      <c r="A71" s="145" t="n"/>
      <c r="B71" s="145" t="n"/>
      <c r="C71" s="145" t="n"/>
      <c r="D71" s="145" t="n"/>
      <c r="E71" s="145" t="n"/>
      <c r="F71" s="145" t="n"/>
      <c r="G71" s="145" t="n"/>
      <c r="H71" s="145" t="n"/>
      <c r="I71" s="145" t="n"/>
      <c r="J71" s="145" t="n"/>
      <c r="K71" s="145" t="n"/>
      <c r="L71" s="145" t="n"/>
      <c r="M71" s="145" t="n"/>
      <c r="N71" s="145" t="n"/>
      <c r="O71" s="145" t="n"/>
      <c r="P71" s="145" t="n"/>
      <c r="Q71" s="145" t="n"/>
      <c r="R71" s="145" t="n"/>
      <c r="S71" s="145" t="n"/>
      <c r="T71" s="145" t="n"/>
      <c r="U71" s="145" t="n"/>
      <c r="V71" s="145" t="n"/>
      <c r="W71" s="145" t="n"/>
      <c r="X71" s="145" t="n"/>
      <c r="Y71" s="145" t="n"/>
      <c r="Z71" s="145" t="n"/>
    </row>
    <row r="72" ht="15.75" customHeight="1" s="311">
      <c r="A72" s="145" t="n"/>
      <c r="B72" s="145" t="n"/>
      <c r="C72" s="145" t="n"/>
      <c r="D72" s="145" t="n"/>
      <c r="E72" s="145" t="n"/>
      <c r="F72" s="145" t="n"/>
      <c r="G72" s="145" t="n"/>
      <c r="H72" s="145" t="n"/>
      <c r="I72" s="145" t="n"/>
      <c r="J72" s="145" t="n"/>
      <c r="K72" s="145" t="n"/>
      <c r="L72" s="145" t="n"/>
      <c r="M72" s="145" t="n"/>
      <c r="N72" s="145" t="n"/>
      <c r="O72" s="145" t="n"/>
      <c r="P72" s="145" t="n"/>
      <c r="Q72" s="145" t="n"/>
      <c r="R72" s="145" t="n"/>
      <c r="S72" s="145" t="n"/>
      <c r="T72" s="145" t="n"/>
      <c r="U72" s="145" t="n"/>
      <c r="V72" s="145" t="n"/>
      <c r="W72" s="145" t="n"/>
      <c r="X72" s="145" t="n"/>
      <c r="Y72" s="145" t="n"/>
      <c r="Z72" s="145" t="n"/>
    </row>
    <row r="73" ht="15.75" customHeight="1" s="311">
      <c r="A73" s="145" t="n"/>
      <c r="B73" s="145" t="n"/>
      <c r="C73" s="145" t="n"/>
      <c r="D73" s="145" t="n"/>
      <c r="E73" s="145" t="n"/>
      <c r="F73" s="145" t="n"/>
      <c r="G73" s="145" t="n"/>
      <c r="H73" s="145" t="n"/>
      <c r="I73" s="145" t="n"/>
      <c r="J73" s="145" t="n"/>
      <c r="K73" s="145" t="n"/>
      <c r="L73" s="145" t="n"/>
      <c r="M73" s="145" t="n"/>
      <c r="N73" s="145" t="n"/>
      <c r="O73" s="145" t="n"/>
      <c r="P73" s="145" t="n"/>
      <c r="Q73" s="145" t="n"/>
      <c r="R73" s="145" t="n"/>
      <c r="S73" s="145" t="n"/>
      <c r="T73" s="145" t="n"/>
      <c r="U73" s="145" t="n"/>
      <c r="V73" s="145" t="n"/>
      <c r="W73" s="145" t="n"/>
      <c r="X73" s="145" t="n"/>
      <c r="Y73" s="145" t="n"/>
      <c r="Z73" s="145" t="n"/>
    </row>
    <row r="74" ht="15.75" customHeight="1" s="311">
      <c r="A74" s="145" t="n"/>
      <c r="B74" s="145" t="n"/>
      <c r="C74" s="145"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5" t="n"/>
      <c r="Y74" s="145" t="n"/>
      <c r="Z74" s="145" t="n"/>
    </row>
    <row r="75" ht="15.75" customHeight="1" s="311">
      <c r="A75" s="145" t="n"/>
      <c r="B75" s="145" t="n"/>
      <c r="C75" s="145"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5" t="n"/>
      <c r="Y75" s="145" t="n"/>
      <c r="Z75" s="145" t="n"/>
    </row>
    <row r="76" ht="15.75" customHeight="1" s="311">
      <c r="A76" s="145" t="n"/>
      <c r="B76" s="145" t="n"/>
      <c r="C76" s="145"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5" t="n"/>
      <c r="Y76" s="145" t="n"/>
      <c r="Z76" s="145" t="n"/>
    </row>
    <row r="77" ht="15.75" customHeight="1" s="311">
      <c r="A77" s="145" t="n"/>
      <c r="B77" s="145" t="n"/>
      <c r="C77" s="145" t="n"/>
      <c r="D77" s="145" t="n"/>
      <c r="E77" s="145" t="n"/>
      <c r="F77" s="145" t="n"/>
      <c r="G77" s="145" t="n"/>
      <c r="H77" s="145" t="n"/>
      <c r="I77" s="145" t="n"/>
      <c r="J77" s="145" t="n"/>
      <c r="K77" s="145" t="n"/>
      <c r="L77" s="145" t="n"/>
      <c r="M77" s="145" t="n"/>
      <c r="N77" s="145" t="n"/>
      <c r="O77" s="145" t="n"/>
      <c r="P77" s="145" t="n"/>
      <c r="Q77" s="145" t="n"/>
      <c r="R77" s="145" t="n"/>
      <c r="S77" s="145" t="n"/>
      <c r="T77" s="145" t="n"/>
      <c r="U77" s="145" t="n"/>
      <c r="V77" s="145" t="n"/>
      <c r="W77" s="145" t="n"/>
      <c r="X77" s="145" t="n"/>
      <c r="Y77" s="145" t="n"/>
      <c r="Z77" s="145" t="n"/>
    </row>
    <row r="78" ht="15.75" customHeight="1" s="311">
      <c r="A78" s="145" t="n"/>
      <c r="B78" s="145" t="n"/>
      <c r="C78" s="145" t="n"/>
      <c r="D78" s="145" t="n"/>
      <c r="E78" s="145" t="n"/>
      <c r="F78" s="145" t="n"/>
      <c r="G78" s="145" t="n"/>
      <c r="H78" s="145" t="n"/>
      <c r="I78" s="145" t="n"/>
      <c r="J78" s="145" t="n"/>
      <c r="K78" s="145" t="n"/>
      <c r="L78" s="145" t="n"/>
      <c r="M78" s="145" t="n"/>
      <c r="N78" s="145" t="n"/>
      <c r="O78" s="145" t="n"/>
      <c r="P78" s="145" t="n"/>
      <c r="Q78" s="145" t="n"/>
      <c r="R78" s="145" t="n"/>
      <c r="S78" s="145" t="n"/>
      <c r="T78" s="145" t="n"/>
      <c r="U78" s="145" t="n"/>
      <c r="V78" s="145" t="n"/>
      <c r="W78" s="145" t="n"/>
      <c r="X78" s="145" t="n"/>
      <c r="Y78" s="145" t="n"/>
      <c r="Z78" s="145" t="n"/>
    </row>
    <row r="79" ht="15.75" customHeight="1" s="311">
      <c r="A79" s="145" t="n"/>
      <c r="B79" s="145" t="n"/>
      <c r="C79" s="145" t="n"/>
      <c r="D79" s="145" t="n"/>
      <c r="E79" s="145" t="n"/>
      <c r="F79" s="145" t="n"/>
      <c r="G79" s="145" t="n"/>
      <c r="H79" s="145" t="n"/>
      <c r="I79" s="145" t="n"/>
      <c r="J79" s="145" t="n"/>
      <c r="K79" s="145" t="n"/>
      <c r="L79" s="145" t="n"/>
      <c r="M79" s="145" t="n"/>
      <c r="N79" s="145" t="n"/>
      <c r="O79" s="145" t="n"/>
      <c r="P79" s="145" t="n"/>
      <c r="Q79" s="145" t="n"/>
      <c r="R79" s="145" t="n"/>
      <c r="S79" s="145" t="n"/>
      <c r="T79" s="145" t="n"/>
      <c r="U79" s="145" t="n"/>
      <c r="V79" s="145" t="n"/>
      <c r="W79" s="145" t="n"/>
      <c r="X79" s="145" t="n"/>
      <c r="Y79" s="145" t="n"/>
      <c r="Z79" s="145" t="n"/>
    </row>
    <row r="80" ht="15.75" customHeight="1" s="311">
      <c r="A80" s="145" t="n"/>
      <c r="B80" s="145" t="n"/>
      <c r="C80" s="145" t="n"/>
      <c r="D80" s="145" t="n"/>
      <c r="E80" s="145" t="n"/>
      <c r="F80" s="145" t="n"/>
      <c r="G80" s="145" t="n"/>
      <c r="H80" s="145" t="n"/>
      <c r="I80" s="145" t="n"/>
      <c r="J80" s="145" t="n"/>
      <c r="K80" s="145" t="n"/>
      <c r="L80" s="145" t="n"/>
      <c r="M80" s="145" t="n"/>
      <c r="N80" s="145" t="n"/>
      <c r="O80" s="145" t="n"/>
      <c r="P80" s="145" t="n"/>
      <c r="Q80" s="145" t="n"/>
      <c r="R80" s="145" t="n"/>
      <c r="S80" s="145" t="n"/>
      <c r="T80" s="145" t="n"/>
      <c r="U80" s="145" t="n"/>
      <c r="V80" s="145" t="n"/>
      <c r="W80" s="145" t="n"/>
      <c r="X80" s="145" t="n"/>
      <c r="Y80" s="145" t="n"/>
      <c r="Z80" s="145" t="n"/>
    </row>
    <row r="81" ht="15.75" customHeight="1" s="311">
      <c r="A81" s="145" t="n"/>
      <c r="B81" s="145" t="n"/>
      <c r="C81" s="145"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5" t="n"/>
      <c r="Y81" s="145" t="n"/>
      <c r="Z81" s="145"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5" t="n"/>
      <c r="Y82" s="145" t="n"/>
      <c r="Z82" s="145"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5" t="n"/>
      <c r="Y83" s="145" t="n"/>
      <c r="Z83" s="145" t="n"/>
    </row>
    <row r="84" ht="15.75" customHeight="1" s="311">
      <c r="A84" s="145" t="n"/>
      <c r="B84" s="145" t="n"/>
      <c r="C84" s="145" t="n"/>
      <c r="D84" s="145" t="n"/>
      <c r="E84" s="145" t="n"/>
      <c r="F84" s="145" t="n"/>
      <c r="G84" s="145" t="n"/>
      <c r="H84" s="145" t="n"/>
      <c r="I84" s="145" t="n"/>
      <c r="J84" s="145" t="n"/>
      <c r="K84" s="145" t="n"/>
      <c r="L84" s="145" t="n"/>
      <c r="M84" s="145" t="n"/>
      <c r="N84" s="145" t="n"/>
      <c r="O84" s="145" t="n"/>
      <c r="P84" s="145" t="n"/>
      <c r="Q84" s="145" t="n"/>
      <c r="R84" s="145" t="n"/>
      <c r="S84" s="145" t="n"/>
      <c r="T84" s="145" t="n"/>
      <c r="U84" s="145" t="n"/>
      <c r="V84" s="145" t="n"/>
      <c r="W84" s="145" t="n"/>
      <c r="X84" s="145" t="n"/>
      <c r="Y84" s="145" t="n"/>
      <c r="Z84" s="145" t="n"/>
    </row>
    <row r="85" ht="15.75" customHeight="1" s="311">
      <c r="A85" s="145" t="n"/>
      <c r="B85" s="145" t="n"/>
      <c r="C85" s="145" t="n"/>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5" t="n"/>
      <c r="Y85" s="145" t="n"/>
      <c r="Z85" s="145" t="n"/>
    </row>
    <row r="86" ht="15.75" customHeight="1" s="311">
      <c r="A86" s="145" t="n"/>
      <c r="B86" s="145" t="n"/>
      <c r="C86" s="145" t="n"/>
      <c r="D86" s="145" t="n"/>
      <c r="E86" s="145" t="n"/>
      <c r="F86" s="145" t="n"/>
      <c r="G86" s="145" t="n"/>
      <c r="H86" s="145" t="n"/>
      <c r="I86" s="145" t="n"/>
      <c r="J86" s="145" t="n"/>
      <c r="K86" s="145" t="n"/>
      <c r="L86" s="145" t="n"/>
      <c r="M86" s="145" t="n"/>
      <c r="N86" s="145" t="n"/>
      <c r="O86" s="145" t="n"/>
      <c r="P86" s="145" t="n"/>
      <c r="Q86" s="145" t="n"/>
      <c r="R86" s="145" t="n"/>
      <c r="S86" s="145" t="n"/>
      <c r="T86" s="145" t="n"/>
      <c r="U86" s="145" t="n"/>
      <c r="V86" s="145" t="n"/>
      <c r="W86" s="145" t="n"/>
      <c r="X86" s="145" t="n"/>
      <c r="Y86" s="145" t="n"/>
      <c r="Z86" s="145" t="n"/>
    </row>
    <row r="87" ht="15.75" customHeight="1" s="311">
      <c r="A87" s="145" t="n"/>
      <c r="B87" s="145" t="n"/>
      <c r="C87" s="145" t="n"/>
      <c r="D87" s="145" t="n"/>
      <c r="E87" s="145" t="n"/>
      <c r="F87" s="145" t="n"/>
      <c r="G87" s="145" t="n"/>
      <c r="H87" s="145" t="n"/>
      <c r="I87" s="145" t="n"/>
      <c r="J87" s="145" t="n"/>
      <c r="K87" s="145" t="n"/>
      <c r="L87" s="145" t="n"/>
      <c r="M87" s="145" t="n"/>
      <c r="N87" s="145" t="n"/>
      <c r="O87" s="145" t="n"/>
      <c r="P87" s="145" t="n"/>
      <c r="Q87" s="145" t="n"/>
      <c r="R87" s="145" t="n"/>
      <c r="S87" s="145" t="n"/>
      <c r="T87" s="145" t="n"/>
      <c r="U87" s="145" t="n"/>
      <c r="V87" s="145" t="n"/>
      <c r="W87" s="145" t="n"/>
      <c r="X87" s="145" t="n"/>
      <c r="Y87" s="145" t="n"/>
      <c r="Z87" s="145" t="n"/>
    </row>
    <row r="88" ht="15.75" customHeight="1" s="311">
      <c r="A88" s="145" t="n"/>
      <c r="B88" s="145" t="n"/>
      <c r="C88" s="145" t="n"/>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5" t="n"/>
      <c r="Y88" s="145" t="n"/>
      <c r="Z88" s="145" t="n"/>
    </row>
    <row r="89" ht="15.75" customHeight="1" s="311">
      <c r="A89" s="145" t="n"/>
      <c r="B89" s="145" t="n"/>
      <c r="C89" s="145" t="n"/>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5" t="n"/>
      <c r="Y89" s="145" t="n"/>
      <c r="Z89" s="145" t="n"/>
    </row>
    <row r="90" ht="15.75" customHeight="1" s="311">
      <c r="A90" s="145" t="n"/>
      <c r="B90" s="145" t="n"/>
      <c r="C90" s="145" t="n"/>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5" t="n"/>
      <c r="Y90" s="145" t="n"/>
      <c r="Z90" s="145" t="n"/>
    </row>
    <row r="91" ht="15.75" customHeight="1" s="311">
      <c r="A91" s="145" t="n"/>
      <c r="B91" s="145" t="n"/>
      <c r="C91" s="145" t="n"/>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5" t="n"/>
      <c r="Y91" s="145" t="n"/>
      <c r="Z91" s="145" t="n"/>
    </row>
    <row r="92" ht="15.75" customHeight="1" s="311">
      <c r="A92" s="145" t="n"/>
      <c r="B92" s="145" t="n"/>
      <c r="C92" s="145"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5" t="n"/>
      <c r="Y92" s="145" t="n"/>
      <c r="Z92" s="145" t="n"/>
    </row>
    <row r="93" ht="15.75" customHeight="1" s="311">
      <c r="A93" s="145" t="n"/>
      <c r="B93" s="145" t="n"/>
      <c r="C93" s="145"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5" t="n"/>
      <c r="Y93" s="145" t="n"/>
      <c r="Z93" s="145" t="n"/>
    </row>
    <row r="94" ht="15.75" customHeight="1" s="311">
      <c r="A94" s="145" t="n"/>
      <c r="B94" s="145" t="n"/>
      <c r="C94" s="145"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5" t="n"/>
      <c r="Y94" s="145" t="n"/>
      <c r="Z94" s="145" t="n"/>
    </row>
    <row r="95" ht="15.75" customHeight="1" s="311">
      <c r="A95" s="145" t="n"/>
      <c r="B95" s="145" t="n"/>
      <c r="C95" s="145"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5" t="n"/>
      <c r="Y95" s="145" t="n"/>
      <c r="Z95" s="145" t="n"/>
    </row>
    <row r="96" ht="15.75" customHeight="1" s="311">
      <c r="A96" s="145" t="n"/>
      <c r="B96" s="145" t="n"/>
      <c r="C96" s="145"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5" t="n"/>
      <c r="Y96" s="145" t="n"/>
      <c r="Z96" s="145" t="n"/>
    </row>
    <row r="97" ht="15.75" customHeight="1" s="311">
      <c r="A97" s="145" t="n"/>
      <c r="B97" s="145" t="n"/>
      <c r="C97" s="145"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5" t="n"/>
      <c r="Y97" s="145" t="n"/>
      <c r="Z97" s="145" t="n"/>
    </row>
    <row r="98" ht="15.75" customHeight="1" s="311">
      <c r="A98" s="145" t="n"/>
      <c r="B98" s="145" t="n"/>
      <c r="C98" s="145"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5" t="n"/>
      <c r="Y98" s="145" t="n"/>
      <c r="Z98" s="145" t="n"/>
    </row>
    <row r="99" ht="15.75" customHeight="1" s="311">
      <c r="A99" s="145" t="n"/>
      <c r="B99" s="145" t="n"/>
      <c r="C99" s="145"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5" t="n"/>
      <c r="Y99" s="145" t="n"/>
      <c r="Z99" s="145" t="n"/>
    </row>
    <row r="100" ht="15.75" customHeight="1" s="311">
      <c r="A100" s="145" t="n"/>
      <c r="B100" s="145" t="n"/>
      <c r="C100" s="145" t="n"/>
      <c r="D100" s="145" t="n"/>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5" t="n"/>
      <c r="Y100" s="145" t="n"/>
      <c r="Z100" s="145" t="n"/>
    </row>
    <row r="101" ht="15.75" customHeight="1" s="311">
      <c r="A101" s="145" t="n"/>
      <c r="B101" s="145" t="n"/>
      <c r="C101" s="145" t="n"/>
      <c r="D101" s="145" t="n"/>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5" t="n"/>
      <c r="Y101" s="145" t="n"/>
      <c r="Z101" s="145" t="n"/>
    </row>
    <row r="102" ht="15.75" customHeight="1" s="311">
      <c r="A102" s="145" t="n"/>
      <c r="B102" s="145" t="n"/>
      <c r="C102" s="145" t="n"/>
      <c r="D102" s="145" t="n"/>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5" t="n"/>
      <c r="Y102" s="145" t="n"/>
      <c r="Z102" s="145" t="n"/>
    </row>
    <row r="103" ht="15.75" customHeight="1" s="311">
      <c r="A103" s="145" t="n"/>
      <c r="B103" s="145" t="n"/>
      <c r="C103" s="145" t="n"/>
      <c r="D103" s="145" t="n"/>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5" t="n"/>
      <c r="Y103" s="145" t="n"/>
      <c r="Z103" s="145" t="n"/>
    </row>
    <row r="104" ht="15.75" customHeight="1" s="311">
      <c r="A104" s="145" t="n"/>
      <c r="B104" s="145" t="n"/>
      <c r="C104" s="145" t="n"/>
      <c r="D104" s="145" t="n"/>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5" t="n"/>
      <c r="Y104" s="145" t="n"/>
      <c r="Z104" s="145" t="n"/>
    </row>
    <row r="105" ht="15.75" customHeight="1" s="311">
      <c r="A105" s="145" t="n"/>
      <c r="B105" s="145" t="n"/>
      <c r="C105" s="145" t="n"/>
      <c r="D105" s="145" t="n"/>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5" t="n"/>
      <c r="Y105" s="145" t="n"/>
      <c r="Z105" s="145" t="n"/>
    </row>
    <row r="106" ht="15.75" customHeight="1" s="311">
      <c r="A106" s="145" t="n"/>
      <c r="B106" s="145" t="n"/>
      <c r="C106" s="145"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5" t="n"/>
      <c r="Y106" s="145" t="n"/>
      <c r="Z106" s="145" t="n"/>
    </row>
    <row r="107" ht="15.75" customHeight="1" s="311">
      <c r="A107" s="145" t="n"/>
      <c r="B107" s="145" t="n"/>
      <c r="C107" s="145"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5" t="n"/>
      <c r="Y107" s="145" t="n"/>
      <c r="Z107" s="145" t="n"/>
    </row>
    <row r="108" ht="15.75" customHeight="1" s="311">
      <c r="A108" s="145" t="n"/>
      <c r="B108" s="145" t="n"/>
      <c r="C108" s="145" t="n"/>
      <c r="D108" s="145" t="n"/>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5" t="n"/>
      <c r="Y108" s="145" t="n"/>
      <c r="Z108" s="145" t="n"/>
    </row>
    <row r="109" ht="15.75" customHeight="1" s="311">
      <c r="A109" s="145" t="n"/>
      <c r="B109" s="145" t="n"/>
      <c r="C109" s="145" t="n"/>
      <c r="D109" s="145" t="n"/>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5" t="n"/>
      <c r="Y109" s="145" t="n"/>
      <c r="Z109" s="145" t="n"/>
    </row>
    <row r="110" ht="15.75" customHeight="1" s="311">
      <c r="A110" s="145" t="n"/>
      <c r="B110" s="145" t="n"/>
      <c r="C110" s="145" t="n"/>
      <c r="D110" s="145" t="n"/>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5" t="n"/>
      <c r="Y110" s="145" t="n"/>
      <c r="Z110" s="145" t="n"/>
    </row>
    <row r="111" ht="15.75" customHeight="1" s="311">
      <c r="A111" s="145" t="n"/>
      <c r="B111" s="145" t="n"/>
      <c r="C111" s="145" t="n"/>
      <c r="D111" s="145" t="n"/>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5" t="n"/>
      <c r="Y111" s="145" t="n"/>
      <c r="Z111" s="145" t="n"/>
    </row>
    <row r="112" ht="15.75" customHeight="1" s="311">
      <c r="A112" s="145" t="n"/>
      <c r="B112" s="145" t="n"/>
      <c r="C112" s="145" t="n"/>
      <c r="D112" s="145" t="n"/>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5" t="n"/>
      <c r="Y112" s="145" t="n"/>
      <c r="Z112" s="145" t="n"/>
    </row>
    <row r="113" ht="15.75" customHeight="1" s="311">
      <c r="A113" s="145" t="n"/>
      <c r="B113" s="145" t="n"/>
      <c r="C113" s="145" t="n"/>
      <c r="D113" s="145" t="n"/>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5" t="n"/>
      <c r="Y113" s="145" t="n"/>
      <c r="Z113" s="145" t="n"/>
    </row>
    <row r="114" ht="15.75" customHeight="1" s="311">
      <c r="A114" s="145" t="n"/>
      <c r="B114" s="145" t="n"/>
      <c r="C114" s="145" t="n"/>
      <c r="D114" s="145" t="n"/>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5" t="n"/>
      <c r="Y114" s="145" t="n"/>
      <c r="Z114" s="145" t="n"/>
    </row>
    <row r="115" ht="15.75" customHeight="1" s="311">
      <c r="A115" s="145" t="n"/>
      <c r="B115" s="145" t="n"/>
      <c r="C115" s="145" t="n"/>
      <c r="D115" s="145" t="n"/>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5" t="n"/>
      <c r="Y115" s="145" t="n"/>
      <c r="Z115" s="145" t="n"/>
    </row>
    <row r="116" ht="15.75" customHeight="1" s="311">
      <c r="A116" s="145" t="n"/>
      <c r="B116" s="145" t="n"/>
      <c r="C116" s="145"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5" t="n"/>
      <c r="Y116" s="145" t="n"/>
      <c r="Z116" s="145" t="n"/>
    </row>
    <row r="117" ht="15.75" customHeight="1" s="311">
      <c r="A117" s="145" t="n"/>
      <c r="B117" s="145" t="n"/>
      <c r="C117" s="145"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5" t="n"/>
      <c r="Y117" s="145" t="n"/>
      <c r="Z117" s="145" t="n"/>
    </row>
    <row r="118" ht="15.75" customHeight="1" s="311">
      <c r="A118" s="145" t="n"/>
      <c r="B118" s="145" t="n"/>
      <c r="C118" s="145"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5" t="n"/>
      <c r="Y118" s="145" t="n"/>
      <c r="Z118" s="145" t="n"/>
    </row>
    <row r="119" ht="15.75" customHeight="1" s="311">
      <c r="A119" s="145" t="n"/>
      <c r="B119" s="145" t="n"/>
      <c r="C119" s="145"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5" t="n"/>
      <c r="Y119" s="145" t="n"/>
      <c r="Z119" s="145" t="n"/>
    </row>
    <row r="120" ht="15.75" customHeight="1" s="311">
      <c r="A120" s="145" t="n"/>
      <c r="B120" s="145" t="n"/>
      <c r="C120" s="145"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5" t="n"/>
      <c r="Y120" s="145" t="n"/>
      <c r="Z120" s="145" t="n"/>
    </row>
    <row r="121" ht="15.75" customHeight="1" s="311">
      <c r="A121" s="145" t="n"/>
      <c r="B121" s="145" t="n"/>
      <c r="C121" s="145"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5" t="n"/>
      <c r="Y121" s="145" t="n"/>
      <c r="Z121" s="145" t="n"/>
    </row>
    <row r="122" ht="15.75" customHeight="1" s="311">
      <c r="A122" s="145" t="n"/>
      <c r="B122" s="145" t="n"/>
      <c r="C122" s="145"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5" t="n"/>
      <c r="Y122" s="145" t="n"/>
      <c r="Z122" s="145" t="n"/>
    </row>
    <row r="123" ht="15.75" customHeight="1" s="311">
      <c r="A123" s="145" t="n"/>
      <c r="B123" s="145" t="n"/>
      <c r="C123" s="145"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5" t="n"/>
      <c r="Y123" s="145" t="n"/>
      <c r="Z123" s="145" t="n"/>
    </row>
    <row r="124" ht="15.75" customHeight="1" s="311">
      <c r="A124" s="145" t="n"/>
      <c r="B124" s="145" t="n"/>
      <c r="C124" s="145"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5" t="n"/>
      <c r="Y124" s="145" t="n"/>
      <c r="Z124" s="145" t="n"/>
    </row>
    <row r="125" ht="15.75" customHeight="1" s="311">
      <c r="A125" s="145" t="n"/>
      <c r="B125" s="145" t="n"/>
      <c r="C125" s="145"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5" t="n"/>
      <c r="Y125" s="145" t="n"/>
      <c r="Z125" s="145" t="n"/>
    </row>
    <row r="126" ht="15.75" customHeight="1" s="311">
      <c r="A126" s="145" t="n"/>
      <c r="B126" s="145" t="n"/>
      <c r="C126" s="145"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5" t="n"/>
      <c r="Y126" s="145" t="n"/>
      <c r="Z126" s="145" t="n"/>
    </row>
    <row r="127" ht="15.75" customHeight="1" s="311">
      <c r="A127" s="145" t="n"/>
      <c r="B127" s="145" t="n"/>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45" t="n"/>
      <c r="Z127" s="145"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45" t="n"/>
      <c r="Z128" s="145" t="n"/>
    </row>
    <row r="129" ht="15.75" customHeight="1" s="311">
      <c r="A129" s="145" t="n"/>
      <c r="B129" s="145" t="n"/>
      <c r="C129" s="145"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5" t="n"/>
      <c r="Y129" s="145" t="n"/>
      <c r="Z129" s="145" t="n"/>
    </row>
    <row r="130" ht="15.75" customHeight="1" s="311">
      <c r="A130" s="145" t="n"/>
      <c r="B130" s="145" t="n"/>
      <c r="C130" s="145"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5" t="n"/>
      <c r="Y130" s="145" t="n"/>
      <c r="Z130" s="145" t="n"/>
    </row>
    <row r="131" ht="15.75" customHeight="1" s="311">
      <c r="A131" s="145" t="n"/>
      <c r="B131" s="145" t="n"/>
      <c r="C131" s="145"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5" t="n"/>
      <c r="Y131" s="145" t="n"/>
      <c r="Z131" s="145" t="n"/>
    </row>
    <row r="132" ht="15.75" customHeight="1" s="311">
      <c r="A132" s="145" t="n"/>
      <c r="B132" s="145" t="n"/>
      <c r="C132" s="145"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5" t="n"/>
      <c r="Y132" s="145" t="n"/>
      <c r="Z132" s="145" t="n"/>
    </row>
    <row r="133" ht="15.75" customHeight="1" s="311">
      <c r="A133" s="145" t="n"/>
      <c r="B133" s="145" t="n"/>
      <c r="C133" s="145"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5" t="n"/>
      <c r="Y133" s="145" t="n"/>
      <c r="Z133" s="145" t="n"/>
    </row>
    <row r="134" ht="15.75" customHeight="1" s="311">
      <c r="A134" s="145" t="n"/>
      <c r="B134" s="145" t="n"/>
      <c r="C134" s="145"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5" t="n"/>
      <c r="Y134" s="145" t="n"/>
      <c r="Z134" s="145" t="n"/>
    </row>
    <row r="135" ht="15.75" customHeight="1" s="311">
      <c r="A135" s="145" t="n"/>
      <c r="B135" s="145" t="n"/>
      <c r="C135" s="145"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5" t="n"/>
      <c r="Y135" s="145" t="n"/>
      <c r="Z135" s="145" t="n"/>
    </row>
    <row r="136" ht="15.75" customHeight="1" s="311">
      <c r="A136" s="145" t="n"/>
      <c r="B136" s="145" t="n"/>
      <c r="C136" s="145"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5" t="n"/>
      <c r="Y136" s="145" t="n"/>
      <c r="Z136" s="145" t="n"/>
    </row>
    <row r="137" ht="15.75" customHeight="1" s="311">
      <c r="A137" s="145" t="n"/>
      <c r="B137" s="145" t="n"/>
      <c r="C137" s="145"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5" t="n"/>
      <c r="Y137" s="145" t="n"/>
      <c r="Z137" s="145"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5" t="n"/>
      <c r="Y138" s="145" t="n"/>
      <c r="Z138" s="145" t="n"/>
    </row>
    <row r="139" ht="15.75" customHeight="1" s="311">
      <c r="A139" s="145" t="n"/>
      <c r="B139" s="145" t="n"/>
      <c r="C139" s="145"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5" t="n"/>
      <c r="Y139" s="145" t="n"/>
      <c r="Z139" s="145" t="n"/>
    </row>
    <row r="140" ht="15.75" customHeight="1" s="311">
      <c r="A140" s="145" t="n"/>
      <c r="B140" s="145" t="n"/>
      <c r="C140" s="145"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5" t="n"/>
      <c r="Y140" s="145" t="n"/>
      <c r="Z140" s="145" t="n"/>
    </row>
    <row r="141" ht="15.75" customHeight="1" s="311">
      <c r="A141" s="145" t="n"/>
      <c r="B141" s="145" t="n"/>
      <c r="C141" s="145"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5" t="n"/>
      <c r="Y141" s="145" t="n"/>
      <c r="Z141" s="145" t="n"/>
    </row>
    <row r="142" ht="15.75" customHeight="1" s="311">
      <c r="A142" s="145" t="n"/>
      <c r="B142" s="145" t="n"/>
      <c r="C142" s="145"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5" t="n"/>
      <c r="Y142" s="145" t="n"/>
      <c r="Z142" s="145" t="n"/>
    </row>
    <row r="143" ht="15.75" customHeight="1" s="311">
      <c r="A143" s="145" t="n"/>
      <c r="B143" s="145" t="n"/>
      <c r="C143" s="145"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5" t="n"/>
      <c r="Y143" s="145" t="n"/>
      <c r="Z143" s="145" t="n"/>
    </row>
    <row r="144" ht="15.75" customHeight="1" s="311">
      <c r="A144" s="145" t="n"/>
      <c r="B144" s="145" t="n"/>
      <c r="C144" s="145"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5" t="n"/>
      <c r="Y144" s="145" t="n"/>
      <c r="Z144" s="145" t="n"/>
    </row>
    <row r="145" ht="15.75" customHeight="1" s="311">
      <c r="A145" s="145" t="n"/>
      <c r="B145" s="145" t="n"/>
      <c r="C145" s="145"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5" t="n"/>
      <c r="Y145" s="145" t="n"/>
      <c r="Z145" s="145" t="n"/>
    </row>
    <row r="146" ht="15.75" customHeight="1" s="311">
      <c r="A146" s="145" t="n"/>
      <c r="B146" s="145" t="n"/>
      <c r="C146" s="145"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5" t="n"/>
      <c r="Y146" s="145" t="n"/>
      <c r="Z146" s="145"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5" t="n"/>
      <c r="Y147" s="145" t="n"/>
      <c r="Z147" s="145"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45" t="n"/>
      <c r="Z148" s="145" t="n"/>
    </row>
    <row r="149" ht="15.75" customHeight="1" s="311">
      <c r="A149" s="145" t="n"/>
      <c r="B149" s="145" t="n"/>
      <c r="C149" s="145"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5" t="n"/>
      <c r="Y149" s="145" t="n"/>
      <c r="Z149" s="145" t="n"/>
    </row>
    <row r="150" ht="15.75" customHeight="1" s="311">
      <c r="A150" s="145" t="n"/>
      <c r="B150" s="145" t="n"/>
      <c r="C150" s="145"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5" t="n"/>
      <c r="Y150" s="145" t="n"/>
      <c r="Z150" s="145" t="n"/>
    </row>
    <row r="151" ht="15.75" customHeight="1" s="311">
      <c r="A151" s="145" t="n"/>
      <c r="B151" s="145" t="n"/>
      <c r="C151" s="145"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45" t="n"/>
      <c r="Z151" s="145" t="n"/>
    </row>
    <row r="152" ht="15.75" customHeight="1" s="311">
      <c r="A152" s="145" t="n"/>
      <c r="B152" s="145" t="n"/>
      <c r="C152" s="145"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5" t="n"/>
      <c r="Y152" s="145" t="n"/>
      <c r="Z152" s="145" t="n"/>
    </row>
    <row r="153" ht="15.75" customHeight="1" s="311">
      <c r="A153" s="145" t="n"/>
      <c r="B153" s="145" t="n"/>
      <c r="C153" s="145"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5" t="n"/>
      <c r="Y153" s="145" t="n"/>
      <c r="Z153" s="145" t="n"/>
    </row>
    <row r="154" ht="15.75" customHeight="1" s="311">
      <c r="A154" s="145" t="n"/>
      <c r="B154" s="145" t="n"/>
      <c r="C154" s="145"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5" t="n"/>
      <c r="Y154" s="145" t="n"/>
      <c r="Z154" s="145" t="n"/>
    </row>
    <row r="155" ht="15.75" customHeight="1" s="311">
      <c r="A155" s="145" t="n"/>
      <c r="B155" s="145" t="n"/>
      <c r="C155" s="145"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5" t="n"/>
      <c r="Y155" s="145" t="n"/>
      <c r="Z155" s="145"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5" t="n"/>
      <c r="Y156" s="145" t="n"/>
      <c r="Z156" s="145" t="n"/>
    </row>
    <row r="157" ht="15.75" customHeight="1" s="311">
      <c r="A157" s="145" t="n"/>
      <c r="B157" s="145" t="n"/>
      <c r="C157" s="145"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5" t="n"/>
      <c r="Y157" s="145" t="n"/>
      <c r="Z157" s="145" t="n"/>
    </row>
    <row r="158" ht="15.75" customHeight="1" s="311">
      <c r="A158" s="145" t="n"/>
      <c r="B158" s="145" t="n"/>
      <c r="C158" s="145"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5" t="n"/>
      <c r="Y158" s="145" t="n"/>
      <c r="Z158" s="145" t="n"/>
    </row>
    <row r="159" ht="15.75" customHeight="1" s="311">
      <c r="A159" s="145" t="n"/>
      <c r="B159" s="145" t="n"/>
      <c r="C159" s="145"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5" t="n"/>
      <c r="Y159" s="145" t="n"/>
      <c r="Z159" s="145" t="n"/>
    </row>
    <row r="160" ht="15.75" customHeight="1" s="311">
      <c r="A160" s="145" t="n"/>
      <c r="B160" s="145" t="n"/>
      <c r="C160" s="145"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45" t="n"/>
      <c r="Z160" s="145" t="n"/>
    </row>
    <row r="161" ht="15.75" customHeight="1" s="311">
      <c r="A161" s="145" t="n"/>
      <c r="B161" s="145" t="n"/>
      <c r="C161" s="145"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5" t="n"/>
      <c r="Y161" s="145" t="n"/>
      <c r="Z161" s="145"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5" t="n"/>
      <c r="Y162" s="145" t="n"/>
      <c r="Z162" s="145" t="n"/>
    </row>
    <row r="163" ht="15.75" customHeight="1" s="311">
      <c r="A163" s="145" t="n"/>
      <c r="B163" s="145" t="n"/>
      <c r="C163" s="145"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5" t="n"/>
      <c r="Y163" s="145" t="n"/>
      <c r="Z163" s="145" t="n"/>
    </row>
    <row r="164" ht="15.75" customHeight="1" s="311">
      <c r="A164" s="145" t="n"/>
      <c r="B164" s="145" t="n"/>
      <c r="C164" s="145"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5" t="n"/>
      <c r="Y164" s="145" t="n"/>
      <c r="Z164" s="145" t="n"/>
    </row>
    <row r="165" ht="15.75" customHeight="1" s="311">
      <c r="A165" s="145" t="n"/>
      <c r="B165" s="145" t="n"/>
      <c r="C165" s="145"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5" t="n"/>
      <c r="Y165" s="145" t="n"/>
      <c r="Z165" s="145" t="n"/>
    </row>
    <row r="166" ht="15.75" customHeight="1" s="311">
      <c r="A166" s="145" t="n"/>
      <c r="B166" s="145" t="n"/>
      <c r="C166" s="145"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5" t="n"/>
      <c r="Y166" s="145" t="n"/>
      <c r="Z166" s="145" t="n"/>
    </row>
    <row r="167" ht="15.75" customHeight="1" s="311">
      <c r="A167" s="145" t="n"/>
      <c r="B167" s="145" t="n"/>
      <c r="C167" s="145"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5" t="n"/>
      <c r="Y167" s="145" t="n"/>
      <c r="Z167" s="145" t="n"/>
    </row>
    <row r="168" ht="15.75" customHeight="1" s="311">
      <c r="A168" s="145" t="n"/>
      <c r="B168" s="145" t="n"/>
      <c r="C168" s="145"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5" t="n"/>
      <c r="Y168" s="145" t="n"/>
      <c r="Z168" s="145"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5" t="n"/>
      <c r="Y169" s="145" t="n"/>
      <c r="Z169" s="145" t="n"/>
    </row>
    <row r="170" ht="15.75" customHeight="1" s="311">
      <c r="A170" s="145" t="n"/>
      <c r="B170" s="145" t="n"/>
      <c r="C170" s="145"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5" t="n"/>
      <c r="Y170" s="145" t="n"/>
      <c r="Z170" s="145"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5" t="n"/>
      <c r="Y171" s="145" t="n"/>
      <c r="Z171" s="145"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5" t="n"/>
      <c r="Y172" s="145" t="n"/>
      <c r="Z172" s="145"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5" t="n"/>
      <c r="Y173" s="145" t="n"/>
      <c r="Z173" s="145"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5" t="n"/>
      <c r="Y174" s="145" t="n"/>
      <c r="Z174" s="145"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5" t="n"/>
      <c r="Y175" s="145" t="n"/>
      <c r="Z175" s="145"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5" t="n"/>
      <c r="Y176" s="145" t="n"/>
      <c r="Z176" s="145"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5" t="n"/>
      <c r="Y177" s="145" t="n"/>
      <c r="Z177" s="145"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5" t="n"/>
      <c r="Y178" s="145" t="n"/>
      <c r="Z178" s="145"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5" t="n"/>
      <c r="Y179" s="145" t="n"/>
      <c r="Z179" s="145"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5" t="n"/>
      <c r="Y180" s="145" t="n"/>
      <c r="Z180" s="145"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5" t="n"/>
      <c r="Y181" s="145" t="n"/>
      <c r="Z181" s="145"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5" t="n"/>
      <c r="Y182" s="145" t="n"/>
      <c r="Z182" s="145"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5" t="n"/>
      <c r="Y183" s="145" t="n"/>
      <c r="Z183" s="145"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5" t="n"/>
      <c r="Y184" s="145" t="n"/>
      <c r="Z184" s="145"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5" t="n"/>
      <c r="Y185" s="145" t="n"/>
      <c r="Z185" s="145"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5" t="n"/>
      <c r="Y186" s="145" t="n"/>
      <c r="Z186" s="145"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5" t="n"/>
      <c r="Y187" s="145" t="n"/>
      <c r="Z187" s="145"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5" t="n"/>
      <c r="Y188" s="145" t="n"/>
      <c r="Z188" s="145"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5" t="n"/>
      <c r="Y189" s="145" t="n"/>
      <c r="Z189" s="145"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5" t="n"/>
      <c r="Y190" s="145" t="n"/>
      <c r="Z190" s="145"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5" t="n"/>
      <c r="Y191" s="145" t="n"/>
      <c r="Z191" s="145"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5" t="n"/>
      <c r="Y192" s="145" t="n"/>
      <c r="Z192" s="145"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5" t="n"/>
      <c r="Y193" s="145" t="n"/>
      <c r="Z193" s="145"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5" t="n"/>
      <c r="Y194" s="145" t="n"/>
      <c r="Z194" s="145"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5" t="n"/>
      <c r="Y195" s="145" t="n"/>
      <c r="Z195" s="145"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5" t="n"/>
      <c r="Y196" s="145" t="n"/>
      <c r="Z196" s="145"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5" t="n"/>
      <c r="Y197" s="145" t="n"/>
      <c r="Z197" s="145"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5" t="n"/>
      <c r="Y198" s="145" t="n"/>
      <c r="Z198" s="145"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5" t="n"/>
      <c r="Y199" s="145" t="n"/>
      <c r="Z199" s="145"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5" t="n"/>
      <c r="Y200" s="145" t="n"/>
      <c r="Z200" s="145"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5" t="n"/>
      <c r="Y201" s="145" t="n"/>
      <c r="Z201" s="145"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5" t="n"/>
      <c r="Y202" s="145" t="n"/>
      <c r="Z202" s="145"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5" t="n"/>
      <c r="Y203" s="145" t="n"/>
      <c r="Z203" s="145"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5" t="n"/>
      <c r="Y204" s="145" t="n"/>
      <c r="Z204" s="145"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5" t="n"/>
      <c r="Y205" s="145" t="n"/>
      <c r="Z205" s="145"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5" t="n"/>
      <c r="Y206" s="145" t="n"/>
      <c r="Z206" s="145"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5" t="n"/>
      <c r="Y207" s="145" t="n"/>
      <c r="Z207" s="145"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5" t="n"/>
      <c r="Y208" s="145" t="n"/>
      <c r="Z208" s="145"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5" t="n"/>
      <c r="Y209" s="145" t="n"/>
      <c r="Z209" s="145"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5" t="n"/>
      <c r="Y210" s="145" t="n"/>
      <c r="Z210" s="145"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5" t="n"/>
      <c r="Y211" s="145" t="n"/>
      <c r="Z211" s="145"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5" t="n"/>
      <c r="Y212" s="145" t="n"/>
      <c r="Z212" s="145"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5" t="n"/>
      <c r="Y213" s="145" t="n"/>
      <c r="Z213" s="145"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5" t="n"/>
      <c r="Y214" s="145" t="n"/>
      <c r="Z214" s="145"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5" t="n"/>
      <c r="Y215" s="145" t="n"/>
      <c r="Z215" s="145"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5" t="n"/>
      <c r="Y216" s="145" t="n"/>
      <c r="Z216" s="145"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5" t="n"/>
      <c r="Y217" s="145" t="n"/>
      <c r="Z217" s="145"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5" t="n"/>
      <c r="Y218" s="145" t="n"/>
      <c r="Z218" s="145"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5" t="n"/>
      <c r="Y219" s="145" t="n"/>
      <c r="Z219" s="145"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5" t="n"/>
      <c r="Y220" s="145" t="n"/>
      <c r="Z220" s="145"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5" t="n"/>
      <c r="Y221" s="145" t="n"/>
      <c r="Z221" s="145"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5" t="n"/>
      <c r="Y222" s="145" t="n"/>
      <c r="Z222" s="145"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5" t="n"/>
      <c r="Y223" s="145" t="n"/>
      <c r="Z223" s="145"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5" t="n"/>
      <c r="Y224" s="145" t="n"/>
      <c r="Z224" s="145"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5" t="n"/>
      <c r="Y225" s="145" t="n"/>
      <c r="Z225" s="145"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5" t="n"/>
      <c r="Y226" s="145" t="n"/>
      <c r="Z226" s="145"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5" t="n"/>
      <c r="Y227" s="145" t="n"/>
      <c r="Z227" s="145"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5" t="n"/>
      <c r="Y228" s="145" t="n"/>
      <c r="Z228" s="145"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5" t="n"/>
      <c r="Y229" s="145" t="n"/>
      <c r="Z229" s="145"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5" t="n"/>
      <c r="Y230" s="145" t="n"/>
      <c r="Z230" s="145"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5" t="n"/>
      <c r="Y231" s="145" t="n"/>
      <c r="Z231" s="145"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5" t="n"/>
      <c r="Y232" s="145" t="n"/>
      <c r="Z232" s="145"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5" t="n"/>
      <c r="Y233" s="145" t="n"/>
      <c r="Z233" s="145"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5" t="n"/>
      <c r="Y234" s="145" t="n"/>
      <c r="Z234" s="145"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5" t="n"/>
      <c r="Y235" s="145" t="n"/>
      <c r="Z235" s="145"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5" t="n"/>
      <c r="Y236" s="145" t="n"/>
      <c r="Z236" s="145"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5" t="n"/>
      <c r="Y237" s="145" t="n"/>
      <c r="Z237" s="145"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5" t="n"/>
      <c r="Y238" s="145" t="n"/>
      <c r="Z238" s="145"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5" t="n"/>
      <c r="Y239" s="145" t="n"/>
      <c r="Z239" s="145"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5" t="n"/>
      <c r="Y240" s="145" t="n"/>
      <c r="Z240" s="145"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5" t="n"/>
      <c r="Y241" s="145" t="n"/>
      <c r="Z241" s="145"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5" t="n"/>
      <c r="Y242" s="145" t="n"/>
      <c r="Z242" s="145"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5" t="n"/>
      <c r="Y243" s="145" t="n"/>
      <c r="Z243" s="145"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5" t="n"/>
      <c r="Y244" s="145" t="n"/>
      <c r="Z244" s="145"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5" t="n"/>
      <c r="Y245" s="145" t="n"/>
      <c r="Z245" s="145"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5" t="n"/>
      <c r="Y246" s="145" t="n"/>
      <c r="Z246" s="145"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5" t="n"/>
      <c r="Y247" s="145" t="n"/>
      <c r="Z247" s="145"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5" t="n"/>
      <c r="Y248" s="145" t="n"/>
      <c r="Z248" s="145"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5" t="n"/>
      <c r="Y249" s="145" t="n"/>
      <c r="Z249" s="145"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5" t="n"/>
      <c r="Y250" s="145" t="n"/>
      <c r="Z250" s="145"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5" t="n"/>
      <c r="Y251" s="145" t="n"/>
      <c r="Z251" s="145"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5" t="n"/>
      <c r="Y252" s="145" t="n"/>
      <c r="Z252" s="145"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5" t="n"/>
      <c r="Y253" s="145" t="n"/>
      <c r="Z253" s="145"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5" t="n"/>
      <c r="Y254" s="145" t="n"/>
      <c r="Z254" s="145" t="n"/>
    </row>
    <row r="255" ht="15.75" customHeight="1" s="311">
      <c r="A255" s="145" t="n"/>
      <c r="B255" s="145" t="n"/>
      <c r="C255" s="145"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5" t="n"/>
      <c r="Y255" s="145" t="n"/>
      <c r="Z255" s="145" t="n"/>
    </row>
    <row r="256" ht="15.75" customHeight="1" s="311">
      <c r="A256" s="145" t="n"/>
      <c r="B256" s="145" t="n"/>
      <c r="C256" s="145"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5" t="n"/>
      <c r="Y256" s="145" t="n"/>
      <c r="Z256" s="145" t="n"/>
    </row>
    <row r="257" ht="15.75" customHeight="1" s="311">
      <c r="A257" s="145" t="n"/>
      <c r="B257" s="145" t="n"/>
      <c r="C257" s="145"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5" t="n"/>
      <c r="Y257" s="145" t="n"/>
      <c r="Z257" s="145" t="n"/>
    </row>
    <row r="258" ht="15.75" customHeight="1" s="311">
      <c r="A258" s="145" t="n"/>
      <c r="B258" s="145" t="n"/>
      <c r="C258" s="145"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5" t="n"/>
      <c r="Y258" s="145" t="n"/>
      <c r="Z258" s="145" t="n"/>
    </row>
    <row r="259" ht="15.75" customHeight="1" s="311">
      <c r="A259" s="145" t="n"/>
      <c r="B259" s="145" t="n"/>
      <c r="C259" s="145"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45" t="n"/>
      <c r="X259" s="145" t="n"/>
      <c r="Y259" s="145" t="n"/>
      <c r="Z259" s="145" t="n"/>
    </row>
    <row r="260" ht="15.75" customHeight="1" s="311">
      <c r="A260" s="145" t="n"/>
      <c r="B260" s="145" t="n"/>
      <c r="C260" s="145"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45" t="n"/>
      <c r="X260" s="145" t="n"/>
      <c r="Y260" s="145" t="n"/>
      <c r="Z260" s="145" t="n"/>
    </row>
    <row r="261" ht="15.75" customHeight="1" s="311">
      <c r="A261" s="145" t="n"/>
      <c r="B261" s="145" t="n"/>
      <c r="C261" s="145"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45" t="n"/>
      <c r="X261" s="145" t="n"/>
      <c r="Y261" s="145" t="n"/>
      <c r="Z261" s="145" t="n"/>
    </row>
    <row r="262" ht="15.75" customHeight="1" s="311">
      <c r="A262" s="145" t="n"/>
      <c r="B262" s="145" t="n"/>
      <c r="C262" s="145"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45" t="n"/>
      <c r="X262" s="145" t="n"/>
      <c r="Y262" s="145" t="n"/>
      <c r="Z262" s="145" t="n"/>
    </row>
    <row r="263" ht="15.75" customHeight="1" s="311">
      <c r="A263" s="145" t="n"/>
      <c r="B263" s="145" t="n"/>
      <c r="C263" s="145" t="n"/>
      <c r="D263" s="145" t="n"/>
      <c r="E263" s="145" t="n"/>
      <c r="F263" s="145" t="n"/>
      <c r="G263" s="145" t="n"/>
      <c r="H263" s="145" t="n"/>
      <c r="I263" s="145" t="n"/>
      <c r="J263" s="145" t="n"/>
      <c r="K263" s="145" t="n"/>
      <c r="L263" s="145" t="n"/>
      <c r="M263" s="145" t="n"/>
      <c r="N263" s="145" t="n"/>
      <c r="O263" s="145" t="n"/>
      <c r="P263" s="145" t="n"/>
      <c r="Q263" s="145" t="n"/>
      <c r="R263" s="145" t="n"/>
      <c r="S263" s="145" t="n"/>
      <c r="T263" s="145" t="n"/>
      <c r="U263" s="145" t="n"/>
      <c r="V263" s="145" t="n"/>
      <c r="W263" s="145" t="n"/>
      <c r="X263" s="145" t="n"/>
      <c r="Y263" s="145" t="n"/>
      <c r="Z263" s="145" t="n"/>
    </row>
    <row r="264" ht="15.75" customHeight="1" s="311">
      <c r="A264" s="145" t="n"/>
      <c r="B264" s="145" t="n"/>
      <c r="C264" s="145" t="n"/>
      <c r="D264" s="145" t="n"/>
      <c r="E264" s="145" t="n"/>
      <c r="F264" s="145" t="n"/>
      <c r="G264" s="145" t="n"/>
      <c r="H264" s="145" t="n"/>
      <c r="I264" s="145" t="n"/>
      <c r="J264" s="145" t="n"/>
      <c r="K264" s="145" t="n"/>
      <c r="L264" s="145" t="n"/>
      <c r="M264" s="145" t="n"/>
      <c r="N264" s="145" t="n"/>
      <c r="O264" s="145" t="n"/>
      <c r="P264" s="145" t="n"/>
      <c r="Q264" s="145" t="n"/>
      <c r="R264" s="145" t="n"/>
      <c r="S264" s="145" t="n"/>
      <c r="T264" s="145" t="n"/>
      <c r="U264" s="145" t="n"/>
      <c r="V264" s="145" t="n"/>
      <c r="W264" s="145" t="n"/>
      <c r="X264" s="145" t="n"/>
      <c r="Y264" s="145" t="n"/>
      <c r="Z264" s="145" t="n"/>
    </row>
    <row r="265" ht="15.75" customHeight="1" s="311">
      <c r="A265" s="145" t="n"/>
      <c r="B265" s="145" t="n"/>
      <c r="C265" s="145" t="n"/>
      <c r="D265" s="145" t="n"/>
      <c r="E265" s="145" t="n"/>
      <c r="F265" s="145" t="n"/>
      <c r="G265" s="145" t="n"/>
      <c r="H265" s="145" t="n"/>
      <c r="I265" s="145" t="n"/>
      <c r="J265" s="145" t="n"/>
      <c r="K265" s="145" t="n"/>
      <c r="L265" s="145" t="n"/>
      <c r="M265" s="145" t="n"/>
      <c r="N265" s="145" t="n"/>
      <c r="O265" s="145" t="n"/>
      <c r="P265" s="145" t="n"/>
      <c r="Q265" s="145" t="n"/>
      <c r="R265" s="145" t="n"/>
      <c r="S265" s="145" t="n"/>
      <c r="T265" s="145" t="n"/>
      <c r="U265" s="145" t="n"/>
      <c r="V265" s="145" t="n"/>
      <c r="W265" s="145" t="n"/>
      <c r="X265" s="145" t="n"/>
      <c r="Y265" s="145" t="n"/>
      <c r="Z265" s="145" t="n"/>
    </row>
    <row r="266" ht="15.75" customHeight="1" s="311">
      <c r="A266" s="145" t="n"/>
      <c r="B266" s="145" t="n"/>
      <c r="C266" s="145" t="n"/>
      <c r="D266" s="145" t="n"/>
      <c r="E266" s="145" t="n"/>
      <c r="F266" s="145" t="n"/>
      <c r="G266" s="145" t="n"/>
      <c r="H266" s="145" t="n"/>
      <c r="I266" s="145" t="n"/>
      <c r="J266" s="145" t="n"/>
      <c r="K266" s="145" t="n"/>
      <c r="L266" s="145" t="n"/>
      <c r="M266" s="145" t="n"/>
      <c r="N266" s="145" t="n"/>
      <c r="O266" s="145" t="n"/>
      <c r="P266" s="145" t="n"/>
      <c r="Q266" s="145" t="n"/>
      <c r="R266" s="145" t="n"/>
      <c r="S266" s="145" t="n"/>
      <c r="T266" s="145" t="n"/>
      <c r="U266" s="145" t="n"/>
      <c r="V266" s="145" t="n"/>
      <c r="W266" s="145" t="n"/>
      <c r="X266" s="145" t="n"/>
      <c r="Y266" s="145" t="n"/>
      <c r="Z266" s="145" t="n"/>
    </row>
    <row r="267" ht="15.75" customHeight="1" s="311">
      <c r="A267" s="145" t="n"/>
      <c r="B267" s="145" t="n"/>
      <c r="C267" s="145" t="n"/>
      <c r="D267" s="145" t="n"/>
      <c r="E267" s="145" t="n"/>
      <c r="F267" s="145" t="n"/>
      <c r="G267" s="145" t="n"/>
      <c r="H267" s="145" t="n"/>
      <c r="I267" s="145" t="n"/>
      <c r="J267" s="145" t="n"/>
      <c r="K267" s="145" t="n"/>
      <c r="L267" s="145" t="n"/>
      <c r="M267" s="145" t="n"/>
      <c r="N267" s="145" t="n"/>
      <c r="O267" s="145" t="n"/>
      <c r="P267" s="145" t="n"/>
      <c r="Q267" s="145" t="n"/>
      <c r="R267" s="145" t="n"/>
      <c r="S267" s="145" t="n"/>
      <c r="T267" s="145" t="n"/>
      <c r="U267" s="145" t="n"/>
      <c r="V267" s="145" t="n"/>
      <c r="W267" s="145" t="n"/>
      <c r="X267" s="145" t="n"/>
      <c r="Y267" s="145" t="n"/>
      <c r="Z267" s="145" t="n"/>
    </row>
    <row r="268" ht="15.75" customHeight="1" s="311">
      <c r="A268" s="145" t="n"/>
      <c r="B268" s="145" t="n"/>
      <c r="C268" s="145" t="n"/>
      <c r="D268" s="145" t="n"/>
      <c r="E268" s="145" t="n"/>
      <c r="F268" s="145" t="n"/>
      <c r="G268" s="145" t="n"/>
      <c r="H268" s="145" t="n"/>
      <c r="I268" s="145" t="n"/>
      <c r="J268" s="145" t="n"/>
      <c r="K268" s="145" t="n"/>
      <c r="L268" s="145" t="n"/>
      <c r="M268" s="145" t="n"/>
      <c r="N268" s="145" t="n"/>
      <c r="O268" s="145" t="n"/>
      <c r="P268" s="145" t="n"/>
      <c r="Q268" s="145" t="n"/>
      <c r="R268" s="145" t="n"/>
      <c r="S268" s="145" t="n"/>
      <c r="T268" s="145" t="n"/>
      <c r="U268" s="145" t="n"/>
      <c r="V268" s="145" t="n"/>
      <c r="W268" s="145" t="n"/>
      <c r="X268" s="145" t="n"/>
      <c r="Y268" s="145" t="n"/>
      <c r="Z268" s="145" t="n"/>
    </row>
    <row r="269" ht="15.75" customHeight="1" s="311">
      <c r="A269" s="1" t="n"/>
      <c r="B269" s="1" t="n"/>
      <c r="C269" s="1" t="n"/>
      <c r="D269" s="1" t="n"/>
      <c r="E269" s="1" t="n"/>
      <c r="F269" s="1" t="n"/>
      <c r="G269" s="1" t="n"/>
      <c r="H269" s="1" t="n"/>
      <c r="I269" s="1" t="n"/>
    </row>
    <row r="270" ht="15.75" customHeight="1" s="311">
      <c r="A270" s="1" t="n"/>
      <c r="B270" s="1" t="n"/>
      <c r="C270" s="1" t="n"/>
      <c r="D270" s="1" t="n"/>
      <c r="E270" s="1" t="n"/>
      <c r="F270" s="1" t="n"/>
      <c r="G270" s="1" t="n"/>
      <c r="H270" s="1" t="n"/>
      <c r="I270" s="1" t="n"/>
    </row>
    <row r="271" ht="15.75" customHeight="1" s="311">
      <c r="A271" s="1" t="n"/>
      <c r="B271" s="1" t="n"/>
      <c r="C271" s="1" t="n"/>
      <c r="D271" s="1" t="n"/>
      <c r="E271" s="1" t="n"/>
      <c r="F271" s="1" t="n"/>
      <c r="G271" s="1" t="n"/>
      <c r="H271" s="1" t="n"/>
      <c r="I271" s="1" t="n"/>
    </row>
    <row r="272" ht="15.75" customHeight="1" s="311">
      <c r="A272" s="1" t="n"/>
      <c r="B272" s="1" t="n"/>
      <c r="C272" s="1" t="n"/>
      <c r="D272" s="1" t="n"/>
      <c r="E272" s="1" t="n"/>
      <c r="F272" s="1" t="n"/>
      <c r="G272" s="1" t="n"/>
      <c r="H272" s="1" t="n"/>
      <c r="I272" s="1" t="n"/>
    </row>
    <row r="273" ht="15.75" customHeight="1" s="311">
      <c r="A273" s="1" t="n"/>
      <c r="B273" s="1" t="n"/>
      <c r="C273" s="1" t="n"/>
      <c r="D273" s="1" t="n"/>
      <c r="E273" s="1" t="n"/>
      <c r="F273" s="1" t="n"/>
      <c r="G273" s="1" t="n"/>
      <c r="H273" s="1" t="n"/>
      <c r="I273" s="1" t="n"/>
    </row>
    <row r="274" ht="15.75" customHeight="1" s="311">
      <c r="A274" s="1" t="n"/>
      <c r="B274" s="1" t="n"/>
      <c r="C274" s="1" t="n"/>
      <c r="D274" s="1" t="n"/>
      <c r="E274" s="1" t="n"/>
      <c r="F274" s="1" t="n"/>
      <c r="G274" s="1" t="n"/>
      <c r="H274" s="1" t="n"/>
      <c r="I274" s="1" t="n"/>
    </row>
    <row r="275" ht="15.75" customHeight="1" s="311">
      <c r="A275" s="1" t="n"/>
      <c r="B275" s="1" t="n"/>
      <c r="C275" s="1" t="n"/>
      <c r="D275" s="1" t="n"/>
      <c r="E275" s="1" t="n"/>
      <c r="F275" s="1" t="n"/>
      <c r="G275" s="1" t="n"/>
      <c r="H275" s="1" t="n"/>
      <c r="I275" s="1" t="n"/>
    </row>
    <row r="276" ht="15.75" customHeight="1" s="311">
      <c r="A276" s="1" t="n"/>
      <c r="B276" s="1" t="n"/>
      <c r="C276" s="1" t="n"/>
      <c r="D276" s="1" t="n"/>
      <c r="E276" s="1" t="n"/>
      <c r="F276" s="1" t="n"/>
      <c r="G276" s="1" t="n"/>
      <c r="H276" s="1" t="n"/>
      <c r="I276" s="1" t="n"/>
    </row>
    <row r="277" ht="15.75" customHeight="1" s="311">
      <c r="A277" s="1" t="n"/>
      <c r="B277" s="1" t="n"/>
      <c r="C277" s="1" t="n"/>
      <c r="D277" s="1" t="n"/>
      <c r="E277" s="1" t="n"/>
      <c r="F277" s="1" t="n"/>
      <c r="G277" s="1" t="n"/>
      <c r="H277" s="1" t="n"/>
      <c r="I277" s="1" t="n"/>
    </row>
    <row r="278" ht="15.75" customHeight="1" s="311">
      <c r="A278" s="1" t="n"/>
      <c r="B278" s="1" t="n"/>
      <c r="C278" s="1" t="n"/>
      <c r="D278" s="1" t="n"/>
      <c r="E278" s="1" t="n"/>
      <c r="F278" s="1" t="n"/>
      <c r="G278" s="1" t="n"/>
      <c r="H278" s="1" t="n"/>
      <c r="I278" s="1" t="n"/>
    </row>
    <row r="279" ht="15.75" customHeight="1" s="311">
      <c r="A279" s="1" t="n"/>
      <c r="B279" s="1" t="n"/>
      <c r="C279" s="1" t="n"/>
      <c r="D279" s="1" t="n"/>
      <c r="E279" s="1" t="n"/>
      <c r="F279" s="1" t="n"/>
      <c r="G279" s="1" t="n"/>
      <c r="H279" s="1" t="n"/>
      <c r="I279" s="1" t="n"/>
    </row>
    <row r="280" ht="15.75" customHeight="1" s="311">
      <c r="A280" s="1" t="n"/>
      <c r="B280" s="1" t="n"/>
      <c r="C280" s="1" t="n"/>
      <c r="D280" s="1" t="n"/>
      <c r="E280" s="1" t="n"/>
      <c r="F280" s="1" t="n"/>
      <c r="G280" s="1" t="n"/>
      <c r="H280" s="1" t="n"/>
      <c r="I280" s="1" t="n"/>
    </row>
    <row r="281" ht="15.75" customHeight="1" s="311">
      <c r="A281" s="1" t="n"/>
      <c r="B281" s="1" t="n"/>
      <c r="C281" s="1" t="n"/>
      <c r="D281" s="1" t="n"/>
      <c r="E281" s="1" t="n"/>
      <c r="F281" s="1" t="n"/>
      <c r="G281" s="1" t="n"/>
      <c r="H281" s="1" t="n"/>
      <c r="I281" s="1" t="n"/>
    </row>
    <row r="282" ht="15.75" customHeight="1" s="311">
      <c r="A282" s="1" t="n"/>
      <c r="B282" s="1" t="n"/>
      <c r="C282" s="1" t="n"/>
      <c r="D282" s="1" t="n"/>
      <c r="E282" s="1" t="n"/>
      <c r="F282" s="1" t="n"/>
      <c r="G282" s="1" t="n"/>
      <c r="H282" s="1" t="n"/>
      <c r="I282" s="1" t="n"/>
    </row>
    <row r="283" ht="15.75" customHeight="1" s="311">
      <c r="A283" s="1" t="n"/>
      <c r="B283" s="1" t="n"/>
      <c r="C283" s="1" t="n"/>
      <c r="D283" s="1" t="n"/>
      <c r="E283" s="1" t="n"/>
      <c r="F283" s="1" t="n"/>
      <c r="G283" s="1" t="n"/>
      <c r="H283" s="1" t="n"/>
      <c r="I283" s="1" t="n"/>
    </row>
    <row r="284" ht="15.75" customHeight="1" s="311">
      <c r="A284" s="1" t="n"/>
      <c r="B284" s="1" t="n"/>
      <c r="C284" s="1" t="n"/>
      <c r="D284" s="1" t="n"/>
      <c r="E284" s="1" t="n"/>
      <c r="F284" s="1" t="n"/>
      <c r="G284" s="1" t="n"/>
      <c r="H284" s="1" t="n"/>
      <c r="I284" s="1" t="n"/>
    </row>
    <row r="285" ht="15.75" customHeight="1" s="311">
      <c r="A285" s="1" t="n"/>
      <c r="B285" s="1" t="n"/>
      <c r="C285" s="1" t="n"/>
      <c r="D285" s="1" t="n"/>
      <c r="E285" s="1" t="n"/>
      <c r="F285" s="1" t="n"/>
      <c r="G285" s="1" t="n"/>
      <c r="H285" s="1" t="n"/>
      <c r="I285" s="1" t="n"/>
    </row>
    <row r="286" ht="15.75" customHeight="1" s="311">
      <c r="A286" s="1" t="n"/>
      <c r="B286" s="1" t="n"/>
      <c r="C286" s="1" t="n"/>
      <c r="D286" s="1" t="n"/>
      <c r="E286" s="1" t="n"/>
      <c r="F286" s="1" t="n"/>
      <c r="G286" s="1" t="n"/>
      <c r="H286" s="1" t="n"/>
      <c r="I286" s="1" t="n"/>
    </row>
    <row r="287" ht="15.75" customHeight="1" s="311">
      <c r="A287" s="1" t="n"/>
      <c r="B287" s="1" t="n"/>
      <c r="C287" s="1" t="n"/>
      <c r="D287" s="1" t="n"/>
      <c r="E287" s="1" t="n"/>
      <c r="F287" s="1" t="n"/>
      <c r="G287" s="1" t="n"/>
      <c r="H287" s="1" t="n"/>
      <c r="I287" s="1" t="n"/>
    </row>
    <row r="288" ht="15.75" customHeight="1" s="311">
      <c r="A288" s="1" t="n"/>
      <c r="B288" s="1" t="n"/>
      <c r="C288" s="1" t="n"/>
      <c r="D288" s="1" t="n"/>
      <c r="E288" s="1" t="n"/>
      <c r="F288" s="1" t="n"/>
      <c r="G288" s="1" t="n"/>
      <c r="H288" s="1" t="n"/>
      <c r="I288" s="1" t="n"/>
    </row>
    <row r="289" ht="15.75" customHeight="1" s="311">
      <c r="A289" s="1" t="n"/>
      <c r="B289" s="1" t="n"/>
      <c r="C289" s="1" t="n"/>
      <c r="D289" s="1" t="n"/>
      <c r="E289" s="1" t="n"/>
      <c r="F289" s="1" t="n"/>
      <c r="G289" s="1" t="n"/>
      <c r="H289" s="1" t="n"/>
      <c r="I289" s="1" t="n"/>
    </row>
    <row r="290" ht="15.75" customHeight="1" s="311">
      <c r="A290" s="1" t="n"/>
      <c r="B290" s="1" t="n"/>
      <c r="C290" s="1" t="n"/>
      <c r="D290" s="1" t="n"/>
      <c r="E290" s="1" t="n"/>
      <c r="F290" s="1" t="n"/>
      <c r="G290" s="1" t="n"/>
      <c r="H290" s="1" t="n"/>
      <c r="I290" s="1" t="n"/>
    </row>
    <row r="291" ht="15.75" customHeight="1" s="311">
      <c r="A291" s="1" t="n"/>
      <c r="B291" s="1" t="n"/>
      <c r="C291" s="1" t="n"/>
      <c r="D291" s="1" t="n"/>
      <c r="E291" s="1" t="n"/>
      <c r="F291" s="1" t="n"/>
      <c r="G291" s="1" t="n"/>
      <c r="H291" s="1" t="n"/>
      <c r="I291" s="1" t="n"/>
    </row>
    <row r="292" ht="15.75" customHeight="1" s="311">
      <c r="A292" s="1" t="n"/>
      <c r="B292" s="1" t="n"/>
      <c r="C292" s="1" t="n"/>
      <c r="D292" s="1" t="n"/>
      <c r="E292" s="1" t="n"/>
      <c r="F292" s="1" t="n"/>
      <c r="G292" s="1" t="n"/>
      <c r="H292" s="1" t="n"/>
      <c r="I292" s="1" t="n"/>
    </row>
    <row r="293" ht="15.75" customHeight="1" s="311">
      <c r="A293" s="1" t="n"/>
      <c r="B293" s="1" t="n"/>
      <c r="C293" s="1" t="n"/>
      <c r="D293" s="1" t="n"/>
      <c r="E293" s="1" t="n"/>
      <c r="F293" s="1" t="n"/>
      <c r="G293" s="1" t="n"/>
      <c r="H293" s="1" t="n"/>
      <c r="I293" s="1" t="n"/>
    </row>
    <row r="294" ht="15.75" customHeight="1" s="311">
      <c r="A294" s="1" t="n"/>
      <c r="B294" s="1" t="n"/>
      <c r="C294" s="1" t="n"/>
      <c r="D294" s="1" t="n"/>
      <c r="E294" s="1" t="n"/>
      <c r="F294" s="1" t="n"/>
      <c r="G294" s="1" t="n"/>
      <c r="H294" s="1" t="n"/>
      <c r="I294" s="1" t="n"/>
    </row>
    <row r="295" ht="15.75" customHeight="1" s="311">
      <c r="A295" s="1" t="n"/>
      <c r="B295" s="1" t="n"/>
      <c r="C295" s="1" t="n"/>
      <c r="D295" s="1" t="n"/>
      <c r="E295" s="1" t="n"/>
      <c r="F295" s="1" t="n"/>
      <c r="G295" s="1" t="n"/>
      <c r="H295" s="1" t="n"/>
      <c r="I295" s="1" t="n"/>
    </row>
    <row r="296" ht="15.75" customHeight="1" s="311">
      <c r="A296" s="1" t="n"/>
      <c r="B296" s="1" t="n"/>
      <c r="C296" s="1" t="n"/>
      <c r="D296" s="1" t="n"/>
      <c r="E296" s="1" t="n"/>
      <c r="F296" s="1" t="n"/>
      <c r="G296" s="1" t="n"/>
      <c r="H296" s="1" t="n"/>
      <c r="I296" s="1" t="n"/>
    </row>
    <row r="297" ht="15.75" customHeight="1" s="311">
      <c r="A297" s="1" t="n"/>
      <c r="B297" s="1" t="n"/>
      <c r="C297" s="1" t="n"/>
      <c r="D297" s="1" t="n"/>
      <c r="E297" s="1" t="n"/>
      <c r="F297" s="1" t="n"/>
      <c r="G297" s="1" t="n"/>
      <c r="H297" s="1" t="n"/>
      <c r="I297" s="1" t="n"/>
    </row>
    <row r="298" ht="15.75" customHeight="1" s="311">
      <c r="A298" s="1" t="n"/>
      <c r="B298" s="1" t="n"/>
      <c r="C298" s="1" t="n"/>
      <c r="D298" s="1" t="n"/>
      <c r="E298" s="1" t="n"/>
      <c r="F298" s="1" t="n"/>
      <c r="G298" s="1" t="n"/>
      <c r="H298" s="1" t="n"/>
      <c r="I298" s="1" t="n"/>
    </row>
    <row r="299" ht="15.75" customHeight="1" s="311">
      <c r="A299" s="1" t="n"/>
      <c r="B299" s="1" t="n"/>
      <c r="C299" s="1" t="n"/>
      <c r="D299" s="1" t="n"/>
      <c r="E299" s="1" t="n"/>
      <c r="F299" s="1" t="n"/>
      <c r="G299" s="1" t="n"/>
      <c r="H299" s="1" t="n"/>
      <c r="I299" s="1" t="n"/>
    </row>
    <row r="300" ht="15.75" customHeight="1" s="311">
      <c r="A300" s="1" t="n"/>
      <c r="B300" s="1" t="n"/>
      <c r="C300" s="1" t="n"/>
      <c r="D300" s="1" t="n"/>
      <c r="E300" s="1" t="n"/>
      <c r="F300" s="1" t="n"/>
      <c r="G300" s="1" t="n"/>
      <c r="H300" s="1" t="n"/>
      <c r="I300" s="1" t="n"/>
    </row>
    <row r="301" ht="15.75" customHeight="1" s="311">
      <c r="A301" s="1" t="n"/>
      <c r="B301" s="1" t="n"/>
      <c r="C301" s="1" t="n"/>
      <c r="D301" s="1" t="n"/>
      <c r="E301" s="1" t="n"/>
      <c r="F301" s="1" t="n"/>
      <c r="G301" s="1" t="n"/>
      <c r="H301" s="1" t="n"/>
      <c r="I301" s="1" t="n"/>
    </row>
    <row r="302" ht="15.75" customHeight="1" s="311">
      <c r="A302" s="1" t="n"/>
      <c r="B302" s="1" t="n"/>
      <c r="C302" s="1" t="n"/>
      <c r="D302" s="1" t="n"/>
      <c r="E302" s="1" t="n"/>
      <c r="F302" s="1" t="n"/>
      <c r="G302" s="1" t="n"/>
      <c r="H302" s="1" t="n"/>
      <c r="I302" s="1" t="n"/>
    </row>
    <row r="303" ht="15.75" customHeight="1" s="311">
      <c r="A303" s="1" t="n"/>
      <c r="B303" s="1" t="n"/>
      <c r="C303" s="1" t="n"/>
      <c r="D303" s="1" t="n"/>
      <c r="E303" s="1" t="n"/>
      <c r="F303" s="1" t="n"/>
      <c r="G303" s="1" t="n"/>
      <c r="H303" s="1" t="n"/>
      <c r="I303" s="1" t="n"/>
    </row>
    <row r="304" ht="15.75" customHeight="1" s="311">
      <c r="A304" s="1" t="n"/>
      <c r="B304" s="1" t="n"/>
      <c r="C304" s="1" t="n"/>
      <c r="D304" s="1" t="n"/>
      <c r="E304" s="1" t="n"/>
      <c r="F304" s="1" t="n"/>
      <c r="G304" s="1" t="n"/>
      <c r="H304" s="1" t="n"/>
      <c r="I304" s="1" t="n"/>
    </row>
    <row r="305" ht="15.75" customHeight="1" s="311">
      <c r="A305" s="1" t="n"/>
      <c r="B305" s="1" t="n"/>
      <c r="C305" s="1" t="n"/>
      <c r="D305" s="1" t="n"/>
      <c r="E305" s="1" t="n"/>
      <c r="F305" s="1" t="n"/>
      <c r="G305" s="1" t="n"/>
      <c r="H305" s="1" t="n"/>
      <c r="I305" s="1" t="n"/>
    </row>
    <row r="306" ht="15.75" customHeight="1" s="311">
      <c r="A306" s="1" t="n"/>
      <c r="B306" s="1" t="n"/>
      <c r="C306" s="1" t="n"/>
      <c r="D306" s="1" t="n"/>
      <c r="E306" s="1" t="n"/>
      <c r="F306" s="1" t="n"/>
      <c r="G306" s="1" t="n"/>
      <c r="H306" s="1" t="n"/>
      <c r="I306" s="1" t="n"/>
    </row>
    <row r="307" ht="15.75" customHeight="1" s="311">
      <c r="A307" s="1" t="n"/>
      <c r="B307" s="1" t="n"/>
      <c r="C307" s="1" t="n"/>
      <c r="D307" s="1" t="n"/>
      <c r="E307" s="1" t="n"/>
      <c r="F307" s="1" t="n"/>
      <c r="G307" s="1" t="n"/>
      <c r="H307" s="1" t="n"/>
      <c r="I307" s="1" t="n"/>
    </row>
    <row r="308" ht="15.75" customHeight="1" s="311">
      <c r="A308" s="1" t="n"/>
      <c r="B308" s="1" t="n"/>
      <c r="C308" s="1" t="n"/>
      <c r="D308" s="1" t="n"/>
      <c r="E308" s="1" t="n"/>
      <c r="F308" s="1" t="n"/>
      <c r="G308" s="1" t="n"/>
      <c r="H308" s="1" t="n"/>
      <c r="I308" s="1" t="n"/>
    </row>
    <row r="309" ht="15.75" customHeight="1" s="311">
      <c r="A309" s="1" t="n"/>
      <c r="B309" s="1" t="n"/>
      <c r="C309" s="1" t="n"/>
      <c r="D309" s="1" t="n"/>
      <c r="E309" s="1" t="n"/>
      <c r="F309" s="1" t="n"/>
      <c r="G309" s="1" t="n"/>
      <c r="H309" s="1" t="n"/>
      <c r="I309" s="1" t="n"/>
    </row>
    <row r="310" ht="15.75" customHeight="1" s="311">
      <c r="A310" s="1" t="n"/>
      <c r="B310" s="1" t="n"/>
      <c r="C310" s="1" t="n"/>
      <c r="D310" s="1" t="n"/>
      <c r="E310" s="1" t="n"/>
      <c r="F310" s="1" t="n"/>
      <c r="G310" s="1" t="n"/>
      <c r="H310" s="1" t="n"/>
      <c r="I310" s="1" t="n"/>
    </row>
    <row r="311" ht="15.75" customHeight="1" s="311">
      <c r="A311" s="1" t="n"/>
      <c r="B311" s="1" t="n"/>
      <c r="C311" s="1" t="n"/>
      <c r="D311" s="1" t="n"/>
      <c r="E311" s="1" t="n"/>
      <c r="F311" s="1" t="n"/>
      <c r="G311" s="1" t="n"/>
      <c r="H311" s="1" t="n"/>
      <c r="I311" s="1" t="n"/>
    </row>
    <row r="312" ht="15.75" customHeight="1" s="311">
      <c r="A312" s="1" t="n"/>
      <c r="B312" s="1" t="n"/>
      <c r="C312" s="1" t="n"/>
      <c r="D312" s="1" t="n"/>
      <c r="E312" s="1" t="n"/>
      <c r="F312" s="1" t="n"/>
      <c r="G312" s="1" t="n"/>
      <c r="H312" s="1" t="n"/>
      <c r="I312" s="1" t="n"/>
    </row>
    <row r="313" ht="15.75" customHeight="1" s="311">
      <c r="A313" s="1" t="n"/>
      <c r="B313" s="1" t="n"/>
      <c r="C313" s="1" t="n"/>
      <c r="D313" s="1" t="n"/>
      <c r="E313" s="1" t="n"/>
      <c r="F313" s="1" t="n"/>
      <c r="G313" s="1" t="n"/>
      <c r="H313" s="1" t="n"/>
      <c r="I313" s="1" t="n"/>
    </row>
    <row r="314" ht="15.75" customHeight="1" s="311">
      <c r="A314" s="1" t="n"/>
      <c r="B314" s="1" t="n"/>
      <c r="C314" s="1" t="n"/>
      <c r="D314" s="1" t="n"/>
      <c r="E314" s="1" t="n"/>
      <c r="F314" s="1" t="n"/>
      <c r="G314" s="1" t="n"/>
      <c r="H314" s="1" t="n"/>
      <c r="I314" s="1" t="n"/>
    </row>
    <row r="315" ht="15.75" customHeight="1" s="311">
      <c r="A315" s="1" t="n"/>
      <c r="B315" s="1" t="n"/>
      <c r="C315" s="1" t="n"/>
      <c r="D315" s="1" t="n"/>
      <c r="E315" s="1" t="n"/>
      <c r="F315" s="1" t="n"/>
      <c r="G315" s="1" t="n"/>
      <c r="H315" s="1" t="n"/>
      <c r="I315" s="1" t="n"/>
    </row>
    <row r="316" ht="15.75" customHeight="1" s="311">
      <c r="A316" s="1" t="n"/>
      <c r="B316" s="1" t="n"/>
      <c r="C316" s="1" t="n"/>
      <c r="D316" s="1" t="n"/>
      <c r="E316" s="1" t="n"/>
      <c r="F316" s="1" t="n"/>
      <c r="G316" s="1" t="n"/>
      <c r="H316" s="1" t="n"/>
      <c r="I316" s="1" t="n"/>
    </row>
    <row r="317" ht="15.75" customHeight="1" s="311">
      <c r="A317" s="1" t="n"/>
      <c r="B317" s="1" t="n"/>
      <c r="C317" s="1" t="n"/>
      <c r="D317" s="1" t="n"/>
      <c r="E317" s="1" t="n"/>
      <c r="F317" s="1" t="n"/>
      <c r="G317" s="1" t="n"/>
      <c r="H317" s="1" t="n"/>
      <c r="I317" s="1" t="n"/>
    </row>
    <row r="318" ht="15.75" customHeight="1" s="311">
      <c r="A318" s="1" t="n"/>
      <c r="B318" s="1" t="n"/>
      <c r="C318" s="1" t="n"/>
      <c r="D318" s="1" t="n"/>
      <c r="E318" s="1" t="n"/>
      <c r="F318" s="1" t="n"/>
      <c r="G318" s="1" t="n"/>
      <c r="H318" s="1" t="n"/>
      <c r="I318" s="1" t="n"/>
    </row>
    <row r="319" ht="15.75" customHeight="1" s="311">
      <c r="A319" s="1" t="n"/>
      <c r="B319" s="1" t="n"/>
      <c r="C319" s="1" t="n"/>
      <c r="D319" s="1" t="n"/>
      <c r="E319" s="1" t="n"/>
      <c r="F319" s="1" t="n"/>
      <c r="G319" s="1" t="n"/>
      <c r="H319" s="1" t="n"/>
      <c r="I319" s="1" t="n"/>
    </row>
    <row r="320" ht="15.75" customHeight="1" s="311">
      <c r="A320" s="1" t="n"/>
      <c r="B320" s="1" t="n"/>
      <c r="C320" s="1" t="n"/>
      <c r="D320" s="1" t="n"/>
      <c r="E320" s="1" t="n"/>
      <c r="F320" s="1" t="n"/>
      <c r="G320" s="1" t="n"/>
      <c r="H320" s="1" t="n"/>
      <c r="I320" s="1" t="n"/>
    </row>
    <row r="321" ht="15.75" customHeight="1" s="311">
      <c r="A321" s="1" t="n"/>
      <c r="B321" s="1" t="n"/>
      <c r="C321" s="1" t="n"/>
      <c r="D321" s="1" t="n"/>
      <c r="E321" s="1" t="n"/>
      <c r="F321" s="1" t="n"/>
      <c r="G321" s="1" t="n"/>
      <c r="H321" s="1" t="n"/>
      <c r="I321" s="1" t="n"/>
    </row>
    <row r="322" ht="15.75" customHeight="1" s="311">
      <c r="A322" s="1" t="n"/>
      <c r="B322" s="1" t="n"/>
      <c r="C322" s="1" t="n"/>
      <c r="D322" s="1" t="n"/>
      <c r="E322" s="1" t="n"/>
      <c r="F322" s="1" t="n"/>
      <c r="G322" s="1" t="n"/>
      <c r="H322" s="1" t="n"/>
      <c r="I322" s="1" t="n"/>
    </row>
    <row r="323" ht="15.75" customHeight="1" s="311">
      <c r="A323" s="1" t="n"/>
      <c r="B323" s="1" t="n"/>
      <c r="C323" s="1" t="n"/>
      <c r="D323" s="1" t="n"/>
      <c r="E323" s="1" t="n"/>
      <c r="F323" s="1" t="n"/>
      <c r="G323" s="1" t="n"/>
      <c r="H323" s="1" t="n"/>
      <c r="I323" s="1" t="n"/>
    </row>
    <row r="324" ht="15.75" customHeight="1" s="311">
      <c r="A324" s="1" t="n"/>
      <c r="B324" s="1" t="n"/>
      <c r="C324" s="1" t="n"/>
      <c r="D324" s="1" t="n"/>
      <c r="E324" s="1" t="n"/>
      <c r="F324" s="1" t="n"/>
      <c r="G324" s="1" t="n"/>
      <c r="H324" s="1" t="n"/>
      <c r="I324" s="1" t="n"/>
    </row>
    <row r="325" ht="15.75" customHeight="1" s="311">
      <c r="A325" s="1" t="n"/>
      <c r="B325" s="1" t="n"/>
      <c r="C325" s="1" t="n"/>
      <c r="D325" s="1" t="n"/>
      <c r="E325" s="1" t="n"/>
      <c r="F325" s="1" t="n"/>
      <c r="G325" s="1" t="n"/>
      <c r="H325" s="1" t="n"/>
      <c r="I325" s="1" t="n"/>
    </row>
    <row r="326" ht="15.75" customHeight="1" s="311">
      <c r="A326" s="1" t="n"/>
      <c r="B326" s="1" t="n"/>
      <c r="C326" s="1" t="n"/>
      <c r="D326" s="1" t="n"/>
      <c r="E326" s="1" t="n"/>
      <c r="F326" s="1" t="n"/>
      <c r="G326" s="1" t="n"/>
      <c r="H326" s="1" t="n"/>
      <c r="I326" s="1" t="n"/>
    </row>
    <row r="327" ht="15.75" customHeight="1" s="311">
      <c r="A327" s="1" t="n"/>
      <c r="B327" s="1" t="n"/>
      <c r="C327" s="1" t="n"/>
      <c r="D327" s="1" t="n"/>
      <c r="E327" s="1" t="n"/>
      <c r="F327" s="1" t="n"/>
      <c r="G327" s="1" t="n"/>
      <c r="H327" s="1" t="n"/>
      <c r="I327" s="1" t="n"/>
    </row>
    <row r="328" ht="15.75" customHeight="1" s="311">
      <c r="A328" s="1" t="n"/>
      <c r="B328" s="1" t="n"/>
      <c r="C328" s="1" t="n"/>
      <c r="D328" s="1" t="n"/>
      <c r="E328" s="1" t="n"/>
      <c r="F328" s="1" t="n"/>
      <c r="G328" s="1" t="n"/>
      <c r="H328" s="1" t="n"/>
      <c r="I328" s="1" t="n"/>
    </row>
    <row r="329" ht="15.75" customHeight="1" s="311">
      <c r="A329" s="1" t="n"/>
      <c r="B329" s="1" t="n"/>
      <c r="C329" s="1" t="n"/>
      <c r="D329" s="1" t="n"/>
      <c r="E329" s="1" t="n"/>
      <c r="F329" s="1" t="n"/>
      <c r="G329" s="1" t="n"/>
      <c r="H329" s="1" t="n"/>
      <c r="I329" s="1" t="n"/>
    </row>
    <row r="330" ht="15.75" customHeight="1" s="311">
      <c r="A330" s="1" t="n"/>
      <c r="B330" s="1" t="n"/>
      <c r="C330" s="1" t="n"/>
      <c r="D330" s="1" t="n"/>
      <c r="E330" s="1" t="n"/>
      <c r="F330" s="1" t="n"/>
      <c r="G330" s="1" t="n"/>
      <c r="H330" s="1" t="n"/>
      <c r="I330" s="1" t="n"/>
    </row>
    <row r="331" ht="15.75" customHeight="1" s="311">
      <c r="A331" s="1" t="n"/>
      <c r="B331" s="1" t="n"/>
      <c r="C331" s="1" t="n"/>
      <c r="D331" s="1" t="n"/>
      <c r="E331" s="1" t="n"/>
      <c r="F331" s="1" t="n"/>
      <c r="G331" s="1" t="n"/>
      <c r="H331" s="1" t="n"/>
      <c r="I331" s="1" t="n"/>
    </row>
    <row r="332" ht="15.75" customHeight="1" s="311">
      <c r="A332" s="1" t="n"/>
      <c r="B332" s="1" t="n"/>
      <c r="C332" s="1" t="n"/>
      <c r="D332" s="1" t="n"/>
      <c r="E332" s="1" t="n"/>
      <c r="F332" s="1" t="n"/>
      <c r="G332" s="1" t="n"/>
      <c r="H332" s="1" t="n"/>
      <c r="I332" s="1" t="n"/>
    </row>
    <row r="333" ht="15.75" customHeight="1" s="311">
      <c r="A333" s="1" t="n"/>
      <c r="B333" s="1" t="n"/>
      <c r="C333" s="1" t="n"/>
      <c r="D333" s="1" t="n"/>
      <c r="E333" s="1" t="n"/>
      <c r="F333" s="1" t="n"/>
      <c r="G333" s="1" t="n"/>
      <c r="H333" s="1" t="n"/>
      <c r="I333" s="1" t="n"/>
    </row>
    <row r="334" ht="15.75" customHeight="1" s="311">
      <c r="A334" s="1" t="n"/>
      <c r="B334" s="1" t="n"/>
      <c r="C334" s="1" t="n"/>
      <c r="D334" s="1" t="n"/>
      <c r="E334" s="1" t="n"/>
      <c r="F334" s="1" t="n"/>
      <c r="G334" s="1" t="n"/>
      <c r="H334" s="1" t="n"/>
      <c r="I334" s="1" t="n"/>
    </row>
    <row r="335" ht="15.75" customHeight="1" s="311">
      <c r="A335" s="1" t="n"/>
      <c r="B335" s="1" t="n"/>
      <c r="C335" s="1" t="n"/>
      <c r="D335" s="1" t="n"/>
      <c r="E335" s="1" t="n"/>
      <c r="F335" s="1" t="n"/>
      <c r="G335" s="1" t="n"/>
      <c r="H335" s="1" t="n"/>
      <c r="I335" s="1" t="n"/>
    </row>
    <row r="336" ht="15.75" customHeight="1" s="311">
      <c r="A336" s="1" t="n"/>
      <c r="B336" s="1" t="n"/>
      <c r="C336" s="1" t="n"/>
      <c r="D336" s="1" t="n"/>
      <c r="E336" s="1" t="n"/>
      <c r="F336" s="1" t="n"/>
      <c r="G336" s="1" t="n"/>
      <c r="H336" s="1" t="n"/>
      <c r="I336" s="1" t="n"/>
    </row>
    <row r="337" ht="15.75" customHeight="1" s="311">
      <c r="A337" s="1" t="n"/>
      <c r="B337" s="1" t="n"/>
      <c r="C337" s="1" t="n"/>
      <c r="D337" s="1" t="n"/>
      <c r="E337" s="1" t="n"/>
      <c r="F337" s="1" t="n"/>
      <c r="G337" s="1" t="n"/>
      <c r="H337" s="1" t="n"/>
      <c r="I337" s="1" t="n"/>
    </row>
    <row r="338" ht="15.75" customHeight="1" s="311">
      <c r="A338" s="1" t="n"/>
      <c r="B338" s="1" t="n"/>
      <c r="C338" s="1" t="n"/>
      <c r="D338" s="1" t="n"/>
      <c r="E338" s="1" t="n"/>
      <c r="F338" s="1" t="n"/>
      <c r="G338" s="1" t="n"/>
      <c r="H338" s="1" t="n"/>
      <c r="I338" s="1" t="n"/>
    </row>
    <row r="339" ht="15.75" customHeight="1" s="311">
      <c r="A339" s="1" t="n"/>
      <c r="B339" s="1" t="n"/>
      <c r="C339" s="1" t="n"/>
      <c r="D339" s="1" t="n"/>
      <c r="E339" s="1" t="n"/>
      <c r="F339" s="1" t="n"/>
      <c r="G339" s="1" t="n"/>
      <c r="H339" s="1" t="n"/>
      <c r="I339" s="1" t="n"/>
    </row>
    <row r="340" ht="15.75" customHeight="1" s="311">
      <c r="A340" s="1" t="n"/>
      <c r="B340" s="1" t="n"/>
      <c r="C340" s="1" t="n"/>
      <c r="D340" s="1" t="n"/>
      <c r="E340" s="1" t="n"/>
      <c r="F340" s="1" t="n"/>
      <c r="G340" s="1" t="n"/>
      <c r="H340" s="1" t="n"/>
      <c r="I340" s="1" t="n"/>
    </row>
    <row r="341" ht="15.75" customHeight="1" s="311">
      <c r="A341" s="1" t="n"/>
      <c r="B341" s="1" t="n"/>
      <c r="C341" s="1" t="n"/>
      <c r="D341" s="1" t="n"/>
      <c r="E341" s="1" t="n"/>
      <c r="F341" s="1" t="n"/>
      <c r="G341" s="1" t="n"/>
      <c r="H341" s="1" t="n"/>
      <c r="I341" s="1" t="n"/>
    </row>
    <row r="342" ht="15.75" customHeight="1" s="311">
      <c r="A342" s="1" t="n"/>
      <c r="B342" s="1" t="n"/>
      <c r="C342" s="1" t="n"/>
      <c r="D342" s="1" t="n"/>
      <c r="E342" s="1" t="n"/>
      <c r="F342" s="1" t="n"/>
      <c r="G342" s="1" t="n"/>
      <c r="H342" s="1" t="n"/>
      <c r="I342" s="1" t="n"/>
    </row>
    <row r="343" ht="15.75" customHeight="1" s="311">
      <c r="A343" s="1" t="n"/>
      <c r="B343" s="1" t="n"/>
      <c r="C343" s="1" t="n"/>
      <c r="D343" s="1" t="n"/>
      <c r="E343" s="1" t="n"/>
      <c r="F343" s="1" t="n"/>
      <c r="G343" s="1" t="n"/>
      <c r="H343" s="1" t="n"/>
      <c r="I343" s="1" t="n"/>
    </row>
    <row r="344" ht="15.75" customHeight="1" s="311">
      <c r="A344" s="1" t="n"/>
      <c r="B344" s="1" t="n"/>
      <c r="C344" s="1" t="n"/>
      <c r="D344" s="1" t="n"/>
      <c r="E344" s="1" t="n"/>
      <c r="F344" s="1" t="n"/>
      <c r="G344" s="1" t="n"/>
      <c r="H344" s="1" t="n"/>
      <c r="I344" s="1" t="n"/>
    </row>
    <row r="345" ht="15.75" customHeight="1" s="311">
      <c r="A345" s="1" t="n"/>
      <c r="B345" s="1" t="n"/>
      <c r="C345" s="1" t="n"/>
      <c r="D345" s="1" t="n"/>
      <c r="E345" s="1" t="n"/>
      <c r="F345" s="1" t="n"/>
      <c r="G345" s="1" t="n"/>
      <c r="H345" s="1" t="n"/>
      <c r="I345" s="1" t="n"/>
    </row>
    <row r="346" ht="15.75" customHeight="1" s="311">
      <c r="A346" s="1" t="n"/>
      <c r="B346" s="1" t="n"/>
      <c r="C346" s="1" t="n"/>
      <c r="D346" s="1" t="n"/>
      <c r="E346" s="1" t="n"/>
      <c r="F346" s="1" t="n"/>
      <c r="G346" s="1" t="n"/>
      <c r="H346" s="1" t="n"/>
      <c r="I346" s="1" t="n"/>
    </row>
    <row r="347" ht="15.75" customHeight="1" s="311">
      <c r="A347" s="1" t="n"/>
      <c r="B347" s="1" t="n"/>
      <c r="C347" s="1" t="n"/>
      <c r="D347" s="1" t="n"/>
      <c r="E347" s="1" t="n"/>
      <c r="F347" s="1" t="n"/>
      <c r="G347" s="1" t="n"/>
      <c r="H347" s="1" t="n"/>
      <c r="I347" s="1" t="n"/>
    </row>
    <row r="348" ht="15.75" customHeight="1" s="311">
      <c r="A348" s="1" t="n"/>
      <c r="B348" s="1" t="n"/>
      <c r="C348" s="1" t="n"/>
      <c r="D348" s="1" t="n"/>
      <c r="E348" s="1" t="n"/>
      <c r="F348" s="1" t="n"/>
      <c r="G348" s="1" t="n"/>
      <c r="H348" s="1" t="n"/>
      <c r="I348" s="1" t="n"/>
    </row>
    <row r="349" ht="15.75" customHeight="1" s="311">
      <c r="A349" s="1" t="n"/>
      <c r="B349" s="1" t="n"/>
      <c r="C349" s="1" t="n"/>
      <c r="D349" s="1" t="n"/>
      <c r="E349" s="1" t="n"/>
      <c r="F349" s="1" t="n"/>
      <c r="G349" s="1" t="n"/>
      <c r="H349" s="1" t="n"/>
      <c r="I349" s="1" t="n"/>
    </row>
    <row r="350" ht="15.75" customHeight="1" s="311">
      <c r="A350" s="1" t="n"/>
      <c r="B350" s="1" t="n"/>
      <c r="C350" s="1" t="n"/>
      <c r="D350" s="1" t="n"/>
      <c r="E350" s="1" t="n"/>
      <c r="F350" s="1" t="n"/>
      <c r="G350" s="1" t="n"/>
      <c r="H350" s="1" t="n"/>
      <c r="I350" s="1" t="n"/>
    </row>
    <row r="351" ht="15.75" customHeight="1" s="311">
      <c r="A351" s="1" t="n"/>
      <c r="B351" s="1" t="n"/>
      <c r="C351" s="1" t="n"/>
      <c r="D351" s="1" t="n"/>
      <c r="E351" s="1" t="n"/>
      <c r="F351" s="1" t="n"/>
      <c r="G351" s="1" t="n"/>
      <c r="H351" s="1" t="n"/>
      <c r="I351" s="1" t="n"/>
    </row>
    <row r="352" ht="15.75" customHeight="1" s="311">
      <c r="A352" s="1" t="n"/>
      <c r="B352" s="1" t="n"/>
      <c r="C352" s="1" t="n"/>
      <c r="D352" s="1" t="n"/>
      <c r="E352" s="1" t="n"/>
      <c r="F352" s="1" t="n"/>
      <c r="G352" s="1" t="n"/>
      <c r="H352" s="1" t="n"/>
      <c r="I352" s="1" t="n"/>
    </row>
    <row r="353" ht="15.75" customHeight="1" s="311">
      <c r="A353" s="1" t="n"/>
      <c r="B353" s="1" t="n"/>
      <c r="C353" s="1" t="n"/>
      <c r="D353" s="1" t="n"/>
      <c r="E353" s="1" t="n"/>
      <c r="F353" s="1" t="n"/>
      <c r="G353" s="1" t="n"/>
      <c r="H353" s="1" t="n"/>
      <c r="I353" s="1" t="n"/>
    </row>
    <row r="354" ht="15.75" customHeight="1" s="311">
      <c r="A354" s="1" t="n"/>
      <c r="B354" s="1" t="n"/>
      <c r="C354" s="1" t="n"/>
      <c r="D354" s="1" t="n"/>
      <c r="E354" s="1" t="n"/>
      <c r="F354" s="1" t="n"/>
      <c r="G354" s="1" t="n"/>
      <c r="H354" s="1" t="n"/>
      <c r="I354" s="1" t="n"/>
    </row>
    <row r="355" ht="15.75" customHeight="1" s="311">
      <c r="A355" s="1" t="n"/>
      <c r="B355" s="1" t="n"/>
      <c r="C355" s="1" t="n"/>
      <c r="D355" s="1" t="n"/>
      <c r="E355" s="1" t="n"/>
      <c r="F355" s="1" t="n"/>
      <c r="G355" s="1" t="n"/>
      <c r="H355" s="1" t="n"/>
      <c r="I355" s="1" t="n"/>
    </row>
    <row r="356" ht="15.75" customHeight="1" s="311">
      <c r="A356" s="1" t="n"/>
      <c r="B356" s="1" t="n"/>
      <c r="C356" s="1" t="n"/>
      <c r="D356" s="1" t="n"/>
      <c r="E356" s="1" t="n"/>
      <c r="F356" s="1" t="n"/>
      <c r="G356" s="1" t="n"/>
      <c r="H356" s="1" t="n"/>
      <c r="I356" s="1" t="n"/>
    </row>
    <row r="357" ht="15.75" customHeight="1" s="311">
      <c r="A357" s="1" t="n"/>
      <c r="B357" s="1" t="n"/>
      <c r="C357" s="1" t="n"/>
      <c r="D357" s="1" t="n"/>
      <c r="E357" s="1" t="n"/>
      <c r="F357" s="1" t="n"/>
      <c r="G357" s="1" t="n"/>
      <c r="H357" s="1" t="n"/>
      <c r="I357" s="1" t="n"/>
    </row>
    <row r="358" ht="15.75" customHeight="1" s="311">
      <c r="A358" s="1" t="n"/>
      <c r="B358" s="1" t="n"/>
      <c r="C358" s="1" t="n"/>
      <c r="D358" s="1" t="n"/>
      <c r="E358" s="1" t="n"/>
      <c r="F358" s="1" t="n"/>
      <c r="G358" s="1" t="n"/>
      <c r="H358" s="1" t="n"/>
      <c r="I358" s="1" t="n"/>
    </row>
    <row r="359" ht="15.75" customHeight="1" s="311">
      <c r="A359" s="1" t="n"/>
      <c r="B359" s="1" t="n"/>
      <c r="C359" s="1" t="n"/>
      <c r="D359" s="1" t="n"/>
      <c r="E359" s="1" t="n"/>
      <c r="F359" s="1" t="n"/>
      <c r="G359" s="1" t="n"/>
      <c r="H359" s="1" t="n"/>
      <c r="I359" s="1" t="n"/>
    </row>
    <row r="360" ht="15.75" customHeight="1" s="311">
      <c r="A360" s="1" t="n"/>
      <c r="B360" s="1" t="n"/>
      <c r="C360" s="1" t="n"/>
      <c r="D360" s="1" t="n"/>
      <c r="E360" s="1" t="n"/>
      <c r="F360" s="1" t="n"/>
      <c r="G360" s="1" t="n"/>
      <c r="H360" s="1" t="n"/>
      <c r="I360" s="1" t="n"/>
    </row>
    <row r="361" ht="15.75" customHeight="1" s="311">
      <c r="A361" s="1" t="n"/>
      <c r="B361" s="1" t="n"/>
      <c r="C361" s="1" t="n"/>
      <c r="D361" s="1" t="n"/>
      <c r="E361" s="1" t="n"/>
      <c r="F361" s="1" t="n"/>
      <c r="G361" s="1" t="n"/>
      <c r="H361" s="1" t="n"/>
      <c r="I361" s="1" t="n"/>
    </row>
    <row r="362" ht="15.75" customHeight="1" s="311">
      <c r="A362" s="1" t="n"/>
      <c r="B362" s="1" t="n"/>
      <c r="C362" s="1" t="n"/>
      <c r="D362" s="1" t="n"/>
      <c r="E362" s="1" t="n"/>
      <c r="F362" s="1" t="n"/>
      <c r="G362" s="1" t="n"/>
      <c r="H362" s="1" t="n"/>
      <c r="I362" s="1" t="n"/>
    </row>
    <row r="363" ht="15.75" customHeight="1" s="311">
      <c r="A363" s="1" t="n"/>
      <c r="B363" s="1" t="n"/>
      <c r="C363" s="1" t="n"/>
      <c r="D363" s="1" t="n"/>
      <c r="E363" s="1" t="n"/>
      <c r="F363" s="1" t="n"/>
      <c r="G363" s="1" t="n"/>
      <c r="H363" s="1" t="n"/>
      <c r="I363" s="1" t="n"/>
    </row>
    <row r="364" ht="15.75" customHeight="1" s="311">
      <c r="A364" s="1" t="n"/>
      <c r="B364" s="1" t="n"/>
      <c r="C364" s="1" t="n"/>
      <c r="D364" s="1" t="n"/>
      <c r="E364" s="1" t="n"/>
      <c r="F364" s="1" t="n"/>
      <c r="G364" s="1" t="n"/>
      <c r="H364" s="1" t="n"/>
      <c r="I364" s="1" t="n"/>
    </row>
    <row r="365" ht="15.75" customHeight="1" s="311">
      <c r="A365" s="1" t="n"/>
      <c r="B365" s="1" t="n"/>
      <c r="C365" s="1" t="n"/>
      <c r="D365" s="1" t="n"/>
      <c r="E365" s="1" t="n"/>
      <c r="F365" s="1" t="n"/>
      <c r="G365" s="1" t="n"/>
      <c r="H365" s="1" t="n"/>
      <c r="I365" s="1" t="n"/>
    </row>
    <row r="366" ht="15.75" customHeight="1" s="311">
      <c r="A366" s="1" t="n"/>
      <c r="B366" s="1" t="n"/>
      <c r="C366" s="1" t="n"/>
      <c r="D366" s="1" t="n"/>
      <c r="E366" s="1" t="n"/>
      <c r="F366" s="1" t="n"/>
      <c r="G366" s="1" t="n"/>
      <c r="H366" s="1" t="n"/>
      <c r="I366" s="1" t="n"/>
    </row>
    <row r="367" ht="15.75" customHeight="1" s="311">
      <c r="A367" s="1" t="n"/>
      <c r="B367" s="1" t="n"/>
      <c r="C367" s="1" t="n"/>
      <c r="D367" s="1" t="n"/>
      <c r="E367" s="1" t="n"/>
      <c r="F367" s="1" t="n"/>
      <c r="G367" s="1" t="n"/>
      <c r="H367" s="1" t="n"/>
      <c r="I367" s="1" t="n"/>
    </row>
    <row r="368" ht="15.75" customHeight="1" s="311">
      <c r="A368" s="1" t="n"/>
      <c r="B368" s="1" t="n"/>
      <c r="C368" s="1" t="n"/>
      <c r="D368" s="1" t="n"/>
      <c r="E368" s="1" t="n"/>
      <c r="F368" s="1" t="n"/>
      <c r="G368" s="1" t="n"/>
      <c r="H368" s="1" t="n"/>
      <c r="I368" s="1" t="n"/>
    </row>
    <row r="369" ht="15.75" customHeight="1" s="311">
      <c r="A369" s="1" t="n"/>
      <c r="B369" s="1" t="n"/>
      <c r="C369" s="1" t="n"/>
      <c r="D369" s="1" t="n"/>
      <c r="E369" s="1" t="n"/>
      <c r="F369" s="1" t="n"/>
      <c r="G369" s="1" t="n"/>
      <c r="H369" s="1" t="n"/>
      <c r="I369" s="1" t="n"/>
    </row>
    <row r="370" ht="15.75" customHeight="1" s="311">
      <c r="A370" s="1" t="n"/>
      <c r="B370" s="1" t="n"/>
      <c r="C370" s="1" t="n"/>
      <c r="D370" s="1" t="n"/>
      <c r="E370" s="1" t="n"/>
      <c r="F370" s="1" t="n"/>
      <c r="G370" s="1" t="n"/>
      <c r="H370" s="1" t="n"/>
      <c r="I370" s="1" t="n"/>
    </row>
    <row r="371" ht="15.75" customHeight="1" s="311">
      <c r="A371" s="1" t="n"/>
      <c r="B371" s="1" t="n"/>
      <c r="C371" s="1" t="n"/>
      <c r="D371" s="1" t="n"/>
      <c r="E371" s="1" t="n"/>
      <c r="F371" s="1" t="n"/>
      <c r="G371" s="1" t="n"/>
      <c r="H371" s="1" t="n"/>
      <c r="I371" s="1" t="n"/>
    </row>
    <row r="372" ht="15.75" customHeight="1" s="311">
      <c r="A372" s="1" t="n"/>
      <c r="B372" s="1" t="n"/>
      <c r="C372" s="1" t="n"/>
      <c r="D372" s="1" t="n"/>
      <c r="E372" s="1" t="n"/>
      <c r="F372" s="1" t="n"/>
      <c r="G372" s="1" t="n"/>
      <c r="H372" s="1" t="n"/>
      <c r="I372" s="1" t="n"/>
    </row>
    <row r="373" ht="15.75" customHeight="1" s="311">
      <c r="A373" s="1" t="n"/>
      <c r="B373" s="1" t="n"/>
      <c r="C373" s="1" t="n"/>
      <c r="D373" s="1" t="n"/>
      <c r="E373" s="1" t="n"/>
      <c r="F373" s="1" t="n"/>
      <c r="G373" s="1" t="n"/>
      <c r="H373" s="1" t="n"/>
      <c r="I373" s="1" t="n"/>
    </row>
    <row r="374" ht="15.75" customHeight="1" s="311">
      <c r="A374" s="1" t="n"/>
      <c r="B374" s="1" t="n"/>
      <c r="C374" s="1" t="n"/>
      <c r="D374" s="1" t="n"/>
      <c r="E374" s="1" t="n"/>
      <c r="F374" s="1" t="n"/>
      <c r="G374" s="1" t="n"/>
      <c r="H374" s="1" t="n"/>
      <c r="I374" s="1" t="n"/>
    </row>
    <row r="375" ht="15.75" customHeight="1" s="311">
      <c r="A375" s="1" t="n"/>
      <c r="B375" s="1" t="n"/>
      <c r="C375" s="1" t="n"/>
      <c r="D375" s="1" t="n"/>
      <c r="E375" s="1" t="n"/>
      <c r="F375" s="1" t="n"/>
      <c r="G375" s="1" t="n"/>
      <c r="H375" s="1" t="n"/>
      <c r="I375" s="1" t="n"/>
    </row>
    <row r="376" ht="15.75" customHeight="1" s="311">
      <c r="A376" s="1" t="n"/>
      <c r="B376" s="1" t="n"/>
      <c r="C376" s="1" t="n"/>
      <c r="D376" s="1" t="n"/>
      <c r="E376" s="1" t="n"/>
      <c r="F376" s="1" t="n"/>
      <c r="G376" s="1" t="n"/>
      <c r="H376" s="1" t="n"/>
      <c r="I376" s="1" t="n"/>
    </row>
    <row r="377" ht="15.75" customHeight="1" s="311">
      <c r="A377" s="1" t="n"/>
      <c r="B377" s="1" t="n"/>
      <c r="C377" s="1" t="n"/>
      <c r="D377" s="1" t="n"/>
      <c r="E377" s="1" t="n"/>
      <c r="F377" s="1" t="n"/>
      <c r="G377" s="1" t="n"/>
      <c r="H377" s="1" t="n"/>
      <c r="I377" s="1" t="n"/>
    </row>
    <row r="378" ht="15.75" customHeight="1" s="311">
      <c r="A378" s="1" t="n"/>
      <c r="B378" s="1" t="n"/>
      <c r="C378" s="1" t="n"/>
      <c r="D378" s="1" t="n"/>
      <c r="E378" s="1" t="n"/>
      <c r="F378" s="1" t="n"/>
      <c r="G378" s="1" t="n"/>
      <c r="H378" s="1" t="n"/>
      <c r="I378" s="1" t="n"/>
    </row>
    <row r="379" ht="15.75" customHeight="1" s="311">
      <c r="A379" s="1" t="n"/>
      <c r="B379" s="1" t="n"/>
      <c r="C379" s="1" t="n"/>
      <c r="D379" s="1" t="n"/>
      <c r="E379" s="1" t="n"/>
      <c r="F379" s="1" t="n"/>
      <c r="G379" s="1" t="n"/>
      <c r="H379" s="1" t="n"/>
      <c r="I379" s="1" t="n"/>
    </row>
    <row r="380" ht="15.75" customHeight="1" s="311">
      <c r="A380" s="1" t="n"/>
      <c r="B380" s="1" t="n"/>
      <c r="C380" s="1" t="n"/>
      <c r="D380" s="1" t="n"/>
      <c r="E380" s="1" t="n"/>
      <c r="F380" s="1" t="n"/>
      <c r="G380" s="1" t="n"/>
      <c r="H380" s="1" t="n"/>
      <c r="I380" s="1" t="n"/>
    </row>
    <row r="381" ht="15.75" customHeight="1" s="311">
      <c r="A381" s="1" t="n"/>
      <c r="B381" s="1" t="n"/>
      <c r="C381" s="1" t="n"/>
      <c r="D381" s="1" t="n"/>
      <c r="E381" s="1" t="n"/>
      <c r="F381" s="1" t="n"/>
      <c r="G381" s="1" t="n"/>
      <c r="H381" s="1" t="n"/>
      <c r="I381" s="1" t="n"/>
    </row>
    <row r="382" ht="15.75" customHeight="1" s="311">
      <c r="A382" s="1" t="n"/>
      <c r="B382" s="1" t="n"/>
      <c r="C382" s="1" t="n"/>
      <c r="D382" s="1" t="n"/>
      <c r="E382" s="1" t="n"/>
      <c r="F382" s="1" t="n"/>
      <c r="G382" s="1" t="n"/>
      <c r="H382" s="1" t="n"/>
      <c r="I382" s="1" t="n"/>
    </row>
    <row r="383" ht="15.75" customHeight="1" s="311">
      <c r="A383" s="1" t="n"/>
      <c r="B383" s="1" t="n"/>
      <c r="C383" s="1" t="n"/>
      <c r="D383" s="1" t="n"/>
      <c r="E383" s="1" t="n"/>
      <c r="F383" s="1" t="n"/>
      <c r="G383" s="1" t="n"/>
      <c r="H383" s="1" t="n"/>
      <c r="I383" s="1" t="n"/>
    </row>
    <row r="384" ht="15.75" customHeight="1" s="311">
      <c r="A384" s="1" t="n"/>
      <c r="B384" s="1" t="n"/>
      <c r="C384" s="1" t="n"/>
      <c r="D384" s="1" t="n"/>
      <c r="E384" s="1" t="n"/>
      <c r="F384" s="1" t="n"/>
      <c r="G384" s="1" t="n"/>
      <c r="H384" s="1" t="n"/>
      <c r="I384" s="1" t="n"/>
    </row>
    <row r="385" ht="15.75" customHeight="1" s="311">
      <c r="A385" s="1" t="n"/>
      <c r="B385" s="1" t="n"/>
      <c r="C385" s="1" t="n"/>
      <c r="D385" s="1" t="n"/>
      <c r="E385" s="1" t="n"/>
      <c r="F385" s="1" t="n"/>
      <c r="G385" s="1" t="n"/>
      <c r="H385" s="1" t="n"/>
      <c r="I385" s="1" t="n"/>
    </row>
    <row r="386" ht="15.75" customHeight="1" s="311">
      <c r="A386" s="1" t="n"/>
      <c r="B386" s="1" t="n"/>
      <c r="C386" s="1" t="n"/>
      <c r="D386" s="1" t="n"/>
      <c r="E386" s="1" t="n"/>
      <c r="F386" s="1" t="n"/>
      <c r="G386" s="1" t="n"/>
      <c r="H386" s="1" t="n"/>
      <c r="I386" s="1" t="n"/>
    </row>
    <row r="387" ht="15.75" customHeight="1" s="311">
      <c r="A387" s="1" t="n"/>
      <c r="B387" s="1" t="n"/>
      <c r="C387" s="1" t="n"/>
      <c r="D387" s="1" t="n"/>
      <c r="E387" s="1" t="n"/>
      <c r="F387" s="1" t="n"/>
      <c r="G387" s="1" t="n"/>
      <c r="H387" s="1" t="n"/>
      <c r="I387" s="1" t="n"/>
    </row>
    <row r="388" ht="15.75" customHeight="1" s="311">
      <c r="A388" s="1" t="n"/>
      <c r="B388" s="1" t="n"/>
      <c r="C388" s="1" t="n"/>
      <c r="D388" s="1" t="n"/>
      <c r="E388" s="1" t="n"/>
      <c r="F388" s="1" t="n"/>
      <c r="G388" s="1" t="n"/>
      <c r="H388" s="1" t="n"/>
      <c r="I388" s="1" t="n"/>
    </row>
    <row r="389" ht="15.75" customHeight="1" s="311">
      <c r="A389" s="1" t="n"/>
      <c r="B389" s="1" t="n"/>
      <c r="C389" s="1" t="n"/>
      <c r="D389" s="1" t="n"/>
      <c r="E389" s="1" t="n"/>
      <c r="F389" s="1" t="n"/>
      <c r="G389" s="1" t="n"/>
      <c r="H389" s="1" t="n"/>
      <c r="I389" s="1" t="n"/>
    </row>
    <row r="390" ht="15.75" customHeight="1" s="311">
      <c r="A390" s="1" t="n"/>
      <c r="B390" s="1" t="n"/>
      <c r="C390" s="1" t="n"/>
      <c r="D390" s="1" t="n"/>
      <c r="E390" s="1" t="n"/>
      <c r="F390" s="1" t="n"/>
      <c r="G390" s="1" t="n"/>
      <c r="H390" s="1" t="n"/>
      <c r="I390" s="1" t="n"/>
    </row>
    <row r="391" ht="15.75" customHeight="1" s="311">
      <c r="A391" s="1" t="n"/>
      <c r="B391" s="1" t="n"/>
      <c r="C391" s="1" t="n"/>
      <c r="D391" s="1" t="n"/>
      <c r="E391" s="1" t="n"/>
      <c r="F391" s="1" t="n"/>
      <c r="G391" s="1" t="n"/>
      <c r="H391" s="1" t="n"/>
      <c r="I391" s="1" t="n"/>
    </row>
    <row r="392" ht="15.75" customHeight="1" s="311">
      <c r="A392" s="1" t="n"/>
      <c r="B392" s="1" t="n"/>
      <c r="C392" s="1" t="n"/>
      <c r="D392" s="1" t="n"/>
      <c r="E392" s="1" t="n"/>
      <c r="F392" s="1" t="n"/>
      <c r="G392" s="1" t="n"/>
      <c r="H392" s="1" t="n"/>
      <c r="I392" s="1" t="n"/>
    </row>
    <row r="393" ht="15.75" customHeight="1" s="311">
      <c r="A393" s="1" t="n"/>
      <c r="B393" s="1" t="n"/>
      <c r="C393" s="1" t="n"/>
      <c r="D393" s="1" t="n"/>
      <c r="E393" s="1" t="n"/>
      <c r="F393" s="1" t="n"/>
      <c r="G393" s="1" t="n"/>
      <c r="H393" s="1" t="n"/>
      <c r="I393" s="1" t="n"/>
    </row>
    <row r="394" ht="15.75" customHeight="1" s="311">
      <c r="A394" s="1" t="n"/>
      <c r="B394" s="1" t="n"/>
      <c r="C394" s="1" t="n"/>
      <c r="D394" s="1" t="n"/>
      <c r="E394" s="1" t="n"/>
      <c r="F394" s="1" t="n"/>
      <c r="G394" s="1" t="n"/>
      <c r="H394" s="1" t="n"/>
      <c r="I394" s="1" t="n"/>
    </row>
    <row r="395" ht="15.75" customHeight="1" s="311">
      <c r="A395" s="1" t="n"/>
      <c r="B395" s="1" t="n"/>
      <c r="C395" s="1" t="n"/>
      <c r="D395" s="1" t="n"/>
      <c r="E395" s="1" t="n"/>
      <c r="F395" s="1" t="n"/>
      <c r="G395" s="1" t="n"/>
      <c r="H395" s="1" t="n"/>
      <c r="I395" s="1" t="n"/>
    </row>
    <row r="396" ht="15.75" customHeight="1" s="311">
      <c r="A396" s="1" t="n"/>
      <c r="B396" s="1" t="n"/>
      <c r="C396" s="1" t="n"/>
      <c r="D396" s="1" t="n"/>
      <c r="E396" s="1" t="n"/>
      <c r="F396" s="1" t="n"/>
      <c r="G396" s="1" t="n"/>
      <c r="H396" s="1" t="n"/>
      <c r="I396" s="1" t="n"/>
    </row>
    <row r="397" ht="15.75" customHeight="1" s="311">
      <c r="A397" s="1" t="n"/>
      <c r="B397" s="1" t="n"/>
      <c r="C397" s="1" t="n"/>
      <c r="D397" s="1" t="n"/>
      <c r="E397" s="1" t="n"/>
      <c r="F397" s="1" t="n"/>
      <c r="G397" s="1" t="n"/>
      <c r="H397" s="1" t="n"/>
      <c r="I397" s="1" t="n"/>
    </row>
    <row r="398" ht="15.75" customHeight="1" s="311">
      <c r="A398" s="1" t="n"/>
      <c r="B398" s="1" t="n"/>
      <c r="C398" s="1" t="n"/>
      <c r="D398" s="1" t="n"/>
      <c r="E398" s="1" t="n"/>
      <c r="F398" s="1" t="n"/>
      <c r="G398" s="1" t="n"/>
      <c r="H398" s="1" t="n"/>
      <c r="I398" s="1" t="n"/>
    </row>
    <row r="399" ht="15.75" customHeight="1" s="311">
      <c r="A399" s="1" t="n"/>
      <c r="B399" s="1" t="n"/>
      <c r="C399" s="1" t="n"/>
      <c r="D399" s="1" t="n"/>
      <c r="E399" s="1" t="n"/>
      <c r="F399" s="1" t="n"/>
      <c r="G399" s="1" t="n"/>
      <c r="H399" s="1" t="n"/>
      <c r="I399" s="1" t="n"/>
    </row>
    <row r="400" ht="15.75" customHeight="1" s="311">
      <c r="A400" s="1" t="n"/>
      <c r="B400" s="1" t="n"/>
      <c r="C400" s="1" t="n"/>
      <c r="D400" s="1" t="n"/>
      <c r="E400" s="1" t="n"/>
      <c r="F400" s="1" t="n"/>
      <c r="G400" s="1" t="n"/>
      <c r="H400" s="1" t="n"/>
      <c r="I400" s="1" t="n"/>
    </row>
    <row r="401" ht="15.75" customHeight="1" s="311">
      <c r="A401" s="1" t="n"/>
      <c r="B401" s="1" t="n"/>
      <c r="C401" s="1" t="n"/>
      <c r="D401" s="1" t="n"/>
      <c r="E401" s="1" t="n"/>
      <c r="F401" s="1" t="n"/>
      <c r="G401" s="1" t="n"/>
      <c r="H401" s="1" t="n"/>
      <c r="I401" s="1" t="n"/>
    </row>
    <row r="402" ht="15.75" customHeight="1" s="311">
      <c r="A402" s="1" t="n"/>
      <c r="B402" s="1" t="n"/>
      <c r="C402" s="1" t="n"/>
      <c r="D402" s="1" t="n"/>
      <c r="E402" s="1" t="n"/>
      <c r="F402" s="1" t="n"/>
      <c r="G402" s="1" t="n"/>
      <c r="H402" s="1" t="n"/>
      <c r="I402" s="1" t="n"/>
    </row>
    <row r="403" ht="15.75" customHeight="1" s="311">
      <c r="A403" s="1" t="n"/>
      <c r="B403" s="1" t="n"/>
      <c r="C403" s="1" t="n"/>
      <c r="D403" s="1" t="n"/>
      <c r="E403" s="1" t="n"/>
      <c r="F403" s="1" t="n"/>
      <c r="G403" s="1" t="n"/>
      <c r="H403" s="1" t="n"/>
      <c r="I403" s="1" t="n"/>
    </row>
    <row r="404" ht="15.75" customHeight="1" s="311">
      <c r="A404" s="1" t="n"/>
      <c r="B404" s="1" t="n"/>
      <c r="C404" s="1" t="n"/>
      <c r="D404" s="1" t="n"/>
      <c r="E404" s="1" t="n"/>
      <c r="F404" s="1" t="n"/>
      <c r="G404" s="1" t="n"/>
      <c r="H404" s="1" t="n"/>
      <c r="I404" s="1" t="n"/>
    </row>
    <row r="405" ht="15.75" customHeight="1" s="311">
      <c r="A405" s="1" t="n"/>
      <c r="B405" s="1" t="n"/>
      <c r="C405" s="1" t="n"/>
      <c r="D405" s="1" t="n"/>
      <c r="E405" s="1" t="n"/>
      <c r="F405" s="1" t="n"/>
      <c r="G405" s="1" t="n"/>
      <c r="H405" s="1" t="n"/>
      <c r="I405" s="1" t="n"/>
    </row>
    <row r="406" ht="15.75" customHeight="1" s="311">
      <c r="A406" s="1" t="n"/>
      <c r="B406" s="1" t="n"/>
      <c r="C406" s="1" t="n"/>
      <c r="D406" s="1" t="n"/>
      <c r="E406" s="1" t="n"/>
      <c r="F406" s="1" t="n"/>
      <c r="G406" s="1" t="n"/>
      <c r="H406" s="1" t="n"/>
      <c r="I406" s="1" t="n"/>
    </row>
    <row r="407" ht="15.75" customHeight="1" s="311">
      <c r="A407" s="1" t="n"/>
      <c r="B407" s="1" t="n"/>
      <c r="C407" s="1" t="n"/>
      <c r="D407" s="1" t="n"/>
      <c r="E407" s="1" t="n"/>
      <c r="F407" s="1" t="n"/>
      <c r="G407" s="1" t="n"/>
      <c r="H407" s="1" t="n"/>
      <c r="I407" s="1" t="n"/>
    </row>
    <row r="408" ht="15.75" customHeight="1" s="311">
      <c r="A408" s="1" t="n"/>
      <c r="B408" s="1" t="n"/>
      <c r="C408" s="1" t="n"/>
      <c r="D408" s="1" t="n"/>
      <c r="E408" s="1" t="n"/>
      <c r="F408" s="1" t="n"/>
      <c r="G408" s="1" t="n"/>
      <c r="H408" s="1" t="n"/>
      <c r="I408" s="1" t="n"/>
    </row>
    <row r="409" ht="15.75" customHeight="1" s="311">
      <c r="A409" s="1" t="n"/>
      <c r="B409" s="1" t="n"/>
      <c r="C409" s="1" t="n"/>
      <c r="D409" s="1" t="n"/>
      <c r="E409" s="1" t="n"/>
      <c r="F409" s="1" t="n"/>
      <c r="G409" s="1" t="n"/>
      <c r="H409" s="1" t="n"/>
      <c r="I409" s="1" t="n"/>
    </row>
    <row r="410" ht="15.75" customHeight="1" s="311">
      <c r="A410" s="1" t="n"/>
      <c r="B410" s="1" t="n"/>
      <c r="C410" s="1" t="n"/>
      <c r="D410" s="1" t="n"/>
      <c r="E410" s="1" t="n"/>
      <c r="F410" s="1" t="n"/>
      <c r="G410" s="1" t="n"/>
      <c r="H410" s="1" t="n"/>
      <c r="I410" s="1" t="n"/>
    </row>
    <row r="411" ht="15.75" customHeight="1" s="311">
      <c r="A411" s="1" t="n"/>
      <c r="B411" s="1" t="n"/>
      <c r="C411" s="1" t="n"/>
      <c r="D411" s="1" t="n"/>
      <c r="E411" s="1" t="n"/>
      <c r="F411" s="1" t="n"/>
      <c r="G411" s="1" t="n"/>
      <c r="H411" s="1" t="n"/>
      <c r="I411" s="1" t="n"/>
    </row>
    <row r="412" ht="15.75" customHeight="1" s="311">
      <c r="A412" s="1" t="n"/>
      <c r="B412" s="1" t="n"/>
      <c r="C412" s="1" t="n"/>
      <c r="D412" s="1" t="n"/>
      <c r="E412" s="1" t="n"/>
      <c r="F412" s="1" t="n"/>
      <c r="G412" s="1" t="n"/>
      <c r="H412" s="1" t="n"/>
      <c r="I412" s="1" t="n"/>
    </row>
    <row r="413" ht="15.75" customHeight="1" s="311">
      <c r="A413" s="1" t="n"/>
      <c r="B413" s="1" t="n"/>
      <c r="C413" s="1" t="n"/>
      <c r="D413" s="1" t="n"/>
      <c r="E413" s="1" t="n"/>
      <c r="F413" s="1" t="n"/>
      <c r="G413" s="1" t="n"/>
      <c r="H413" s="1" t="n"/>
      <c r="I413" s="1" t="n"/>
    </row>
    <row r="414" ht="15.75" customHeight="1" s="311">
      <c r="A414" s="1" t="n"/>
      <c r="B414" s="1" t="n"/>
      <c r="C414" s="1" t="n"/>
      <c r="D414" s="1" t="n"/>
      <c r="E414" s="1" t="n"/>
      <c r="F414" s="1" t="n"/>
      <c r="G414" s="1" t="n"/>
      <c r="H414" s="1" t="n"/>
      <c r="I414" s="1" t="n"/>
    </row>
    <row r="415" ht="15.75" customHeight="1" s="311">
      <c r="A415" s="1" t="n"/>
      <c r="B415" s="1" t="n"/>
      <c r="C415" s="1" t="n"/>
      <c r="D415" s="1" t="n"/>
      <c r="E415" s="1" t="n"/>
      <c r="F415" s="1" t="n"/>
      <c r="G415" s="1" t="n"/>
      <c r="H415" s="1" t="n"/>
      <c r="I415" s="1" t="n"/>
    </row>
    <row r="416" ht="15.75" customHeight="1" s="311">
      <c r="A416" s="1" t="n"/>
      <c r="B416" s="1" t="n"/>
      <c r="C416" s="1" t="n"/>
      <c r="D416" s="1" t="n"/>
      <c r="E416" s="1" t="n"/>
      <c r="F416" s="1" t="n"/>
      <c r="G416" s="1" t="n"/>
      <c r="H416" s="1" t="n"/>
      <c r="I416" s="1" t="n"/>
    </row>
    <row r="417" ht="15.75" customHeight="1" s="311">
      <c r="A417" s="1" t="n"/>
      <c r="B417" s="1" t="n"/>
      <c r="C417" s="1" t="n"/>
      <c r="D417" s="1" t="n"/>
      <c r="E417" s="1" t="n"/>
      <c r="F417" s="1" t="n"/>
      <c r="G417" s="1" t="n"/>
      <c r="H417" s="1" t="n"/>
      <c r="I417" s="1" t="n"/>
    </row>
    <row r="418" ht="15.75" customHeight="1" s="311">
      <c r="A418" s="1" t="n"/>
      <c r="B418" s="1" t="n"/>
      <c r="C418" s="1" t="n"/>
      <c r="D418" s="1" t="n"/>
      <c r="E418" s="1" t="n"/>
      <c r="F418" s="1" t="n"/>
      <c r="G418" s="1" t="n"/>
      <c r="H418" s="1" t="n"/>
      <c r="I418" s="1" t="n"/>
    </row>
    <row r="419" ht="15.75" customHeight="1" s="311">
      <c r="A419" s="1" t="n"/>
      <c r="B419" s="1" t="n"/>
      <c r="C419" s="1" t="n"/>
      <c r="D419" s="1" t="n"/>
      <c r="E419" s="1" t="n"/>
      <c r="F419" s="1" t="n"/>
      <c r="G419" s="1" t="n"/>
      <c r="H419" s="1" t="n"/>
      <c r="I419" s="1" t="n"/>
    </row>
    <row r="420" ht="15.75" customHeight="1" s="311">
      <c r="A420" s="1" t="n"/>
      <c r="B420" s="1" t="n"/>
      <c r="C420" s="1" t="n"/>
      <c r="D420" s="1" t="n"/>
      <c r="E420" s="1" t="n"/>
      <c r="F420" s="1" t="n"/>
      <c r="G420" s="1" t="n"/>
      <c r="H420" s="1" t="n"/>
      <c r="I420" s="1" t="n"/>
    </row>
    <row r="421" ht="15.75" customHeight="1" s="311">
      <c r="A421" s="1" t="n"/>
      <c r="B421" s="1" t="n"/>
      <c r="C421" s="1" t="n"/>
      <c r="D421" s="1" t="n"/>
      <c r="E421" s="1" t="n"/>
      <c r="F421" s="1" t="n"/>
      <c r="G421" s="1" t="n"/>
      <c r="H421" s="1" t="n"/>
      <c r="I421" s="1" t="n"/>
    </row>
    <row r="422" ht="15.75" customHeight="1" s="311">
      <c r="A422" s="1" t="n"/>
      <c r="B422" s="1" t="n"/>
      <c r="C422" s="1" t="n"/>
      <c r="D422" s="1" t="n"/>
      <c r="E422" s="1" t="n"/>
      <c r="F422" s="1" t="n"/>
      <c r="G422" s="1" t="n"/>
      <c r="H422" s="1" t="n"/>
      <c r="I422" s="1" t="n"/>
    </row>
    <row r="423" ht="15.75" customHeight="1" s="311">
      <c r="A423" s="1" t="n"/>
      <c r="B423" s="1" t="n"/>
      <c r="C423" s="1" t="n"/>
      <c r="D423" s="1" t="n"/>
      <c r="E423" s="1" t="n"/>
      <c r="F423" s="1" t="n"/>
      <c r="G423" s="1" t="n"/>
      <c r="H423" s="1" t="n"/>
      <c r="I423" s="1" t="n"/>
    </row>
    <row r="424" ht="15.75" customHeight="1" s="311">
      <c r="A424" s="1" t="n"/>
      <c r="B424" s="1" t="n"/>
      <c r="C424" s="1" t="n"/>
      <c r="D424" s="1" t="n"/>
      <c r="E424" s="1" t="n"/>
      <c r="F424" s="1" t="n"/>
      <c r="G424" s="1" t="n"/>
      <c r="H424" s="1" t="n"/>
      <c r="I424" s="1" t="n"/>
    </row>
    <row r="425" ht="15.75" customHeight="1" s="311">
      <c r="A425" s="1" t="n"/>
      <c r="B425" s="1" t="n"/>
      <c r="C425" s="1" t="n"/>
      <c r="D425" s="1" t="n"/>
      <c r="E425" s="1" t="n"/>
      <c r="F425" s="1" t="n"/>
      <c r="G425" s="1" t="n"/>
      <c r="H425" s="1" t="n"/>
      <c r="I425" s="1" t="n"/>
    </row>
    <row r="426" ht="15.75" customHeight="1" s="311">
      <c r="A426" s="1" t="n"/>
      <c r="B426" s="1" t="n"/>
      <c r="C426" s="1" t="n"/>
      <c r="D426" s="1" t="n"/>
      <c r="E426" s="1" t="n"/>
      <c r="F426" s="1" t="n"/>
      <c r="G426" s="1" t="n"/>
      <c r="H426" s="1" t="n"/>
      <c r="I426" s="1" t="n"/>
    </row>
    <row r="427" ht="15.75" customHeight="1" s="311">
      <c r="A427" s="1" t="n"/>
      <c r="B427" s="1" t="n"/>
      <c r="C427" s="1" t="n"/>
      <c r="D427" s="1" t="n"/>
      <c r="E427" s="1" t="n"/>
      <c r="F427" s="1" t="n"/>
      <c r="G427" s="1" t="n"/>
      <c r="H427" s="1" t="n"/>
      <c r="I427" s="1" t="n"/>
    </row>
    <row r="428" ht="15.75" customHeight="1" s="311">
      <c r="A428" s="1" t="n"/>
      <c r="B428" s="1" t="n"/>
      <c r="C428" s="1" t="n"/>
      <c r="D428" s="1" t="n"/>
      <c r="E428" s="1" t="n"/>
      <c r="F428" s="1" t="n"/>
      <c r="G428" s="1" t="n"/>
      <c r="H428" s="1" t="n"/>
      <c r="I428" s="1" t="n"/>
    </row>
    <row r="429" ht="15.75" customHeight="1" s="311">
      <c r="A429" s="1" t="n"/>
      <c r="B429" s="1" t="n"/>
      <c r="C429" s="1" t="n"/>
      <c r="D429" s="1" t="n"/>
      <c r="E429" s="1" t="n"/>
      <c r="F429" s="1" t="n"/>
      <c r="G429" s="1" t="n"/>
      <c r="H429" s="1" t="n"/>
      <c r="I429" s="1" t="n"/>
    </row>
    <row r="430" ht="15.75" customHeight="1" s="311">
      <c r="A430" s="1" t="n"/>
      <c r="B430" s="1" t="n"/>
      <c r="C430" s="1" t="n"/>
      <c r="D430" s="1" t="n"/>
      <c r="E430" s="1" t="n"/>
      <c r="F430" s="1" t="n"/>
      <c r="G430" s="1" t="n"/>
      <c r="H430" s="1" t="n"/>
      <c r="I430" s="1" t="n"/>
    </row>
    <row r="431" ht="15.75" customHeight="1" s="311">
      <c r="A431" s="1" t="n"/>
      <c r="B431" s="1" t="n"/>
      <c r="C431" s="1" t="n"/>
      <c r="D431" s="1" t="n"/>
      <c r="E431" s="1" t="n"/>
      <c r="F431" s="1" t="n"/>
      <c r="G431" s="1" t="n"/>
      <c r="H431" s="1" t="n"/>
      <c r="I431" s="1" t="n"/>
    </row>
    <row r="432" ht="15.75" customHeight="1" s="311">
      <c r="A432" s="1" t="n"/>
      <c r="B432" s="1" t="n"/>
      <c r="C432" s="1" t="n"/>
      <c r="D432" s="1" t="n"/>
      <c r="E432" s="1" t="n"/>
      <c r="F432" s="1" t="n"/>
      <c r="G432" s="1" t="n"/>
      <c r="H432" s="1" t="n"/>
      <c r="I432" s="1" t="n"/>
    </row>
    <row r="433" ht="15.75" customHeight="1" s="311">
      <c r="A433" s="1" t="n"/>
      <c r="B433" s="1" t="n"/>
      <c r="C433" s="1" t="n"/>
      <c r="D433" s="1" t="n"/>
      <c r="E433" s="1" t="n"/>
      <c r="F433" s="1" t="n"/>
      <c r="G433" s="1" t="n"/>
      <c r="H433" s="1" t="n"/>
      <c r="I433" s="1" t="n"/>
    </row>
    <row r="434" ht="15.75" customHeight="1" s="311">
      <c r="A434" s="1" t="n"/>
      <c r="B434" s="1" t="n"/>
      <c r="C434" s="1" t="n"/>
      <c r="D434" s="1" t="n"/>
      <c r="E434" s="1" t="n"/>
      <c r="F434" s="1" t="n"/>
      <c r="G434" s="1" t="n"/>
      <c r="H434" s="1" t="n"/>
      <c r="I434" s="1" t="n"/>
    </row>
    <row r="435" ht="15.75" customHeight="1" s="311">
      <c r="A435" s="1" t="n"/>
      <c r="B435" s="1" t="n"/>
      <c r="C435" s="1" t="n"/>
      <c r="D435" s="1" t="n"/>
      <c r="E435" s="1" t="n"/>
      <c r="F435" s="1" t="n"/>
      <c r="G435" s="1" t="n"/>
      <c r="H435" s="1" t="n"/>
      <c r="I435" s="1" t="n"/>
    </row>
    <row r="436" ht="15.75" customHeight="1" s="311">
      <c r="A436" s="1" t="n"/>
      <c r="B436" s="1" t="n"/>
      <c r="C436" s="1" t="n"/>
      <c r="D436" s="1" t="n"/>
      <c r="E436" s="1" t="n"/>
      <c r="F436" s="1" t="n"/>
      <c r="G436" s="1" t="n"/>
      <c r="H436" s="1" t="n"/>
      <c r="I436" s="1" t="n"/>
    </row>
    <row r="437" ht="15.75" customHeight="1" s="311">
      <c r="A437" s="1" t="n"/>
      <c r="B437" s="1" t="n"/>
      <c r="C437" s="1" t="n"/>
      <c r="D437" s="1" t="n"/>
      <c r="E437" s="1" t="n"/>
      <c r="F437" s="1" t="n"/>
      <c r="G437" s="1" t="n"/>
      <c r="H437" s="1" t="n"/>
      <c r="I437" s="1" t="n"/>
    </row>
    <row r="438" ht="15.75" customHeight="1" s="311">
      <c r="A438" s="1" t="n"/>
      <c r="B438" s="1" t="n"/>
      <c r="C438" s="1" t="n"/>
      <c r="D438" s="1" t="n"/>
      <c r="E438" s="1" t="n"/>
      <c r="F438" s="1" t="n"/>
      <c r="G438" s="1" t="n"/>
      <c r="H438" s="1" t="n"/>
      <c r="I438" s="1" t="n"/>
    </row>
    <row r="439" ht="15.75" customHeight="1" s="311">
      <c r="A439" s="1" t="n"/>
      <c r="B439" s="1" t="n"/>
      <c r="C439" s="1" t="n"/>
      <c r="D439" s="1" t="n"/>
      <c r="E439" s="1" t="n"/>
      <c r="F439" s="1" t="n"/>
      <c r="G439" s="1" t="n"/>
      <c r="H439" s="1" t="n"/>
      <c r="I439" s="1" t="n"/>
    </row>
    <row r="440" ht="15.75" customHeight="1" s="311">
      <c r="A440" s="1" t="n"/>
      <c r="B440" s="1" t="n"/>
      <c r="C440" s="1" t="n"/>
      <c r="D440" s="1" t="n"/>
      <c r="E440" s="1" t="n"/>
      <c r="F440" s="1" t="n"/>
      <c r="G440" s="1" t="n"/>
      <c r="H440" s="1" t="n"/>
      <c r="I440" s="1" t="n"/>
    </row>
    <row r="441" ht="15.75" customHeight="1" s="311">
      <c r="A441" s="1" t="n"/>
      <c r="B441" s="1" t="n"/>
      <c r="C441" s="1" t="n"/>
      <c r="D441" s="1" t="n"/>
      <c r="E441" s="1" t="n"/>
      <c r="F441" s="1" t="n"/>
      <c r="G441" s="1" t="n"/>
      <c r="H441" s="1" t="n"/>
      <c r="I441" s="1" t="n"/>
    </row>
    <row r="442" ht="15.75" customHeight="1" s="311">
      <c r="A442" s="1" t="n"/>
      <c r="B442" s="1" t="n"/>
      <c r="C442" s="1" t="n"/>
      <c r="D442" s="1" t="n"/>
      <c r="E442" s="1" t="n"/>
      <c r="F442" s="1" t="n"/>
      <c r="G442" s="1" t="n"/>
      <c r="H442" s="1" t="n"/>
      <c r="I442" s="1" t="n"/>
    </row>
    <row r="443" ht="15.75" customHeight="1" s="311">
      <c r="A443" s="1" t="n"/>
      <c r="B443" s="1" t="n"/>
      <c r="C443" s="1" t="n"/>
      <c r="D443" s="1" t="n"/>
      <c r="E443" s="1" t="n"/>
      <c r="F443" s="1" t="n"/>
      <c r="G443" s="1" t="n"/>
      <c r="H443" s="1" t="n"/>
      <c r="I443" s="1" t="n"/>
    </row>
    <row r="444" ht="15.75" customHeight="1" s="311">
      <c r="A444" s="1" t="n"/>
      <c r="B444" s="1" t="n"/>
      <c r="C444" s="1" t="n"/>
      <c r="D444" s="1" t="n"/>
      <c r="E444" s="1" t="n"/>
      <c r="F444" s="1" t="n"/>
      <c r="G444" s="1" t="n"/>
      <c r="H444" s="1" t="n"/>
      <c r="I444" s="1" t="n"/>
    </row>
    <row r="445" ht="15.75" customHeight="1" s="311">
      <c r="A445" s="1" t="n"/>
      <c r="B445" s="1" t="n"/>
      <c r="C445" s="1" t="n"/>
      <c r="D445" s="1" t="n"/>
      <c r="E445" s="1" t="n"/>
      <c r="F445" s="1" t="n"/>
      <c r="G445" s="1" t="n"/>
      <c r="H445" s="1" t="n"/>
      <c r="I445" s="1" t="n"/>
    </row>
    <row r="446" ht="15.75" customHeight="1" s="311">
      <c r="A446" s="1" t="n"/>
      <c r="B446" s="1" t="n"/>
      <c r="C446" s="1" t="n"/>
      <c r="D446" s="1" t="n"/>
      <c r="E446" s="1" t="n"/>
      <c r="F446" s="1" t="n"/>
      <c r="G446" s="1" t="n"/>
      <c r="H446" s="1" t="n"/>
      <c r="I446" s="1" t="n"/>
    </row>
    <row r="447" ht="15.75" customHeight="1" s="311">
      <c r="A447" s="1" t="n"/>
      <c r="B447" s="1" t="n"/>
      <c r="C447" s="1" t="n"/>
      <c r="D447" s="1" t="n"/>
      <c r="E447" s="1" t="n"/>
      <c r="F447" s="1" t="n"/>
      <c r="G447" s="1" t="n"/>
      <c r="H447" s="1" t="n"/>
      <c r="I447" s="1" t="n"/>
    </row>
    <row r="448" ht="15.75" customHeight="1" s="311">
      <c r="A448" s="1" t="n"/>
      <c r="B448" s="1" t="n"/>
      <c r="C448" s="1" t="n"/>
      <c r="D448" s="1" t="n"/>
      <c r="E448" s="1" t="n"/>
      <c r="F448" s="1" t="n"/>
      <c r="G448" s="1" t="n"/>
      <c r="H448" s="1" t="n"/>
      <c r="I448" s="1" t="n"/>
    </row>
    <row r="449" ht="15.75" customHeight="1" s="311">
      <c r="A449" s="1" t="n"/>
      <c r="B449" s="1" t="n"/>
      <c r="C449" s="1" t="n"/>
      <c r="D449" s="1" t="n"/>
      <c r="E449" s="1" t="n"/>
      <c r="F449" s="1" t="n"/>
      <c r="G449" s="1" t="n"/>
      <c r="H449" s="1" t="n"/>
      <c r="I449" s="1" t="n"/>
    </row>
    <row r="450" ht="15.75" customHeight="1" s="311">
      <c r="A450" s="1" t="n"/>
      <c r="B450" s="1" t="n"/>
      <c r="C450" s="1" t="n"/>
      <c r="D450" s="1" t="n"/>
      <c r="E450" s="1" t="n"/>
      <c r="F450" s="1" t="n"/>
      <c r="G450" s="1" t="n"/>
      <c r="H450" s="1" t="n"/>
      <c r="I450" s="1" t="n"/>
    </row>
    <row r="451" ht="15.75" customHeight="1" s="311">
      <c r="A451" s="1" t="n"/>
      <c r="B451" s="1" t="n"/>
      <c r="C451" s="1" t="n"/>
      <c r="D451" s="1" t="n"/>
      <c r="E451" s="1" t="n"/>
      <c r="F451" s="1" t="n"/>
      <c r="G451" s="1" t="n"/>
      <c r="H451" s="1" t="n"/>
      <c r="I451" s="1" t="n"/>
    </row>
    <row r="452" ht="15.75" customHeight="1" s="311">
      <c r="A452" s="1" t="n"/>
      <c r="B452" s="1" t="n"/>
      <c r="C452" s="1" t="n"/>
      <c r="D452" s="1" t="n"/>
      <c r="E452" s="1" t="n"/>
      <c r="F452" s="1" t="n"/>
      <c r="G452" s="1" t="n"/>
      <c r="H452" s="1" t="n"/>
      <c r="I452" s="1" t="n"/>
    </row>
    <row r="453" ht="15.75" customHeight="1" s="311">
      <c r="A453" s="1" t="n"/>
      <c r="B453" s="1" t="n"/>
      <c r="C453" s="1" t="n"/>
      <c r="D453" s="1" t="n"/>
      <c r="E453" s="1" t="n"/>
      <c r="F453" s="1" t="n"/>
      <c r="G453" s="1" t="n"/>
      <c r="H453" s="1" t="n"/>
      <c r="I453" s="1" t="n"/>
    </row>
    <row r="454" ht="15.75" customHeight="1" s="311">
      <c r="A454" s="1" t="n"/>
      <c r="B454" s="1" t="n"/>
      <c r="C454" s="1" t="n"/>
      <c r="D454" s="1" t="n"/>
      <c r="E454" s="1" t="n"/>
      <c r="F454" s="1" t="n"/>
      <c r="G454" s="1" t="n"/>
      <c r="H454" s="1" t="n"/>
      <c r="I454" s="1" t="n"/>
    </row>
    <row r="455" ht="15.75" customHeight="1" s="311">
      <c r="A455" s="1" t="n"/>
      <c r="B455" s="1" t="n"/>
      <c r="C455" s="1" t="n"/>
      <c r="D455" s="1" t="n"/>
      <c r="E455" s="1" t="n"/>
      <c r="F455" s="1" t="n"/>
      <c r="G455" s="1" t="n"/>
      <c r="H455" s="1" t="n"/>
      <c r="I455" s="1" t="n"/>
    </row>
    <row r="456" ht="15.75" customHeight="1" s="311">
      <c r="A456" s="1" t="n"/>
      <c r="B456" s="1" t="n"/>
      <c r="C456" s="1" t="n"/>
      <c r="D456" s="1" t="n"/>
      <c r="E456" s="1" t="n"/>
      <c r="F456" s="1" t="n"/>
      <c r="G456" s="1" t="n"/>
      <c r="H456" s="1" t="n"/>
      <c r="I456" s="1" t="n"/>
    </row>
    <row r="457" ht="15.75" customHeight="1" s="311">
      <c r="A457" s="1" t="n"/>
      <c r="B457" s="1" t="n"/>
      <c r="C457" s="1" t="n"/>
      <c r="D457" s="1" t="n"/>
      <c r="E457" s="1" t="n"/>
      <c r="F457" s="1" t="n"/>
      <c r="G457" s="1" t="n"/>
      <c r="H457" s="1" t="n"/>
      <c r="I457" s="1" t="n"/>
    </row>
    <row r="458" ht="15.75" customHeight="1" s="311">
      <c r="A458" s="1" t="n"/>
      <c r="B458" s="1" t="n"/>
      <c r="C458" s="1" t="n"/>
      <c r="D458" s="1" t="n"/>
      <c r="E458" s="1" t="n"/>
      <c r="F458" s="1" t="n"/>
      <c r="G458" s="1" t="n"/>
      <c r="H458" s="1" t="n"/>
      <c r="I458" s="1" t="n"/>
    </row>
    <row r="459" ht="15.75" customHeight="1" s="311">
      <c r="A459" s="1" t="n"/>
      <c r="B459" s="1" t="n"/>
      <c r="C459" s="1" t="n"/>
      <c r="D459" s="1" t="n"/>
      <c r="E459" s="1" t="n"/>
      <c r="F459" s="1" t="n"/>
      <c r="G459" s="1" t="n"/>
      <c r="H459" s="1" t="n"/>
      <c r="I459" s="1" t="n"/>
    </row>
    <row r="460" ht="15.75" customHeight="1" s="311">
      <c r="A460" s="1" t="n"/>
      <c r="B460" s="1" t="n"/>
      <c r="C460" s="1" t="n"/>
      <c r="D460" s="1" t="n"/>
      <c r="E460" s="1" t="n"/>
      <c r="F460" s="1" t="n"/>
      <c r="G460" s="1" t="n"/>
      <c r="H460" s="1" t="n"/>
      <c r="I460" s="1" t="n"/>
    </row>
    <row r="461" ht="15.75" customHeight="1" s="311">
      <c r="A461" s="1" t="n"/>
      <c r="B461" s="1" t="n"/>
      <c r="C461" s="1" t="n"/>
      <c r="D461" s="1" t="n"/>
      <c r="E461" s="1" t="n"/>
      <c r="F461" s="1" t="n"/>
      <c r="G461" s="1" t="n"/>
      <c r="H461" s="1" t="n"/>
      <c r="I461" s="1" t="n"/>
    </row>
    <row r="462" ht="15.75" customHeight="1" s="311">
      <c r="A462" s="1" t="n"/>
      <c r="B462" s="1" t="n"/>
      <c r="C462" s="1" t="n"/>
      <c r="D462" s="1" t="n"/>
      <c r="E462" s="1" t="n"/>
      <c r="F462" s="1" t="n"/>
      <c r="G462" s="1" t="n"/>
      <c r="H462" s="1" t="n"/>
      <c r="I462" s="1" t="n"/>
    </row>
    <row r="463" ht="15.75" customHeight="1" s="311">
      <c r="A463" s="1" t="n"/>
      <c r="B463" s="1" t="n"/>
      <c r="C463" s="1" t="n"/>
      <c r="D463" s="1" t="n"/>
      <c r="E463" s="1" t="n"/>
      <c r="F463" s="1" t="n"/>
      <c r="G463" s="1" t="n"/>
      <c r="H463" s="1" t="n"/>
      <c r="I463" s="1" t="n"/>
    </row>
    <row r="464" ht="15.75" customHeight="1" s="311">
      <c r="A464" s="1" t="n"/>
      <c r="B464" s="1" t="n"/>
      <c r="C464" s="1" t="n"/>
      <c r="D464" s="1" t="n"/>
      <c r="E464" s="1" t="n"/>
      <c r="F464" s="1" t="n"/>
      <c r="G464" s="1" t="n"/>
      <c r="H464" s="1" t="n"/>
      <c r="I464" s="1" t="n"/>
    </row>
    <row r="465" ht="15.75" customHeight="1" s="311">
      <c r="A465" s="1" t="n"/>
      <c r="B465" s="1" t="n"/>
      <c r="C465" s="1" t="n"/>
      <c r="D465" s="1" t="n"/>
      <c r="E465" s="1" t="n"/>
      <c r="F465" s="1" t="n"/>
      <c r="G465" s="1" t="n"/>
      <c r="H465" s="1" t="n"/>
      <c r="I465" s="1" t="n"/>
    </row>
    <row r="466" ht="15.75" customHeight="1" s="311">
      <c r="A466" s="1" t="n"/>
      <c r="B466" s="1" t="n"/>
      <c r="C466" s="1" t="n"/>
      <c r="D466" s="1" t="n"/>
      <c r="E466" s="1" t="n"/>
      <c r="F466" s="1" t="n"/>
      <c r="G466" s="1" t="n"/>
      <c r="H466" s="1" t="n"/>
      <c r="I466" s="1" t="n"/>
    </row>
    <row r="467" ht="15.75" customHeight="1" s="311">
      <c r="A467" s="1" t="n"/>
      <c r="B467" s="1" t="n"/>
      <c r="C467" s="1" t="n"/>
      <c r="D467" s="1" t="n"/>
      <c r="E467" s="1" t="n"/>
      <c r="F467" s="1" t="n"/>
      <c r="G467" s="1" t="n"/>
      <c r="H467" s="1" t="n"/>
      <c r="I467" s="1" t="n"/>
    </row>
    <row r="468" ht="15.75" customHeight="1" s="311">
      <c r="A468" s="1" t="n"/>
      <c r="B468" s="1" t="n"/>
      <c r="C468" s="1" t="n"/>
      <c r="D468" s="1" t="n"/>
      <c r="E468" s="1" t="n"/>
      <c r="F468" s="1" t="n"/>
      <c r="G468" s="1" t="n"/>
      <c r="H468" s="1" t="n"/>
      <c r="I468" s="1" t="n"/>
    </row>
    <row r="469" ht="15.75" customHeight="1" s="311">
      <c r="A469" s="1" t="n"/>
      <c r="B469" s="1" t="n"/>
      <c r="C469" s="1" t="n"/>
      <c r="D469" s="1" t="n"/>
      <c r="E469" s="1" t="n"/>
      <c r="F469" s="1" t="n"/>
      <c r="G469" s="1" t="n"/>
      <c r="H469" s="1" t="n"/>
      <c r="I469" s="1" t="n"/>
    </row>
    <row r="470" ht="15.75" customHeight="1" s="311">
      <c r="A470" s="1" t="n"/>
      <c r="B470" s="1" t="n"/>
      <c r="C470" s="1" t="n"/>
      <c r="D470" s="1" t="n"/>
      <c r="E470" s="1" t="n"/>
      <c r="F470" s="1" t="n"/>
      <c r="G470" s="1" t="n"/>
      <c r="H470" s="1" t="n"/>
      <c r="I470" s="1" t="n"/>
    </row>
    <row r="471" ht="15.75" customHeight="1" s="311">
      <c r="A471" s="1" t="n"/>
      <c r="B471" s="1" t="n"/>
      <c r="C471" s="1" t="n"/>
      <c r="D471" s="1" t="n"/>
      <c r="E471" s="1" t="n"/>
      <c r="F471" s="1" t="n"/>
      <c r="G471" s="1" t="n"/>
      <c r="H471" s="1" t="n"/>
      <c r="I471" s="1" t="n"/>
    </row>
    <row r="472" ht="15.75" customHeight="1" s="311">
      <c r="A472" s="1" t="n"/>
      <c r="B472" s="1" t="n"/>
      <c r="C472" s="1" t="n"/>
      <c r="D472" s="1" t="n"/>
      <c r="E472" s="1" t="n"/>
      <c r="F472" s="1" t="n"/>
      <c r="G472" s="1" t="n"/>
      <c r="H472" s="1" t="n"/>
      <c r="I472" s="1" t="n"/>
    </row>
    <row r="473" ht="15.75" customHeight="1" s="311">
      <c r="A473" s="1" t="n"/>
      <c r="B473" s="1" t="n"/>
      <c r="C473" s="1" t="n"/>
      <c r="D473" s="1" t="n"/>
      <c r="E473" s="1" t="n"/>
      <c r="F473" s="1" t="n"/>
      <c r="G473" s="1" t="n"/>
      <c r="H473" s="1" t="n"/>
      <c r="I473" s="1" t="n"/>
    </row>
    <row r="474" ht="15.75" customHeight="1" s="311">
      <c r="A474" s="1" t="n"/>
      <c r="B474" s="1" t="n"/>
      <c r="C474" s="1" t="n"/>
      <c r="D474" s="1" t="n"/>
      <c r="E474" s="1" t="n"/>
      <c r="F474" s="1" t="n"/>
      <c r="G474" s="1" t="n"/>
      <c r="H474" s="1" t="n"/>
      <c r="I474" s="1" t="n"/>
    </row>
    <row r="475" ht="15.75" customHeight="1" s="311">
      <c r="A475" s="1" t="n"/>
      <c r="B475" s="1" t="n"/>
      <c r="C475" s="1" t="n"/>
      <c r="D475" s="1" t="n"/>
      <c r="E475" s="1" t="n"/>
      <c r="F475" s="1" t="n"/>
      <c r="G475" s="1" t="n"/>
      <c r="H475" s="1" t="n"/>
      <c r="I475" s="1" t="n"/>
    </row>
    <row r="476" ht="15.75" customHeight="1" s="311">
      <c r="A476" s="1" t="n"/>
      <c r="B476" s="1" t="n"/>
      <c r="C476" s="1" t="n"/>
      <c r="D476" s="1" t="n"/>
      <c r="E476" s="1" t="n"/>
      <c r="F476" s="1" t="n"/>
      <c r="G476" s="1" t="n"/>
      <c r="H476" s="1" t="n"/>
      <c r="I476" s="1" t="n"/>
    </row>
    <row r="477" ht="15.75" customHeight="1" s="311">
      <c r="A477" s="1" t="n"/>
      <c r="B477" s="1" t="n"/>
      <c r="C477" s="1" t="n"/>
      <c r="D477" s="1" t="n"/>
      <c r="E477" s="1" t="n"/>
      <c r="F477" s="1" t="n"/>
      <c r="G477" s="1" t="n"/>
      <c r="H477" s="1" t="n"/>
      <c r="I477" s="1" t="n"/>
    </row>
    <row r="478" ht="15.75" customHeight="1" s="311">
      <c r="A478" s="1" t="n"/>
      <c r="B478" s="1" t="n"/>
      <c r="C478" s="1" t="n"/>
      <c r="D478" s="1" t="n"/>
      <c r="E478" s="1" t="n"/>
      <c r="F478" s="1" t="n"/>
      <c r="G478" s="1" t="n"/>
      <c r="H478" s="1" t="n"/>
      <c r="I478" s="1" t="n"/>
    </row>
    <row r="479" ht="15.75" customHeight="1" s="311">
      <c r="A479" s="1" t="n"/>
      <c r="B479" s="1" t="n"/>
      <c r="C479" s="1" t="n"/>
      <c r="D479" s="1" t="n"/>
      <c r="E479" s="1" t="n"/>
      <c r="F479" s="1" t="n"/>
      <c r="G479" s="1" t="n"/>
      <c r="H479" s="1" t="n"/>
      <c r="I479" s="1" t="n"/>
    </row>
    <row r="480" ht="15.75" customHeight="1" s="311">
      <c r="A480" s="1" t="n"/>
      <c r="B480" s="1" t="n"/>
      <c r="C480" s="1" t="n"/>
      <c r="D480" s="1" t="n"/>
      <c r="E480" s="1" t="n"/>
      <c r="F480" s="1" t="n"/>
      <c r="G480" s="1" t="n"/>
      <c r="H480" s="1" t="n"/>
      <c r="I480" s="1" t="n"/>
    </row>
    <row r="481" ht="15.75" customHeight="1" s="311">
      <c r="A481" s="1" t="n"/>
      <c r="B481" s="1" t="n"/>
      <c r="C481" s="1" t="n"/>
      <c r="D481" s="1" t="n"/>
      <c r="E481" s="1" t="n"/>
      <c r="F481" s="1" t="n"/>
      <c r="G481" s="1" t="n"/>
      <c r="H481" s="1" t="n"/>
      <c r="I481" s="1" t="n"/>
    </row>
    <row r="482" ht="15.75" customHeight="1" s="311">
      <c r="A482" s="1" t="n"/>
      <c r="B482" s="1" t="n"/>
      <c r="C482" s="1" t="n"/>
      <c r="D482" s="1" t="n"/>
      <c r="E482" s="1" t="n"/>
      <c r="F482" s="1" t="n"/>
      <c r="G482" s="1" t="n"/>
      <c r="H482" s="1" t="n"/>
      <c r="I482" s="1" t="n"/>
    </row>
    <row r="483" ht="15.75" customHeight="1" s="311">
      <c r="A483" s="1" t="n"/>
      <c r="B483" s="1" t="n"/>
      <c r="C483" s="1" t="n"/>
      <c r="D483" s="1" t="n"/>
      <c r="E483" s="1" t="n"/>
      <c r="F483" s="1" t="n"/>
      <c r="G483" s="1" t="n"/>
      <c r="H483" s="1" t="n"/>
      <c r="I483" s="1" t="n"/>
    </row>
    <row r="484" ht="15.75" customHeight="1" s="311">
      <c r="A484" s="1" t="n"/>
      <c r="B484" s="1" t="n"/>
      <c r="C484" s="1" t="n"/>
      <c r="D484" s="1" t="n"/>
      <c r="E484" s="1" t="n"/>
      <c r="F484" s="1" t="n"/>
      <c r="G484" s="1" t="n"/>
      <c r="H484" s="1" t="n"/>
      <c r="I484" s="1" t="n"/>
    </row>
    <row r="485" ht="15.75" customHeight="1" s="311">
      <c r="A485" s="1" t="n"/>
      <c r="B485" s="1" t="n"/>
      <c r="C485" s="1" t="n"/>
      <c r="D485" s="1" t="n"/>
      <c r="E485" s="1" t="n"/>
      <c r="F485" s="1" t="n"/>
      <c r="G485" s="1" t="n"/>
      <c r="H485" s="1" t="n"/>
      <c r="I485" s="1" t="n"/>
    </row>
    <row r="486" ht="15.75" customHeight="1" s="311">
      <c r="A486" s="1" t="n"/>
      <c r="B486" s="1" t="n"/>
      <c r="C486" s="1" t="n"/>
      <c r="D486" s="1" t="n"/>
      <c r="E486" s="1" t="n"/>
      <c r="F486" s="1" t="n"/>
      <c r="G486" s="1" t="n"/>
      <c r="H486" s="1" t="n"/>
      <c r="I486" s="1" t="n"/>
    </row>
    <row r="487" ht="15.75" customHeight="1" s="311">
      <c r="A487" s="1" t="n"/>
      <c r="B487" s="1" t="n"/>
      <c r="C487" s="1" t="n"/>
      <c r="D487" s="1" t="n"/>
      <c r="E487" s="1" t="n"/>
      <c r="F487" s="1" t="n"/>
      <c r="G487" s="1" t="n"/>
      <c r="H487" s="1" t="n"/>
      <c r="I487" s="1" t="n"/>
    </row>
    <row r="488" ht="15.75" customHeight="1" s="311">
      <c r="A488" s="1" t="n"/>
      <c r="B488" s="1" t="n"/>
      <c r="C488" s="1" t="n"/>
      <c r="D488" s="1" t="n"/>
      <c r="E488" s="1" t="n"/>
      <c r="F488" s="1" t="n"/>
      <c r="G488" s="1" t="n"/>
      <c r="H488" s="1" t="n"/>
      <c r="I488" s="1" t="n"/>
    </row>
    <row r="489" ht="15.75" customHeight="1" s="311">
      <c r="A489" s="1" t="n"/>
      <c r="B489" s="1" t="n"/>
      <c r="C489" s="1" t="n"/>
      <c r="D489" s="1" t="n"/>
      <c r="E489" s="1" t="n"/>
      <c r="F489" s="1" t="n"/>
      <c r="G489" s="1" t="n"/>
      <c r="H489" s="1" t="n"/>
      <c r="I489" s="1" t="n"/>
    </row>
    <row r="490" ht="15.75" customHeight="1" s="311">
      <c r="A490" s="1" t="n"/>
      <c r="B490" s="1" t="n"/>
      <c r="C490" s="1" t="n"/>
      <c r="D490" s="1" t="n"/>
      <c r="E490" s="1" t="n"/>
      <c r="F490" s="1" t="n"/>
      <c r="G490" s="1" t="n"/>
      <c r="H490" s="1" t="n"/>
      <c r="I490" s="1" t="n"/>
    </row>
    <row r="491" ht="15.75" customHeight="1" s="311">
      <c r="A491" s="1" t="n"/>
      <c r="B491" s="1" t="n"/>
      <c r="C491" s="1" t="n"/>
      <c r="D491" s="1" t="n"/>
      <c r="E491" s="1" t="n"/>
      <c r="F491" s="1" t="n"/>
      <c r="G491" s="1" t="n"/>
      <c r="H491" s="1" t="n"/>
      <c r="I491" s="1" t="n"/>
    </row>
    <row r="492" ht="15.75" customHeight="1" s="311">
      <c r="A492" s="1" t="n"/>
      <c r="B492" s="1" t="n"/>
      <c r="C492" s="1" t="n"/>
      <c r="D492" s="1" t="n"/>
      <c r="E492" s="1" t="n"/>
      <c r="F492" s="1" t="n"/>
      <c r="G492" s="1" t="n"/>
      <c r="H492" s="1" t="n"/>
      <c r="I492" s="1" t="n"/>
    </row>
    <row r="493" ht="15.75" customHeight="1" s="311">
      <c r="A493" s="1" t="n"/>
      <c r="B493" s="1" t="n"/>
      <c r="C493" s="1" t="n"/>
      <c r="D493" s="1" t="n"/>
      <c r="E493" s="1" t="n"/>
      <c r="F493" s="1" t="n"/>
      <c r="G493" s="1" t="n"/>
      <c r="H493" s="1" t="n"/>
      <c r="I493" s="1" t="n"/>
    </row>
    <row r="494" ht="15.75" customHeight="1" s="311">
      <c r="A494" s="1" t="n"/>
      <c r="B494" s="1" t="n"/>
      <c r="C494" s="1" t="n"/>
      <c r="D494" s="1" t="n"/>
      <c r="E494" s="1" t="n"/>
      <c r="F494" s="1" t="n"/>
      <c r="G494" s="1" t="n"/>
      <c r="H494" s="1" t="n"/>
      <c r="I494" s="1" t="n"/>
    </row>
    <row r="495" ht="15.75" customHeight="1" s="311">
      <c r="A495" s="1" t="n"/>
      <c r="B495" s="1" t="n"/>
      <c r="C495" s="1" t="n"/>
      <c r="D495" s="1" t="n"/>
      <c r="E495" s="1" t="n"/>
      <c r="F495" s="1" t="n"/>
      <c r="G495" s="1" t="n"/>
      <c r="H495" s="1" t="n"/>
      <c r="I495" s="1" t="n"/>
    </row>
    <row r="496" ht="15.75" customHeight="1" s="311">
      <c r="A496" s="1" t="n"/>
      <c r="B496" s="1" t="n"/>
      <c r="C496" s="1" t="n"/>
      <c r="D496" s="1" t="n"/>
      <c r="E496" s="1" t="n"/>
      <c r="F496" s="1" t="n"/>
      <c r="G496" s="1" t="n"/>
      <c r="H496" s="1" t="n"/>
      <c r="I496" s="1" t="n"/>
    </row>
    <row r="497" ht="15.75" customHeight="1" s="311">
      <c r="A497" s="1" t="n"/>
      <c r="B497" s="1" t="n"/>
      <c r="C497" s="1" t="n"/>
      <c r="D497" s="1" t="n"/>
      <c r="E497" s="1" t="n"/>
      <c r="F497" s="1" t="n"/>
      <c r="G497" s="1" t="n"/>
      <c r="H497" s="1" t="n"/>
      <c r="I497" s="1" t="n"/>
    </row>
    <row r="498" ht="15.75" customHeight="1" s="311">
      <c r="A498" s="1" t="n"/>
      <c r="B498" s="1" t="n"/>
      <c r="C498" s="1" t="n"/>
      <c r="D498" s="1" t="n"/>
      <c r="E498" s="1" t="n"/>
      <c r="F498" s="1" t="n"/>
      <c r="G498" s="1" t="n"/>
      <c r="H498" s="1" t="n"/>
      <c r="I498" s="1" t="n"/>
    </row>
    <row r="499" ht="15.75" customHeight="1" s="311">
      <c r="A499" s="1" t="n"/>
      <c r="B499" s="1" t="n"/>
      <c r="C499" s="1" t="n"/>
      <c r="D499" s="1" t="n"/>
      <c r="E499" s="1" t="n"/>
      <c r="F499" s="1" t="n"/>
      <c r="G499" s="1" t="n"/>
      <c r="H499" s="1" t="n"/>
      <c r="I499" s="1" t="n"/>
    </row>
    <row r="500" ht="15.75" customHeight="1" s="311">
      <c r="A500" s="1" t="n"/>
      <c r="B500" s="1" t="n"/>
      <c r="C500" s="1" t="n"/>
      <c r="D500" s="1" t="n"/>
      <c r="E500" s="1" t="n"/>
      <c r="F500" s="1" t="n"/>
      <c r="G500" s="1" t="n"/>
      <c r="H500" s="1" t="n"/>
      <c r="I500" s="1" t="n"/>
    </row>
    <row r="501" ht="15.75" customHeight="1" s="311">
      <c r="A501" s="1" t="n"/>
      <c r="B501" s="1" t="n"/>
      <c r="C501" s="1" t="n"/>
      <c r="D501" s="1" t="n"/>
      <c r="E501" s="1" t="n"/>
      <c r="F501" s="1" t="n"/>
      <c r="G501" s="1" t="n"/>
      <c r="H501" s="1" t="n"/>
      <c r="I501" s="1" t="n"/>
    </row>
    <row r="502" ht="15.75" customHeight="1" s="311">
      <c r="A502" s="1" t="n"/>
      <c r="B502" s="1" t="n"/>
      <c r="C502" s="1" t="n"/>
      <c r="D502" s="1" t="n"/>
      <c r="E502" s="1" t="n"/>
      <c r="F502" s="1" t="n"/>
      <c r="G502" s="1" t="n"/>
      <c r="H502" s="1" t="n"/>
      <c r="I502" s="1" t="n"/>
    </row>
    <row r="503" ht="15.75" customHeight="1" s="311">
      <c r="A503" s="1" t="n"/>
      <c r="B503" s="1" t="n"/>
      <c r="C503" s="1" t="n"/>
      <c r="D503" s="1" t="n"/>
      <c r="E503" s="1" t="n"/>
      <c r="F503" s="1" t="n"/>
      <c r="G503" s="1" t="n"/>
      <c r="H503" s="1" t="n"/>
      <c r="I503" s="1" t="n"/>
    </row>
    <row r="504" ht="15.75" customHeight="1" s="311">
      <c r="A504" s="1" t="n"/>
      <c r="B504" s="1" t="n"/>
      <c r="C504" s="1" t="n"/>
      <c r="D504" s="1" t="n"/>
      <c r="E504" s="1" t="n"/>
      <c r="F504" s="1" t="n"/>
      <c r="G504" s="1" t="n"/>
      <c r="H504" s="1" t="n"/>
      <c r="I504" s="1" t="n"/>
    </row>
    <row r="505" ht="15.75" customHeight="1" s="311">
      <c r="A505" s="1" t="n"/>
      <c r="B505" s="1" t="n"/>
      <c r="C505" s="1" t="n"/>
      <c r="D505" s="1" t="n"/>
      <c r="E505" s="1" t="n"/>
      <c r="F505" s="1" t="n"/>
      <c r="G505" s="1" t="n"/>
      <c r="H505" s="1" t="n"/>
      <c r="I505" s="1" t="n"/>
    </row>
    <row r="506" ht="15.75" customHeight="1" s="311">
      <c r="A506" s="1" t="n"/>
      <c r="B506" s="1" t="n"/>
      <c r="C506" s="1" t="n"/>
      <c r="D506" s="1" t="n"/>
      <c r="E506" s="1" t="n"/>
      <c r="F506" s="1" t="n"/>
      <c r="G506" s="1" t="n"/>
      <c r="H506" s="1" t="n"/>
      <c r="I506" s="1" t="n"/>
    </row>
    <row r="507" ht="15.75" customHeight="1" s="311">
      <c r="A507" s="1" t="n"/>
      <c r="B507" s="1" t="n"/>
      <c r="C507" s="1" t="n"/>
      <c r="D507" s="1" t="n"/>
      <c r="E507" s="1" t="n"/>
      <c r="F507" s="1" t="n"/>
      <c r="G507" s="1" t="n"/>
      <c r="H507" s="1" t="n"/>
      <c r="I507" s="1" t="n"/>
    </row>
    <row r="508" ht="15.75" customHeight="1" s="311">
      <c r="A508" s="1" t="n"/>
      <c r="B508" s="1" t="n"/>
      <c r="C508" s="1" t="n"/>
      <c r="D508" s="1" t="n"/>
      <c r="E508" s="1" t="n"/>
      <c r="F508" s="1" t="n"/>
      <c r="G508" s="1" t="n"/>
      <c r="H508" s="1" t="n"/>
      <c r="I508" s="1" t="n"/>
    </row>
    <row r="509" ht="15.75" customHeight="1" s="311">
      <c r="A509" s="1" t="n"/>
      <c r="B509" s="1" t="n"/>
      <c r="C509" s="1" t="n"/>
      <c r="D509" s="1" t="n"/>
      <c r="E509" s="1" t="n"/>
      <c r="F509" s="1" t="n"/>
      <c r="G509" s="1" t="n"/>
      <c r="H509" s="1" t="n"/>
      <c r="I509" s="1" t="n"/>
    </row>
    <row r="510" ht="15.75" customHeight="1" s="311">
      <c r="A510" s="1" t="n"/>
      <c r="B510" s="1" t="n"/>
      <c r="C510" s="1" t="n"/>
      <c r="D510" s="1" t="n"/>
      <c r="E510" s="1" t="n"/>
      <c r="F510" s="1" t="n"/>
      <c r="G510" s="1" t="n"/>
      <c r="H510" s="1" t="n"/>
      <c r="I510" s="1" t="n"/>
    </row>
    <row r="511" ht="15.75" customHeight="1" s="311">
      <c r="A511" s="1" t="n"/>
      <c r="B511" s="1" t="n"/>
      <c r="C511" s="1" t="n"/>
      <c r="D511" s="1" t="n"/>
      <c r="E511" s="1" t="n"/>
      <c r="F511" s="1" t="n"/>
      <c r="G511" s="1" t="n"/>
      <c r="H511" s="1" t="n"/>
      <c r="I511" s="1" t="n"/>
    </row>
    <row r="512" ht="15.75" customHeight="1" s="311">
      <c r="A512" s="1" t="n"/>
      <c r="B512" s="1" t="n"/>
      <c r="C512" s="1" t="n"/>
      <c r="D512" s="1" t="n"/>
      <c r="E512" s="1" t="n"/>
      <c r="F512" s="1" t="n"/>
      <c r="G512" s="1" t="n"/>
      <c r="H512" s="1" t="n"/>
      <c r="I512" s="1" t="n"/>
    </row>
    <row r="513" ht="15.75" customHeight="1" s="311">
      <c r="A513" s="1" t="n"/>
      <c r="B513" s="1" t="n"/>
      <c r="C513" s="1" t="n"/>
      <c r="D513" s="1" t="n"/>
      <c r="E513" s="1" t="n"/>
      <c r="F513" s="1" t="n"/>
      <c r="G513" s="1" t="n"/>
      <c r="H513" s="1" t="n"/>
      <c r="I513" s="1" t="n"/>
    </row>
    <row r="514" ht="15.75" customHeight="1" s="311">
      <c r="A514" s="1" t="n"/>
      <c r="B514" s="1" t="n"/>
      <c r="C514" s="1" t="n"/>
      <c r="D514" s="1" t="n"/>
      <c r="E514" s="1" t="n"/>
      <c r="F514" s="1" t="n"/>
      <c r="G514" s="1" t="n"/>
      <c r="H514" s="1" t="n"/>
      <c r="I514" s="1" t="n"/>
    </row>
    <row r="515" ht="15.75" customHeight="1" s="311">
      <c r="A515" s="1" t="n"/>
      <c r="B515" s="1" t="n"/>
      <c r="C515" s="1" t="n"/>
      <c r="D515" s="1" t="n"/>
      <c r="E515" s="1" t="n"/>
      <c r="F515" s="1" t="n"/>
      <c r="G515" s="1" t="n"/>
      <c r="H515" s="1" t="n"/>
      <c r="I515" s="1" t="n"/>
    </row>
    <row r="516" ht="15.75" customHeight="1" s="311">
      <c r="A516" s="1" t="n"/>
      <c r="B516" s="1" t="n"/>
      <c r="C516" s="1" t="n"/>
      <c r="D516" s="1" t="n"/>
      <c r="E516" s="1" t="n"/>
      <c r="F516" s="1" t="n"/>
      <c r="G516" s="1" t="n"/>
      <c r="H516" s="1" t="n"/>
      <c r="I516" s="1" t="n"/>
    </row>
    <row r="517" ht="15.75" customHeight="1" s="311">
      <c r="A517" s="1" t="n"/>
      <c r="B517" s="1" t="n"/>
      <c r="C517" s="1" t="n"/>
      <c r="D517" s="1" t="n"/>
      <c r="E517" s="1" t="n"/>
      <c r="F517" s="1" t="n"/>
      <c r="G517" s="1" t="n"/>
      <c r="H517" s="1" t="n"/>
      <c r="I517" s="1" t="n"/>
    </row>
    <row r="518" ht="15.75" customHeight="1" s="311">
      <c r="A518" s="1" t="n"/>
      <c r="B518" s="1" t="n"/>
      <c r="C518" s="1" t="n"/>
      <c r="D518" s="1" t="n"/>
      <c r="E518" s="1" t="n"/>
      <c r="F518" s="1" t="n"/>
      <c r="G518" s="1" t="n"/>
      <c r="H518" s="1" t="n"/>
      <c r="I518" s="1" t="n"/>
    </row>
    <row r="519" ht="15.75" customHeight="1" s="311">
      <c r="A519" s="1" t="n"/>
      <c r="B519" s="1" t="n"/>
      <c r="C519" s="1" t="n"/>
      <c r="D519" s="1" t="n"/>
      <c r="E519" s="1" t="n"/>
      <c r="F519" s="1" t="n"/>
      <c r="G519" s="1" t="n"/>
      <c r="H519" s="1" t="n"/>
      <c r="I519" s="1" t="n"/>
    </row>
    <row r="520" ht="15.75" customHeight="1" s="311">
      <c r="A520" s="1" t="n"/>
      <c r="B520" s="1" t="n"/>
      <c r="C520" s="1" t="n"/>
      <c r="D520" s="1" t="n"/>
      <c r="E520" s="1" t="n"/>
      <c r="F520" s="1" t="n"/>
      <c r="G520" s="1" t="n"/>
      <c r="H520" s="1" t="n"/>
      <c r="I520" s="1" t="n"/>
    </row>
    <row r="521" ht="15.75" customHeight="1" s="311">
      <c r="A521" s="1" t="n"/>
      <c r="B521" s="1" t="n"/>
      <c r="C521" s="1" t="n"/>
      <c r="D521" s="1" t="n"/>
      <c r="E521" s="1" t="n"/>
      <c r="F521" s="1" t="n"/>
      <c r="G521" s="1" t="n"/>
      <c r="H521" s="1" t="n"/>
      <c r="I521" s="1" t="n"/>
    </row>
    <row r="522" ht="15.75" customHeight="1" s="311">
      <c r="A522" s="1" t="n"/>
      <c r="B522" s="1" t="n"/>
      <c r="C522" s="1" t="n"/>
      <c r="D522" s="1" t="n"/>
      <c r="E522" s="1" t="n"/>
      <c r="F522" s="1" t="n"/>
      <c r="G522" s="1" t="n"/>
      <c r="H522" s="1" t="n"/>
      <c r="I522" s="1" t="n"/>
    </row>
    <row r="523" ht="15.75" customHeight="1" s="311">
      <c r="A523" s="1" t="n"/>
      <c r="B523" s="1" t="n"/>
      <c r="C523" s="1" t="n"/>
      <c r="D523" s="1" t="n"/>
      <c r="E523" s="1" t="n"/>
      <c r="F523" s="1" t="n"/>
      <c r="G523" s="1" t="n"/>
      <c r="H523" s="1" t="n"/>
      <c r="I523" s="1" t="n"/>
    </row>
    <row r="524" ht="15.75" customHeight="1" s="311">
      <c r="A524" s="1" t="n"/>
      <c r="B524" s="1" t="n"/>
      <c r="C524" s="1" t="n"/>
      <c r="D524" s="1" t="n"/>
      <c r="E524" s="1" t="n"/>
      <c r="F524" s="1" t="n"/>
      <c r="G524" s="1" t="n"/>
      <c r="H524" s="1" t="n"/>
      <c r="I524" s="1" t="n"/>
    </row>
    <row r="525" ht="15.75" customHeight="1" s="311">
      <c r="A525" s="1" t="n"/>
      <c r="B525" s="1" t="n"/>
      <c r="C525" s="1" t="n"/>
      <c r="D525" s="1" t="n"/>
      <c r="E525" s="1" t="n"/>
      <c r="F525" s="1" t="n"/>
      <c r="G525" s="1" t="n"/>
      <c r="H525" s="1" t="n"/>
      <c r="I525" s="1" t="n"/>
    </row>
    <row r="526" ht="15.75" customHeight="1" s="311">
      <c r="A526" s="1" t="n"/>
      <c r="B526" s="1" t="n"/>
      <c r="C526" s="1" t="n"/>
      <c r="D526" s="1" t="n"/>
      <c r="E526" s="1" t="n"/>
      <c r="F526" s="1" t="n"/>
      <c r="G526" s="1" t="n"/>
      <c r="H526" s="1" t="n"/>
      <c r="I526" s="1" t="n"/>
    </row>
    <row r="527" ht="15.75" customHeight="1" s="311">
      <c r="A527" s="1" t="n"/>
      <c r="B527" s="1" t="n"/>
      <c r="C527" s="1" t="n"/>
      <c r="D527" s="1" t="n"/>
      <c r="E527" s="1" t="n"/>
      <c r="F527" s="1" t="n"/>
      <c r="G527" s="1" t="n"/>
      <c r="H527" s="1" t="n"/>
      <c r="I527" s="1" t="n"/>
    </row>
    <row r="528" ht="15.75" customHeight="1" s="311">
      <c r="A528" s="1" t="n"/>
      <c r="B528" s="1" t="n"/>
      <c r="C528" s="1" t="n"/>
      <c r="D528" s="1" t="n"/>
      <c r="E528" s="1" t="n"/>
      <c r="F528" s="1" t="n"/>
      <c r="G528" s="1" t="n"/>
      <c r="H528" s="1" t="n"/>
      <c r="I528" s="1" t="n"/>
    </row>
    <row r="529" ht="15.75" customHeight="1" s="311">
      <c r="A529" s="1" t="n"/>
      <c r="B529" s="1" t="n"/>
      <c r="C529" s="1" t="n"/>
      <c r="D529" s="1" t="n"/>
      <c r="E529" s="1" t="n"/>
      <c r="F529" s="1" t="n"/>
      <c r="G529" s="1" t="n"/>
      <c r="H529" s="1" t="n"/>
      <c r="I529" s="1" t="n"/>
    </row>
    <row r="530" ht="15.75" customHeight="1" s="311">
      <c r="A530" s="1" t="n"/>
      <c r="B530" s="1" t="n"/>
      <c r="C530" s="1" t="n"/>
      <c r="D530" s="1" t="n"/>
      <c r="E530" s="1" t="n"/>
      <c r="F530" s="1" t="n"/>
      <c r="G530" s="1" t="n"/>
      <c r="H530" s="1" t="n"/>
      <c r="I530" s="1" t="n"/>
    </row>
    <row r="531" ht="15.75" customHeight="1" s="311">
      <c r="A531" s="1" t="n"/>
      <c r="B531" s="1" t="n"/>
      <c r="C531" s="1" t="n"/>
      <c r="D531" s="1" t="n"/>
      <c r="E531" s="1" t="n"/>
      <c r="F531" s="1" t="n"/>
      <c r="G531" s="1" t="n"/>
      <c r="H531" s="1" t="n"/>
      <c r="I531" s="1" t="n"/>
    </row>
    <row r="532" ht="15.75" customHeight="1" s="311">
      <c r="A532" s="1" t="n"/>
      <c r="B532" s="1" t="n"/>
      <c r="C532" s="1" t="n"/>
      <c r="D532" s="1" t="n"/>
      <c r="E532" s="1" t="n"/>
      <c r="F532" s="1" t="n"/>
      <c r="G532" s="1" t="n"/>
      <c r="H532" s="1" t="n"/>
      <c r="I532" s="1" t="n"/>
    </row>
    <row r="533" ht="15.75" customHeight="1" s="311">
      <c r="A533" s="1" t="n"/>
      <c r="B533" s="1" t="n"/>
      <c r="C533" s="1" t="n"/>
      <c r="D533" s="1" t="n"/>
      <c r="E533" s="1" t="n"/>
      <c r="F533" s="1" t="n"/>
      <c r="G533" s="1" t="n"/>
      <c r="H533" s="1" t="n"/>
      <c r="I533" s="1" t="n"/>
    </row>
    <row r="534" ht="15.75" customHeight="1" s="311">
      <c r="A534" s="1" t="n"/>
      <c r="B534" s="1" t="n"/>
      <c r="C534" s="1" t="n"/>
      <c r="D534" s="1" t="n"/>
      <c r="E534" s="1" t="n"/>
      <c r="F534" s="1" t="n"/>
      <c r="G534" s="1" t="n"/>
      <c r="H534" s="1" t="n"/>
      <c r="I534" s="1" t="n"/>
    </row>
    <row r="535" ht="15.75" customHeight="1" s="311">
      <c r="A535" s="1" t="n"/>
      <c r="B535" s="1" t="n"/>
      <c r="C535" s="1" t="n"/>
      <c r="D535" s="1" t="n"/>
      <c r="E535" s="1" t="n"/>
      <c r="F535" s="1" t="n"/>
      <c r="G535" s="1" t="n"/>
      <c r="H535" s="1" t="n"/>
      <c r="I535" s="1" t="n"/>
    </row>
    <row r="536" ht="15.75" customHeight="1" s="311">
      <c r="A536" s="1" t="n"/>
      <c r="B536" s="1" t="n"/>
      <c r="C536" s="1" t="n"/>
      <c r="D536" s="1" t="n"/>
      <c r="E536" s="1" t="n"/>
      <c r="F536" s="1" t="n"/>
      <c r="G536" s="1" t="n"/>
      <c r="H536" s="1" t="n"/>
      <c r="I536" s="1" t="n"/>
    </row>
    <row r="537" ht="15.75" customHeight="1" s="311">
      <c r="A537" s="1" t="n"/>
      <c r="B537" s="1" t="n"/>
      <c r="C537" s="1" t="n"/>
      <c r="D537" s="1" t="n"/>
      <c r="E537" s="1" t="n"/>
      <c r="F537" s="1" t="n"/>
      <c r="G537" s="1" t="n"/>
      <c r="H537" s="1" t="n"/>
      <c r="I537" s="1" t="n"/>
    </row>
    <row r="538" ht="15.75" customHeight="1" s="311">
      <c r="A538" s="1" t="n"/>
      <c r="B538" s="1" t="n"/>
      <c r="C538" s="1" t="n"/>
      <c r="D538" s="1" t="n"/>
      <c r="E538" s="1" t="n"/>
      <c r="F538" s="1" t="n"/>
      <c r="G538" s="1" t="n"/>
      <c r="H538" s="1" t="n"/>
      <c r="I538" s="1" t="n"/>
    </row>
    <row r="539" ht="15.75" customHeight="1" s="311">
      <c r="A539" s="1" t="n"/>
      <c r="B539" s="1" t="n"/>
      <c r="C539" s="1" t="n"/>
      <c r="D539" s="1" t="n"/>
      <c r="E539" s="1" t="n"/>
      <c r="F539" s="1" t="n"/>
      <c r="G539" s="1" t="n"/>
      <c r="H539" s="1" t="n"/>
      <c r="I539" s="1" t="n"/>
    </row>
    <row r="540" ht="15.75" customHeight="1" s="311">
      <c r="A540" s="1" t="n"/>
      <c r="B540" s="1" t="n"/>
      <c r="C540" s="1" t="n"/>
      <c r="D540" s="1" t="n"/>
      <c r="E540" s="1" t="n"/>
      <c r="F540" s="1" t="n"/>
      <c r="G540" s="1" t="n"/>
      <c r="H540" s="1" t="n"/>
      <c r="I540" s="1" t="n"/>
    </row>
    <row r="541" ht="15.75" customHeight="1" s="311">
      <c r="A541" s="1" t="n"/>
      <c r="B541" s="1" t="n"/>
      <c r="C541" s="1" t="n"/>
      <c r="D541" s="1" t="n"/>
      <c r="E541" s="1" t="n"/>
      <c r="F541" s="1" t="n"/>
      <c r="G541" s="1" t="n"/>
      <c r="H541" s="1" t="n"/>
      <c r="I541" s="1" t="n"/>
    </row>
    <row r="542" ht="15.75" customHeight="1" s="311">
      <c r="A542" s="1" t="n"/>
      <c r="B542" s="1" t="n"/>
      <c r="C542" s="1" t="n"/>
      <c r="D542" s="1" t="n"/>
      <c r="E542" s="1" t="n"/>
      <c r="F542" s="1" t="n"/>
      <c r="G542" s="1" t="n"/>
      <c r="H542" s="1" t="n"/>
      <c r="I542" s="1" t="n"/>
    </row>
    <row r="543" ht="15.75" customHeight="1" s="311">
      <c r="A543" s="1" t="n"/>
      <c r="B543" s="1" t="n"/>
      <c r="C543" s="1" t="n"/>
      <c r="D543" s="1" t="n"/>
      <c r="E543" s="1" t="n"/>
      <c r="F543" s="1" t="n"/>
      <c r="G543" s="1" t="n"/>
      <c r="H543" s="1" t="n"/>
      <c r="I543" s="1" t="n"/>
    </row>
    <row r="544" ht="15.75" customHeight="1" s="311">
      <c r="A544" s="1" t="n"/>
      <c r="B544" s="1" t="n"/>
      <c r="C544" s="1" t="n"/>
      <c r="D544" s="1" t="n"/>
      <c r="E544" s="1" t="n"/>
      <c r="F544" s="1" t="n"/>
      <c r="G544" s="1" t="n"/>
      <c r="H544" s="1" t="n"/>
      <c r="I544" s="1" t="n"/>
    </row>
    <row r="545" ht="15.75" customHeight="1" s="311">
      <c r="A545" s="1" t="n"/>
      <c r="B545" s="1" t="n"/>
      <c r="C545" s="1" t="n"/>
      <c r="D545" s="1" t="n"/>
      <c r="E545" s="1" t="n"/>
      <c r="F545" s="1" t="n"/>
      <c r="G545" s="1" t="n"/>
      <c r="H545" s="1" t="n"/>
      <c r="I545" s="1" t="n"/>
    </row>
    <row r="546" ht="15.75" customHeight="1" s="311">
      <c r="A546" s="1" t="n"/>
      <c r="B546" s="1" t="n"/>
      <c r="C546" s="1" t="n"/>
      <c r="D546" s="1" t="n"/>
      <c r="E546" s="1" t="n"/>
      <c r="F546" s="1" t="n"/>
      <c r="G546" s="1" t="n"/>
      <c r="H546" s="1" t="n"/>
      <c r="I546" s="1" t="n"/>
    </row>
    <row r="547" ht="15.75" customHeight="1" s="311">
      <c r="A547" s="1" t="n"/>
      <c r="B547" s="1" t="n"/>
      <c r="C547" s="1" t="n"/>
      <c r="D547" s="1" t="n"/>
      <c r="E547" s="1" t="n"/>
      <c r="F547" s="1" t="n"/>
      <c r="G547" s="1" t="n"/>
      <c r="H547" s="1" t="n"/>
      <c r="I547" s="1" t="n"/>
    </row>
    <row r="548" ht="15.75" customHeight="1" s="311">
      <c r="A548" s="1" t="n"/>
      <c r="B548" s="1" t="n"/>
      <c r="C548" s="1" t="n"/>
      <c r="D548" s="1" t="n"/>
      <c r="E548" s="1" t="n"/>
      <c r="F548" s="1" t="n"/>
      <c r="G548" s="1" t="n"/>
      <c r="H548" s="1" t="n"/>
      <c r="I548" s="1" t="n"/>
    </row>
    <row r="549" ht="15.75" customHeight="1" s="311">
      <c r="A549" s="1" t="n"/>
      <c r="B549" s="1" t="n"/>
      <c r="C549" s="1" t="n"/>
      <c r="D549" s="1" t="n"/>
      <c r="E549" s="1" t="n"/>
      <c r="F549" s="1" t="n"/>
      <c r="G549" s="1" t="n"/>
      <c r="H549" s="1" t="n"/>
      <c r="I549" s="1" t="n"/>
    </row>
    <row r="550" ht="15.75" customHeight="1" s="311">
      <c r="A550" s="1" t="n"/>
      <c r="B550" s="1" t="n"/>
      <c r="C550" s="1" t="n"/>
      <c r="D550" s="1" t="n"/>
      <c r="E550" s="1" t="n"/>
      <c r="F550" s="1" t="n"/>
      <c r="G550" s="1" t="n"/>
      <c r="H550" s="1" t="n"/>
      <c r="I550" s="1" t="n"/>
    </row>
    <row r="551" ht="15.75" customHeight="1" s="311">
      <c r="A551" s="1" t="n"/>
      <c r="B551" s="1" t="n"/>
      <c r="C551" s="1" t="n"/>
      <c r="D551" s="1" t="n"/>
      <c r="E551" s="1" t="n"/>
      <c r="F551" s="1" t="n"/>
      <c r="G551" s="1" t="n"/>
      <c r="H551" s="1" t="n"/>
      <c r="I551" s="1" t="n"/>
    </row>
    <row r="552" ht="15.75" customHeight="1" s="311">
      <c r="A552" s="1" t="n"/>
      <c r="B552" s="1" t="n"/>
      <c r="C552" s="1" t="n"/>
      <c r="D552" s="1" t="n"/>
      <c r="E552" s="1" t="n"/>
      <c r="F552" s="1" t="n"/>
      <c r="G552" s="1" t="n"/>
      <c r="H552" s="1" t="n"/>
      <c r="I552" s="1" t="n"/>
    </row>
    <row r="553" ht="15.75" customHeight="1" s="311">
      <c r="A553" s="1" t="n"/>
      <c r="B553" s="1" t="n"/>
      <c r="C553" s="1" t="n"/>
      <c r="D553" s="1" t="n"/>
      <c r="E553" s="1" t="n"/>
      <c r="F553" s="1" t="n"/>
      <c r="G553" s="1" t="n"/>
      <c r="H553" s="1" t="n"/>
      <c r="I553" s="1" t="n"/>
    </row>
    <row r="554" ht="15.75" customHeight="1" s="311">
      <c r="A554" s="1" t="n"/>
      <c r="B554" s="1" t="n"/>
      <c r="C554" s="1" t="n"/>
      <c r="D554" s="1" t="n"/>
      <c r="E554" s="1" t="n"/>
      <c r="F554" s="1" t="n"/>
      <c r="G554" s="1" t="n"/>
      <c r="H554" s="1" t="n"/>
      <c r="I554" s="1" t="n"/>
    </row>
    <row r="555" ht="15.75" customHeight="1" s="311">
      <c r="A555" s="1" t="n"/>
      <c r="B555" s="1" t="n"/>
      <c r="C555" s="1" t="n"/>
      <c r="D555" s="1" t="n"/>
      <c r="E555" s="1" t="n"/>
      <c r="F555" s="1" t="n"/>
      <c r="G555" s="1" t="n"/>
      <c r="H555" s="1" t="n"/>
      <c r="I555" s="1" t="n"/>
    </row>
    <row r="556" ht="15.75" customHeight="1" s="311">
      <c r="A556" s="1" t="n"/>
      <c r="B556" s="1" t="n"/>
      <c r="C556" s="1" t="n"/>
      <c r="D556" s="1" t="n"/>
      <c r="E556" s="1" t="n"/>
      <c r="F556" s="1" t="n"/>
      <c r="G556" s="1" t="n"/>
      <c r="H556" s="1" t="n"/>
      <c r="I556" s="1" t="n"/>
    </row>
    <row r="557" ht="15.75" customHeight="1" s="311">
      <c r="A557" s="1" t="n"/>
      <c r="B557" s="1" t="n"/>
      <c r="C557" s="1" t="n"/>
      <c r="D557" s="1" t="n"/>
      <c r="E557" s="1" t="n"/>
      <c r="F557" s="1" t="n"/>
      <c r="G557" s="1" t="n"/>
      <c r="H557" s="1" t="n"/>
      <c r="I557" s="1" t="n"/>
    </row>
    <row r="558" ht="15.75" customHeight="1" s="311">
      <c r="A558" s="1" t="n"/>
      <c r="B558" s="1" t="n"/>
      <c r="C558" s="1" t="n"/>
      <c r="D558" s="1" t="n"/>
      <c r="E558" s="1" t="n"/>
      <c r="F558" s="1" t="n"/>
      <c r="G558" s="1" t="n"/>
      <c r="H558" s="1" t="n"/>
      <c r="I558" s="1" t="n"/>
    </row>
    <row r="559" ht="15.75" customHeight="1" s="311">
      <c r="A559" s="1" t="n"/>
      <c r="B559" s="1" t="n"/>
      <c r="C559" s="1" t="n"/>
      <c r="D559" s="1" t="n"/>
      <c r="E559" s="1" t="n"/>
      <c r="F559" s="1" t="n"/>
      <c r="G559" s="1" t="n"/>
      <c r="H559" s="1" t="n"/>
      <c r="I559" s="1" t="n"/>
    </row>
    <row r="560" ht="15.75" customHeight="1" s="311">
      <c r="A560" s="1" t="n"/>
      <c r="B560" s="1" t="n"/>
      <c r="C560" s="1" t="n"/>
      <c r="D560" s="1" t="n"/>
      <c r="E560" s="1" t="n"/>
      <c r="F560" s="1" t="n"/>
      <c r="G560" s="1" t="n"/>
      <c r="H560" s="1" t="n"/>
      <c r="I560" s="1" t="n"/>
    </row>
    <row r="561" ht="15.75" customHeight="1" s="311">
      <c r="A561" s="1" t="n"/>
      <c r="B561" s="1" t="n"/>
      <c r="C561" s="1" t="n"/>
      <c r="D561" s="1" t="n"/>
      <c r="E561" s="1" t="n"/>
      <c r="F561" s="1" t="n"/>
      <c r="G561" s="1" t="n"/>
      <c r="H561" s="1" t="n"/>
      <c r="I561" s="1" t="n"/>
    </row>
    <row r="562" ht="15.75" customHeight="1" s="311">
      <c r="A562" s="1" t="n"/>
      <c r="B562" s="1" t="n"/>
      <c r="C562" s="1" t="n"/>
      <c r="D562" s="1" t="n"/>
      <c r="E562" s="1" t="n"/>
      <c r="F562" s="1" t="n"/>
      <c r="G562" s="1" t="n"/>
      <c r="H562" s="1" t="n"/>
      <c r="I562" s="1" t="n"/>
    </row>
    <row r="563" ht="15.75" customHeight="1" s="311">
      <c r="A563" s="1" t="n"/>
      <c r="B563" s="1" t="n"/>
      <c r="C563" s="1" t="n"/>
      <c r="D563" s="1" t="n"/>
      <c r="E563" s="1" t="n"/>
      <c r="F563" s="1" t="n"/>
      <c r="G563" s="1" t="n"/>
      <c r="H563" s="1" t="n"/>
      <c r="I563" s="1" t="n"/>
    </row>
    <row r="564" ht="15.75" customHeight="1" s="311">
      <c r="A564" s="1" t="n"/>
      <c r="B564" s="1" t="n"/>
      <c r="C564" s="1" t="n"/>
      <c r="D564" s="1" t="n"/>
      <c r="E564" s="1" t="n"/>
      <c r="F564" s="1" t="n"/>
      <c r="G564" s="1" t="n"/>
      <c r="H564" s="1" t="n"/>
      <c r="I564" s="1" t="n"/>
    </row>
    <row r="565" ht="15.75" customHeight="1" s="311">
      <c r="A565" s="1" t="n"/>
      <c r="B565" s="1" t="n"/>
      <c r="C565" s="1" t="n"/>
      <c r="D565" s="1" t="n"/>
      <c r="E565" s="1" t="n"/>
      <c r="F565" s="1" t="n"/>
      <c r="G565" s="1" t="n"/>
      <c r="H565" s="1" t="n"/>
      <c r="I565" s="1" t="n"/>
    </row>
    <row r="566" ht="15.75" customHeight="1" s="311">
      <c r="A566" s="1" t="n"/>
      <c r="B566" s="1" t="n"/>
      <c r="C566" s="1" t="n"/>
      <c r="D566" s="1" t="n"/>
      <c r="E566" s="1" t="n"/>
      <c r="F566" s="1" t="n"/>
      <c r="G566" s="1" t="n"/>
      <c r="H566" s="1" t="n"/>
      <c r="I566" s="1" t="n"/>
    </row>
    <row r="567" ht="15.75" customHeight="1" s="311">
      <c r="A567" s="1" t="n"/>
      <c r="B567" s="1" t="n"/>
      <c r="C567" s="1" t="n"/>
      <c r="D567" s="1" t="n"/>
      <c r="E567" s="1" t="n"/>
      <c r="F567" s="1" t="n"/>
      <c r="G567" s="1" t="n"/>
      <c r="H567" s="1" t="n"/>
      <c r="I567" s="1" t="n"/>
    </row>
    <row r="568" ht="15.75" customHeight="1" s="311">
      <c r="A568" s="1" t="n"/>
      <c r="B568" s="1" t="n"/>
      <c r="C568" s="1" t="n"/>
      <c r="D568" s="1" t="n"/>
      <c r="E568" s="1" t="n"/>
      <c r="F568" s="1" t="n"/>
      <c r="G568" s="1" t="n"/>
      <c r="H568" s="1" t="n"/>
      <c r="I568" s="1" t="n"/>
    </row>
    <row r="569" ht="15.75" customHeight="1" s="311">
      <c r="A569" s="1" t="n"/>
      <c r="B569" s="1" t="n"/>
      <c r="C569" s="1" t="n"/>
      <c r="D569" s="1" t="n"/>
      <c r="E569" s="1" t="n"/>
      <c r="F569" s="1" t="n"/>
      <c r="G569" s="1" t="n"/>
      <c r="H569" s="1" t="n"/>
      <c r="I569" s="1" t="n"/>
    </row>
    <row r="570" ht="15.75" customHeight="1" s="311">
      <c r="A570" s="1" t="n"/>
      <c r="B570" s="1" t="n"/>
      <c r="C570" s="1" t="n"/>
      <c r="D570" s="1" t="n"/>
      <c r="E570" s="1" t="n"/>
      <c r="F570" s="1" t="n"/>
      <c r="G570" s="1" t="n"/>
      <c r="H570" s="1" t="n"/>
      <c r="I570" s="1" t="n"/>
    </row>
    <row r="571" ht="15.75" customHeight="1" s="311">
      <c r="A571" s="1" t="n"/>
      <c r="B571" s="1" t="n"/>
      <c r="C571" s="1" t="n"/>
      <c r="D571" s="1" t="n"/>
      <c r="E571" s="1" t="n"/>
      <c r="F571" s="1" t="n"/>
      <c r="G571" s="1" t="n"/>
      <c r="H571" s="1" t="n"/>
      <c r="I571" s="1" t="n"/>
    </row>
    <row r="572" ht="15.75" customHeight="1" s="311">
      <c r="A572" s="1" t="n"/>
      <c r="B572" s="1" t="n"/>
      <c r="C572" s="1" t="n"/>
      <c r="D572" s="1" t="n"/>
      <c r="E572" s="1" t="n"/>
      <c r="F572" s="1" t="n"/>
      <c r="G572" s="1" t="n"/>
      <c r="H572" s="1" t="n"/>
      <c r="I572" s="1" t="n"/>
    </row>
    <row r="573" ht="15.75" customHeight="1" s="311">
      <c r="A573" s="1" t="n"/>
      <c r="B573" s="1" t="n"/>
      <c r="C573" s="1" t="n"/>
      <c r="D573" s="1" t="n"/>
      <c r="E573" s="1" t="n"/>
      <c r="F573" s="1" t="n"/>
      <c r="G573" s="1" t="n"/>
      <c r="H573" s="1" t="n"/>
      <c r="I573" s="1" t="n"/>
    </row>
    <row r="574" ht="15.75" customHeight="1" s="311">
      <c r="A574" s="1" t="n"/>
      <c r="B574" s="1" t="n"/>
      <c r="C574" s="1" t="n"/>
      <c r="D574" s="1" t="n"/>
      <c r="E574" s="1" t="n"/>
      <c r="F574" s="1" t="n"/>
      <c r="G574" s="1" t="n"/>
      <c r="H574" s="1" t="n"/>
      <c r="I574" s="1" t="n"/>
    </row>
    <row r="575" ht="15.75" customHeight="1" s="311">
      <c r="A575" s="1" t="n"/>
      <c r="B575" s="1" t="n"/>
      <c r="C575" s="1" t="n"/>
      <c r="D575" s="1" t="n"/>
      <c r="E575" s="1" t="n"/>
      <c r="F575" s="1" t="n"/>
      <c r="G575" s="1" t="n"/>
      <c r="H575" s="1" t="n"/>
      <c r="I575" s="1" t="n"/>
    </row>
    <row r="576" ht="15.75" customHeight="1" s="311">
      <c r="A576" s="1" t="n"/>
      <c r="B576" s="1" t="n"/>
      <c r="C576" s="1" t="n"/>
      <c r="D576" s="1" t="n"/>
      <c r="E576" s="1" t="n"/>
      <c r="F576" s="1" t="n"/>
      <c r="G576" s="1" t="n"/>
      <c r="H576" s="1" t="n"/>
      <c r="I576" s="1" t="n"/>
    </row>
    <row r="577" ht="15.75" customHeight="1" s="311">
      <c r="A577" s="1" t="n"/>
      <c r="B577" s="1" t="n"/>
      <c r="C577" s="1" t="n"/>
      <c r="D577" s="1" t="n"/>
      <c r="E577" s="1" t="n"/>
      <c r="F577" s="1" t="n"/>
      <c r="G577" s="1" t="n"/>
      <c r="H577" s="1" t="n"/>
      <c r="I577" s="1" t="n"/>
    </row>
    <row r="578" ht="15.75" customHeight="1" s="311">
      <c r="A578" s="1" t="n"/>
      <c r="B578" s="1" t="n"/>
      <c r="C578" s="1" t="n"/>
      <c r="D578" s="1" t="n"/>
      <c r="E578" s="1" t="n"/>
      <c r="F578" s="1" t="n"/>
      <c r="G578" s="1" t="n"/>
      <c r="H578" s="1" t="n"/>
      <c r="I578" s="1" t="n"/>
    </row>
    <row r="579" ht="15.75" customHeight="1" s="311">
      <c r="A579" s="1" t="n"/>
      <c r="B579" s="1" t="n"/>
      <c r="C579" s="1" t="n"/>
      <c r="D579" s="1" t="n"/>
      <c r="E579" s="1" t="n"/>
      <c r="F579" s="1" t="n"/>
      <c r="G579" s="1" t="n"/>
      <c r="H579" s="1" t="n"/>
      <c r="I579" s="1" t="n"/>
    </row>
    <row r="580" ht="15.75" customHeight="1" s="311">
      <c r="A580" s="1" t="n"/>
      <c r="B580" s="1" t="n"/>
      <c r="C580" s="1" t="n"/>
      <c r="D580" s="1" t="n"/>
      <c r="E580" s="1" t="n"/>
      <c r="F580" s="1" t="n"/>
      <c r="G580" s="1" t="n"/>
      <c r="H580" s="1" t="n"/>
      <c r="I580" s="1" t="n"/>
    </row>
    <row r="581" ht="15.75" customHeight="1" s="311">
      <c r="A581" s="1" t="n"/>
      <c r="B581" s="1" t="n"/>
      <c r="C581" s="1" t="n"/>
      <c r="D581" s="1" t="n"/>
      <c r="E581" s="1" t="n"/>
      <c r="F581" s="1" t="n"/>
      <c r="G581" s="1" t="n"/>
      <c r="H581" s="1" t="n"/>
      <c r="I581" s="1" t="n"/>
    </row>
    <row r="582" ht="15.75" customHeight="1" s="311">
      <c r="A582" s="1" t="n"/>
      <c r="B582" s="1" t="n"/>
      <c r="C582" s="1" t="n"/>
      <c r="D582" s="1" t="n"/>
      <c r="E582" s="1" t="n"/>
      <c r="F582" s="1" t="n"/>
      <c r="G582" s="1" t="n"/>
      <c r="H582" s="1" t="n"/>
      <c r="I582" s="1" t="n"/>
    </row>
    <row r="583" ht="15.75" customHeight="1" s="311">
      <c r="A583" s="1" t="n"/>
      <c r="B583" s="1" t="n"/>
      <c r="C583" s="1" t="n"/>
      <c r="D583" s="1" t="n"/>
      <c r="E583" s="1" t="n"/>
      <c r="F583" s="1" t="n"/>
      <c r="G583" s="1" t="n"/>
      <c r="H583" s="1" t="n"/>
      <c r="I583" s="1" t="n"/>
    </row>
    <row r="584" ht="15.75" customHeight="1" s="311">
      <c r="A584" s="1" t="n"/>
      <c r="B584" s="1" t="n"/>
      <c r="C584" s="1" t="n"/>
      <c r="D584" s="1" t="n"/>
      <c r="E584" s="1" t="n"/>
      <c r="F584" s="1" t="n"/>
      <c r="G584" s="1" t="n"/>
      <c r="H584" s="1" t="n"/>
      <c r="I584" s="1" t="n"/>
    </row>
    <row r="585" ht="15.75" customHeight="1" s="311">
      <c r="A585" s="1" t="n"/>
      <c r="B585" s="1" t="n"/>
      <c r="C585" s="1" t="n"/>
      <c r="D585" s="1" t="n"/>
      <c r="E585" s="1" t="n"/>
      <c r="F585" s="1" t="n"/>
      <c r="G585" s="1" t="n"/>
      <c r="H585" s="1" t="n"/>
      <c r="I585" s="1" t="n"/>
    </row>
    <row r="586" ht="15.75" customHeight="1" s="311">
      <c r="A586" s="1" t="n"/>
      <c r="B586" s="1" t="n"/>
      <c r="C586" s="1" t="n"/>
      <c r="D586" s="1" t="n"/>
      <c r="E586" s="1" t="n"/>
      <c r="F586" s="1" t="n"/>
      <c r="G586" s="1" t="n"/>
      <c r="H586" s="1" t="n"/>
      <c r="I586" s="1" t="n"/>
    </row>
    <row r="587" ht="15.75" customHeight="1" s="311">
      <c r="A587" s="1" t="n"/>
      <c r="B587" s="1" t="n"/>
      <c r="C587" s="1" t="n"/>
      <c r="D587" s="1" t="n"/>
      <c r="E587" s="1" t="n"/>
      <c r="F587" s="1" t="n"/>
      <c r="G587" s="1" t="n"/>
      <c r="H587" s="1" t="n"/>
      <c r="I587" s="1" t="n"/>
    </row>
    <row r="588" ht="15.75" customHeight="1" s="311">
      <c r="A588" s="1" t="n"/>
      <c r="B588" s="1" t="n"/>
      <c r="C588" s="1" t="n"/>
      <c r="D588" s="1" t="n"/>
      <c r="E588" s="1" t="n"/>
      <c r="F588" s="1" t="n"/>
      <c r="G588" s="1" t="n"/>
      <c r="H588" s="1" t="n"/>
      <c r="I588" s="1" t="n"/>
    </row>
    <row r="589" ht="15.75" customHeight="1" s="311">
      <c r="A589" s="1" t="n"/>
      <c r="B589" s="1" t="n"/>
      <c r="C589" s="1" t="n"/>
      <c r="D589" s="1" t="n"/>
      <c r="E589" s="1" t="n"/>
      <c r="F589" s="1" t="n"/>
      <c r="G589" s="1" t="n"/>
      <c r="H589" s="1" t="n"/>
      <c r="I589" s="1" t="n"/>
    </row>
    <row r="590" ht="15.75" customHeight="1" s="311">
      <c r="A590" s="1" t="n"/>
      <c r="B590" s="1" t="n"/>
      <c r="C590" s="1" t="n"/>
      <c r="D590" s="1" t="n"/>
      <c r="E590" s="1" t="n"/>
      <c r="F590" s="1" t="n"/>
      <c r="G590" s="1" t="n"/>
      <c r="H590" s="1" t="n"/>
      <c r="I590" s="1" t="n"/>
    </row>
    <row r="591" ht="15.75" customHeight="1" s="311">
      <c r="A591" s="1" t="n"/>
      <c r="B591" s="1" t="n"/>
      <c r="C591" s="1" t="n"/>
      <c r="D591" s="1" t="n"/>
      <c r="E591" s="1" t="n"/>
      <c r="F591" s="1" t="n"/>
      <c r="G591" s="1" t="n"/>
      <c r="H591" s="1" t="n"/>
      <c r="I591" s="1" t="n"/>
    </row>
    <row r="592" ht="15.75" customHeight="1" s="311">
      <c r="A592" s="1" t="n"/>
      <c r="B592" s="1" t="n"/>
      <c r="C592" s="1" t="n"/>
      <c r="D592" s="1" t="n"/>
      <c r="E592" s="1" t="n"/>
      <c r="F592" s="1" t="n"/>
      <c r="G592" s="1" t="n"/>
      <c r="H592" s="1" t="n"/>
      <c r="I592" s="1" t="n"/>
    </row>
    <row r="593" ht="15.75" customHeight="1" s="311">
      <c r="A593" s="1" t="n"/>
      <c r="B593" s="1" t="n"/>
      <c r="C593" s="1" t="n"/>
      <c r="D593" s="1" t="n"/>
      <c r="E593" s="1" t="n"/>
      <c r="F593" s="1" t="n"/>
      <c r="G593" s="1" t="n"/>
      <c r="H593" s="1" t="n"/>
      <c r="I593" s="1" t="n"/>
    </row>
    <row r="594" ht="15.75" customHeight="1" s="311">
      <c r="A594" s="1" t="n"/>
      <c r="B594" s="1" t="n"/>
      <c r="C594" s="1" t="n"/>
      <c r="D594" s="1" t="n"/>
      <c r="E594" s="1" t="n"/>
      <c r="F594" s="1" t="n"/>
      <c r="G594" s="1" t="n"/>
      <c r="H594" s="1" t="n"/>
      <c r="I594" s="1" t="n"/>
    </row>
    <row r="595" ht="15.75" customHeight="1" s="311">
      <c r="A595" s="1" t="n"/>
      <c r="B595" s="1" t="n"/>
      <c r="C595" s="1" t="n"/>
      <c r="D595" s="1" t="n"/>
      <c r="E595" s="1" t="n"/>
      <c r="F595" s="1" t="n"/>
      <c r="G595" s="1" t="n"/>
      <c r="H595" s="1" t="n"/>
      <c r="I595" s="1" t="n"/>
    </row>
    <row r="596" ht="15.75" customHeight="1" s="311">
      <c r="A596" s="1" t="n"/>
      <c r="B596" s="1" t="n"/>
      <c r="C596" s="1" t="n"/>
      <c r="D596" s="1" t="n"/>
      <c r="E596" s="1" t="n"/>
      <c r="F596" s="1" t="n"/>
      <c r="G596" s="1" t="n"/>
      <c r="H596" s="1" t="n"/>
      <c r="I596" s="1" t="n"/>
    </row>
    <row r="597" ht="15.75" customHeight="1" s="311">
      <c r="A597" s="1" t="n"/>
      <c r="B597" s="1" t="n"/>
      <c r="C597" s="1" t="n"/>
      <c r="D597" s="1" t="n"/>
      <c r="E597" s="1" t="n"/>
      <c r="F597" s="1" t="n"/>
      <c r="G597" s="1" t="n"/>
      <c r="H597" s="1" t="n"/>
      <c r="I597" s="1" t="n"/>
    </row>
    <row r="598" ht="15.75" customHeight="1" s="311">
      <c r="A598" s="1" t="n"/>
      <c r="B598" s="1" t="n"/>
      <c r="C598" s="1" t="n"/>
      <c r="D598" s="1" t="n"/>
      <c r="E598" s="1" t="n"/>
      <c r="F598" s="1" t="n"/>
      <c r="G598" s="1" t="n"/>
      <c r="H598" s="1" t="n"/>
      <c r="I598" s="1" t="n"/>
    </row>
    <row r="599" ht="15.75" customHeight="1" s="311">
      <c r="A599" s="1" t="n"/>
      <c r="B599" s="1" t="n"/>
      <c r="C599" s="1" t="n"/>
      <c r="D599" s="1" t="n"/>
      <c r="E599" s="1" t="n"/>
      <c r="F599" s="1" t="n"/>
      <c r="G599" s="1" t="n"/>
      <c r="H599" s="1" t="n"/>
      <c r="I599" s="1" t="n"/>
    </row>
    <row r="600" ht="15.75" customHeight="1" s="311">
      <c r="A600" s="1" t="n"/>
      <c r="B600" s="1" t="n"/>
      <c r="C600" s="1" t="n"/>
      <c r="D600" s="1" t="n"/>
      <c r="E600" s="1" t="n"/>
      <c r="F600" s="1" t="n"/>
      <c r="G600" s="1" t="n"/>
      <c r="H600" s="1" t="n"/>
      <c r="I600" s="1" t="n"/>
    </row>
    <row r="601" ht="15.75" customHeight="1" s="311">
      <c r="A601" s="1" t="n"/>
      <c r="B601" s="1" t="n"/>
      <c r="C601" s="1" t="n"/>
      <c r="D601" s="1" t="n"/>
      <c r="E601" s="1" t="n"/>
      <c r="F601" s="1" t="n"/>
      <c r="G601" s="1" t="n"/>
      <c r="H601" s="1" t="n"/>
      <c r="I601" s="1" t="n"/>
    </row>
    <row r="602" ht="15.75" customHeight="1" s="311">
      <c r="A602" s="1" t="n"/>
      <c r="B602" s="1" t="n"/>
      <c r="C602" s="1" t="n"/>
      <c r="D602" s="1" t="n"/>
      <c r="E602" s="1" t="n"/>
      <c r="F602" s="1" t="n"/>
      <c r="G602" s="1" t="n"/>
      <c r="H602" s="1" t="n"/>
      <c r="I602" s="1" t="n"/>
    </row>
    <row r="603" ht="15.75" customHeight="1" s="311">
      <c r="A603" s="1" t="n"/>
      <c r="B603" s="1" t="n"/>
      <c r="C603" s="1" t="n"/>
      <c r="D603" s="1" t="n"/>
      <c r="E603" s="1" t="n"/>
      <c r="F603" s="1" t="n"/>
      <c r="G603" s="1" t="n"/>
      <c r="H603" s="1" t="n"/>
      <c r="I603" s="1" t="n"/>
    </row>
    <row r="604" ht="15.75" customHeight="1" s="311">
      <c r="A604" s="1" t="n"/>
      <c r="B604" s="1" t="n"/>
      <c r="C604" s="1" t="n"/>
      <c r="D604" s="1" t="n"/>
      <c r="E604" s="1" t="n"/>
      <c r="F604" s="1" t="n"/>
      <c r="G604" s="1" t="n"/>
      <c r="H604" s="1" t="n"/>
      <c r="I604" s="1" t="n"/>
    </row>
    <row r="605" ht="15.75" customHeight="1" s="311">
      <c r="A605" s="1" t="n"/>
      <c r="B605" s="1" t="n"/>
      <c r="C605" s="1" t="n"/>
      <c r="D605" s="1" t="n"/>
      <c r="E605" s="1" t="n"/>
      <c r="F605" s="1" t="n"/>
      <c r="G605" s="1" t="n"/>
      <c r="H605" s="1" t="n"/>
      <c r="I605" s="1" t="n"/>
    </row>
    <row r="606" ht="15.75" customHeight="1" s="311">
      <c r="A606" s="1" t="n"/>
      <c r="B606" s="1" t="n"/>
      <c r="C606" s="1" t="n"/>
      <c r="D606" s="1" t="n"/>
      <c r="E606" s="1" t="n"/>
      <c r="F606" s="1" t="n"/>
      <c r="G606" s="1" t="n"/>
      <c r="H606" s="1" t="n"/>
      <c r="I606" s="1" t="n"/>
    </row>
    <row r="607" ht="15.75" customHeight="1" s="311">
      <c r="A607" s="1" t="n"/>
      <c r="B607" s="1" t="n"/>
      <c r="C607" s="1" t="n"/>
      <c r="D607" s="1" t="n"/>
      <c r="E607" s="1" t="n"/>
      <c r="F607" s="1" t="n"/>
      <c r="G607" s="1" t="n"/>
      <c r="H607" s="1" t="n"/>
      <c r="I607" s="1" t="n"/>
    </row>
    <row r="608" ht="15.75" customHeight="1" s="311">
      <c r="A608" s="1" t="n"/>
      <c r="B608" s="1" t="n"/>
      <c r="C608" s="1" t="n"/>
      <c r="D608" s="1" t="n"/>
      <c r="E608" s="1" t="n"/>
      <c r="F608" s="1" t="n"/>
      <c r="G608" s="1" t="n"/>
      <c r="H608" s="1" t="n"/>
      <c r="I608" s="1" t="n"/>
    </row>
    <row r="609" ht="15.75" customHeight="1" s="311">
      <c r="A609" s="1" t="n"/>
      <c r="B609" s="1" t="n"/>
      <c r="C609" s="1" t="n"/>
      <c r="D609" s="1" t="n"/>
      <c r="E609" s="1" t="n"/>
      <c r="F609" s="1" t="n"/>
      <c r="G609" s="1" t="n"/>
      <c r="H609" s="1" t="n"/>
      <c r="I609" s="1" t="n"/>
    </row>
    <row r="610" ht="15.75" customHeight="1" s="311">
      <c r="A610" s="1" t="n"/>
      <c r="B610" s="1" t="n"/>
      <c r="C610" s="1" t="n"/>
      <c r="D610" s="1" t="n"/>
      <c r="E610" s="1" t="n"/>
      <c r="F610" s="1" t="n"/>
      <c r="G610" s="1" t="n"/>
      <c r="H610" s="1" t="n"/>
      <c r="I610" s="1" t="n"/>
    </row>
    <row r="611" ht="15.75" customHeight="1" s="311">
      <c r="A611" s="1" t="n"/>
      <c r="B611" s="1" t="n"/>
      <c r="C611" s="1" t="n"/>
      <c r="D611" s="1" t="n"/>
      <c r="E611" s="1" t="n"/>
      <c r="F611" s="1" t="n"/>
      <c r="G611" s="1" t="n"/>
      <c r="H611" s="1" t="n"/>
      <c r="I611" s="1" t="n"/>
    </row>
    <row r="612" ht="15.75" customHeight="1" s="311">
      <c r="A612" s="1" t="n"/>
      <c r="B612" s="1" t="n"/>
      <c r="C612" s="1" t="n"/>
      <c r="D612" s="1" t="n"/>
      <c r="E612" s="1" t="n"/>
      <c r="F612" s="1" t="n"/>
      <c r="G612" s="1" t="n"/>
      <c r="H612" s="1" t="n"/>
      <c r="I612" s="1" t="n"/>
    </row>
    <row r="613" ht="15.75" customHeight="1" s="311">
      <c r="A613" s="1" t="n"/>
      <c r="B613" s="1" t="n"/>
      <c r="C613" s="1" t="n"/>
      <c r="D613" s="1" t="n"/>
      <c r="E613" s="1" t="n"/>
      <c r="F613" s="1" t="n"/>
      <c r="G613" s="1" t="n"/>
      <c r="H613" s="1" t="n"/>
      <c r="I613" s="1" t="n"/>
    </row>
    <row r="614" ht="15.75" customHeight="1" s="311">
      <c r="A614" s="1" t="n"/>
      <c r="B614" s="1" t="n"/>
      <c r="C614" s="1" t="n"/>
      <c r="D614" s="1" t="n"/>
      <c r="E614" s="1" t="n"/>
      <c r="F614" s="1" t="n"/>
      <c r="G614" s="1" t="n"/>
      <c r="H614" s="1" t="n"/>
      <c r="I614" s="1" t="n"/>
    </row>
    <row r="615" ht="15.75" customHeight="1" s="311">
      <c r="A615" s="1" t="n"/>
      <c r="B615" s="1" t="n"/>
      <c r="C615" s="1" t="n"/>
      <c r="D615" s="1" t="n"/>
      <c r="E615" s="1" t="n"/>
      <c r="F615" s="1" t="n"/>
      <c r="G615" s="1" t="n"/>
      <c r="H615" s="1" t="n"/>
      <c r="I615" s="1" t="n"/>
    </row>
    <row r="616" ht="15.75" customHeight="1" s="311">
      <c r="A616" s="1" t="n"/>
      <c r="B616" s="1" t="n"/>
      <c r="C616" s="1" t="n"/>
      <c r="D616" s="1" t="n"/>
      <c r="E616" s="1" t="n"/>
      <c r="F616" s="1" t="n"/>
      <c r="G616" s="1" t="n"/>
      <c r="H616" s="1" t="n"/>
      <c r="I616" s="1" t="n"/>
    </row>
    <row r="617" ht="15.75" customHeight="1" s="311">
      <c r="A617" s="1" t="n"/>
      <c r="B617" s="1" t="n"/>
      <c r="C617" s="1" t="n"/>
      <c r="D617" s="1" t="n"/>
      <c r="E617" s="1" t="n"/>
      <c r="F617" s="1" t="n"/>
      <c r="G617" s="1" t="n"/>
      <c r="H617" s="1" t="n"/>
      <c r="I617" s="1" t="n"/>
    </row>
    <row r="618" ht="15.75" customHeight="1" s="311">
      <c r="A618" s="1" t="n"/>
      <c r="B618" s="1" t="n"/>
      <c r="C618" s="1" t="n"/>
      <c r="D618" s="1" t="n"/>
      <c r="E618" s="1" t="n"/>
      <c r="F618" s="1" t="n"/>
      <c r="G618" s="1" t="n"/>
      <c r="H618" s="1" t="n"/>
      <c r="I618" s="1" t="n"/>
    </row>
    <row r="619" ht="15.75" customHeight="1" s="311">
      <c r="A619" s="1" t="n"/>
      <c r="B619" s="1" t="n"/>
      <c r="C619" s="1" t="n"/>
      <c r="D619" s="1" t="n"/>
      <c r="E619" s="1" t="n"/>
      <c r="F619" s="1" t="n"/>
      <c r="G619" s="1" t="n"/>
      <c r="H619" s="1" t="n"/>
      <c r="I619" s="1" t="n"/>
    </row>
    <row r="620" ht="15.75" customHeight="1" s="311">
      <c r="A620" s="1" t="n"/>
      <c r="B620" s="1" t="n"/>
      <c r="C620" s="1" t="n"/>
      <c r="D620" s="1" t="n"/>
      <c r="E620" s="1" t="n"/>
      <c r="F620" s="1" t="n"/>
      <c r="G620" s="1" t="n"/>
      <c r="H620" s="1" t="n"/>
      <c r="I620" s="1" t="n"/>
    </row>
    <row r="621" ht="15.75" customHeight="1" s="311">
      <c r="A621" s="1" t="n"/>
      <c r="B621" s="1" t="n"/>
      <c r="C621" s="1" t="n"/>
      <c r="D621" s="1" t="n"/>
      <c r="E621" s="1" t="n"/>
      <c r="F621" s="1" t="n"/>
      <c r="G621" s="1" t="n"/>
      <c r="H621" s="1" t="n"/>
      <c r="I621" s="1" t="n"/>
    </row>
    <row r="622" ht="15.75" customHeight="1" s="311">
      <c r="A622" s="1" t="n"/>
      <c r="B622" s="1" t="n"/>
      <c r="C622" s="1" t="n"/>
      <c r="D622" s="1" t="n"/>
      <c r="E622" s="1" t="n"/>
      <c r="F622" s="1" t="n"/>
      <c r="G622" s="1" t="n"/>
      <c r="H622" s="1" t="n"/>
      <c r="I622" s="1" t="n"/>
    </row>
    <row r="623" ht="15.75" customHeight="1" s="311">
      <c r="A623" s="1" t="n"/>
      <c r="B623" s="1" t="n"/>
      <c r="C623" s="1" t="n"/>
      <c r="D623" s="1" t="n"/>
      <c r="E623" s="1" t="n"/>
      <c r="F623" s="1" t="n"/>
      <c r="G623" s="1" t="n"/>
      <c r="H623" s="1" t="n"/>
      <c r="I623" s="1" t="n"/>
    </row>
    <row r="624" ht="15.75" customHeight="1" s="311">
      <c r="A624" s="1" t="n"/>
      <c r="B624" s="1" t="n"/>
      <c r="C624" s="1" t="n"/>
      <c r="D624" s="1" t="n"/>
      <c r="E624" s="1" t="n"/>
      <c r="F624" s="1" t="n"/>
      <c r="G624" s="1" t="n"/>
      <c r="H624" s="1" t="n"/>
      <c r="I624" s="1" t="n"/>
    </row>
    <row r="625" ht="15.75" customHeight="1" s="311">
      <c r="A625" s="1" t="n"/>
      <c r="B625" s="1" t="n"/>
      <c r="C625" s="1" t="n"/>
      <c r="D625" s="1" t="n"/>
      <c r="E625" s="1" t="n"/>
      <c r="F625" s="1" t="n"/>
      <c r="G625" s="1" t="n"/>
      <c r="H625" s="1" t="n"/>
      <c r="I625" s="1" t="n"/>
    </row>
    <row r="626" ht="15.75" customHeight="1" s="311">
      <c r="A626" s="1" t="n"/>
      <c r="B626" s="1" t="n"/>
      <c r="C626" s="1" t="n"/>
      <c r="D626" s="1" t="n"/>
      <c r="E626" s="1" t="n"/>
      <c r="F626" s="1" t="n"/>
      <c r="G626" s="1" t="n"/>
      <c r="H626" s="1" t="n"/>
      <c r="I626" s="1" t="n"/>
    </row>
    <row r="627" ht="15.75" customHeight="1" s="311">
      <c r="A627" s="1" t="n"/>
      <c r="B627" s="1" t="n"/>
      <c r="C627" s="1" t="n"/>
      <c r="D627" s="1" t="n"/>
      <c r="E627" s="1" t="n"/>
      <c r="F627" s="1" t="n"/>
      <c r="G627" s="1" t="n"/>
      <c r="H627" s="1" t="n"/>
      <c r="I627" s="1" t="n"/>
    </row>
    <row r="628" ht="15.75" customHeight="1" s="311">
      <c r="A628" s="1" t="n"/>
      <c r="B628" s="1" t="n"/>
      <c r="C628" s="1" t="n"/>
      <c r="D628" s="1" t="n"/>
      <c r="E628" s="1" t="n"/>
      <c r="F628" s="1" t="n"/>
      <c r="G628" s="1" t="n"/>
      <c r="H628" s="1" t="n"/>
      <c r="I628" s="1" t="n"/>
    </row>
    <row r="629" ht="15.75" customHeight="1" s="311">
      <c r="A629" s="1" t="n"/>
      <c r="B629" s="1" t="n"/>
      <c r="C629" s="1" t="n"/>
      <c r="D629" s="1" t="n"/>
      <c r="E629" s="1" t="n"/>
      <c r="F629" s="1" t="n"/>
      <c r="G629" s="1" t="n"/>
      <c r="H629" s="1" t="n"/>
      <c r="I629" s="1" t="n"/>
    </row>
    <row r="630" ht="15.75" customHeight="1" s="311">
      <c r="A630" s="1" t="n"/>
      <c r="B630" s="1" t="n"/>
      <c r="C630" s="1" t="n"/>
      <c r="D630" s="1" t="n"/>
      <c r="E630" s="1" t="n"/>
      <c r="F630" s="1" t="n"/>
      <c r="G630" s="1" t="n"/>
      <c r="H630" s="1" t="n"/>
      <c r="I630" s="1" t="n"/>
    </row>
    <row r="631" ht="15.75" customHeight="1" s="311">
      <c r="A631" s="1" t="n"/>
      <c r="B631" s="1" t="n"/>
      <c r="C631" s="1" t="n"/>
      <c r="D631" s="1" t="n"/>
      <c r="E631" s="1" t="n"/>
      <c r="F631" s="1" t="n"/>
      <c r="G631" s="1" t="n"/>
      <c r="H631" s="1" t="n"/>
      <c r="I631" s="1" t="n"/>
    </row>
    <row r="632" ht="15.75" customHeight="1" s="311">
      <c r="A632" s="1" t="n"/>
      <c r="B632" s="1" t="n"/>
      <c r="C632" s="1" t="n"/>
      <c r="D632" s="1" t="n"/>
      <c r="E632" s="1" t="n"/>
      <c r="F632" s="1" t="n"/>
      <c r="G632" s="1" t="n"/>
      <c r="H632" s="1" t="n"/>
      <c r="I632" s="1" t="n"/>
    </row>
    <row r="633" ht="15.75" customHeight="1" s="311">
      <c r="A633" s="1" t="n"/>
      <c r="B633" s="1" t="n"/>
      <c r="C633" s="1" t="n"/>
      <c r="D633" s="1" t="n"/>
      <c r="E633" s="1" t="n"/>
      <c r="F633" s="1" t="n"/>
      <c r="G633" s="1" t="n"/>
      <c r="H633" s="1" t="n"/>
      <c r="I633" s="1" t="n"/>
    </row>
    <row r="634" ht="15.75" customHeight="1" s="311">
      <c r="A634" s="1" t="n"/>
      <c r="B634" s="1" t="n"/>
      <c r="C634" s="1" t="n"/>
      <c r="D634" s="1" t="n"/>
      <c r="E634" s="1" t="n"/>
      <c r="F634" s="1" t="n"/>
      <c r="G634" s="1" t="n"/>
      <c r="H634" s="1" t="n"/>
      <c r="I634" s="1" t="n"/>
    </row>
    <row r="635" ht="15.75" customHeight="1" s="311">
      <c r="A635" s="1" t="n"/>
      <c r="B635" s="1" t="n"/>
      <c r="C635" s="1" t="n"/>
      <c r="D635" s="1" t="n"/>
      <c r="E635" s="1" t="n"/>
      <c r="F635" s="1" t="n"/>
      <c r="G635" s="1" t="n"/>
      <c r="H635" s="1" t="n"/>
      <c r="I635" s="1" t="n"/>
    </row>
    <row r="636" ht="15.75" customHeight="1" s="311">
      <c r="A636" s="1" t="n"/>
      <c r="B636" s="1" t="n"/>
      <c r="C636" s="1" t="n"/>
      <c r="D636" s="1" t="n"/>
      <c r="E636" s="1" t="n"/>
      <c r="F636" s="1" t="n"/>
      <c r="G636" s="1" t="n"/>
      <c r="H636" s="1" t="n"/>
      <c r="I636" s="1" t="n"/>
    </row>
    <row r="637" ht="15.75" customHeight="1" s="311">
      <c r="A637" s="1" t="n"/>
      <c r="B637" s="1" t="n"/>
      <c r="C637" s="1" t="n"/>
      <c r="D637" s="1" t="n"/>
      <c r="E637" s="1" t="n"/>
      <c r="F637" s="1" t="n"/>
      <c r="G637" s="1" t="n"/>
      <c r="H637" s="1" t="n"/>
      <c r="I637" s="1" t="n"/>
    </row>
    <row r="638" ht="15.75" customHeight="1" s="311">
      <c r="A638" s="1" t="n"/>
      <c r="B638" s="1" t="n"/>
      <c r="C638" s="1" t="n"/>
      <c r="D638" s="1" t="n"/>
      <c r="E638" s="1" t="n"/>
      <c r="F638" s="1" t="n"/>
      <c r="G638" s="1" t="n"/>
      <c r="H638" s="1" t="n"/>
      <c r="I638" s="1" t="n"/>
    </row>
    <row r="639" ht="15.75" customHeight="1" s="311">
      <c r="A639" s="1" t="n"/>
      <c r="B639" s="1" t="n"/>
      <c r="C639" s="1" t="n"/>
      <c r="D639" s="1" t="n"/>
      <c r="E639" s="1" t="n"/>
      <c r="F639" s="1" t="n"/>
      <c r="G639" s="1" t="n"/>
      <c r="H639" s="1" t="n"/>
      <c r="I639" s="1" t="n"/>
    </row>
    <row r="640" ht="15.75" customHeight="1" s="311">
      <c r="A640" s="1" t="n"/>
      <c r="B640" s="1" t="n"/>
      <c r="C640" s="1" t="n"/>
      <c r="D640" s="1" t="n"/>
      <c r="E640" s="1" t="n"/>
      <c r="F640" s="1" t="n"/>
      <c r="G640" s="1" t="n"/>
      <c r="H640" s="1" t="n"/>
      <c r="I640" s="1" t="n"/>
    </row>
    <row r="641" ht="15.75" customHeight="1" s="311">
      <c r="A641" s="1" t="n"/>
      <c r="B641" s="1" t="n"/>
      <c r="C641" s="1" t="n"/>
      <c r="D641" s="1" t="n"/>
      <c r="E641" s="1" t="n"/>
      <c r="F641" s="1" t="n"/>
      <c r="G641" s="1" t="n"/>
      <c r="H641" s="1" t="n"/>
      <c r="I641" s="1" t="n"/>
    </row>
    <row r="642" ht="15.75" customHeight="1" s="311">
      <c r="A642" s="1" t="n"/>
      <c r="B642" s="1" t="n"/>
      <c r="C642" s="1" t="n"/>
      <c r="D642" s="1" t="n"/>
      <c r="E642" s="1" t="n"/>
      <c r="F642" s="1" t="n"/>
      <c r="G642" s="1" t="n"/>
      <c r="H642" s="1" t="n"/>
      <c r="I642" s="1" t="n"/>
    </row>
    <row r="643" ht="15.75" customHeight="1" s="311">
      <c r="A643" s="1" t="n"/>
      <c r="B643" s="1" t="n"/>
      <c r="C643" s="1" t="n"/>
      <c r="D643" s="1" t="n"/>
      <c r="E643" s="1" t="n"/>
      <c r="F643" s="1" t="n"/>
      <c r="G643" s="1" t="n"/>
      <c r="H643" s="1" t="n"/>
      <c r="I643" s="1" t="n"/>
    </row>
    <row r="644" ht="15.75" customHeight="1" s="311">
      <c r="A644" s="1" t="n"/>
      <c r="B644" s="1" t="n"/>
      <c r="C644" s="1" t="n"/>
      <c r="D644" s="1" t="n"/>
      <c r="E644" s="1" t="n"/>
      <c r="F644" s="1" t="n"/>
      <c r="G644" s="1" t="n"/>
      <c r="H644" s="1" t="n"/>
      <c r="I644" s="1" t="n"/>
    </row>
    <row r="645" ht="15.75" customHeight="1" s="311">
      <c r="A645" s="1" t="n"/>
      <c r="B645" s="1" t="n"/>
      <c r="C645" s="1" t="n"/>
      <c r="D645" s="1" t="n"/>
      <c r="E645" s="1" t="n"/>
      <c r="F645" s="1" t="n"/>
      <c r="G645" s="1" t="n"/>
      <c r="H645" s="1" t="n"/>
      <c r="I645" s="1" t="n"/>
    </row>
    <row r="646" ht="15.75" customHeight="1" s="311">
      <c r="A646" s="1" t="n"/>
      <c r="B646" s="1" t="n"/>
      <c r="C646" s="1" t="n"/>
      <c r="D646" s="1" t="n"/>
      <c r="E646" s="1" t="n"/>
      <c r="F646" s="1" t="n"/>
      <c r="G646" s="1" t="n"/>
      <c r="H646" s="1" t="n"/>
      <c r="I646" s="1" t="n"/>
    </row>
    <row r="647" ht="15.75" customHeight="1" s="311">
      <c r="A647" s="1" t="n"/>
      <c r="B647" s="1" t="n"/>
      <c r="C647" s="1" t="n"/>
      <c r="D647" s="1" t="n"/>
      <c r="E647" s="1" t="n"/>
      <c r="F647" s="1" t="n"/>
      <c r="G647" s="1" t="n"/>
      <c r="H647" s="1" t="n"/>
      <c r="I647" s="1" t="n"/>
    </row>
    <row r="648" ht="15.75" customHeight="1" s="311">
      <c r="A648" s="1" t="n"/>
      <c r="B648" s="1" t="n"/>
      <c r="C648" s="1" t="n"/>
      <c r="D648" s="1" t="n"/>
      <c r="E648" s="1" t="n"/>
      <c r="F648" s="1" t="n"/>
      <c r="G648" s="1" t="n"/>
      <c r="H648" s="1" t="n"/>
      <c r="I648" s="1" t="n"/>
    </row>
    <row r="649" ht="15.75" customHeight="1" s="311">
      <c r="A649" s="1" t="n"/>
      <c r="B649" s="1" t="n"/>
      <c r="C649" s="1" t="n"/>
      <c r="D649" s="1" t="n"/>
      <c r="E649" s="1" t="n"/>
      <c r="F649" s="1" t="n"/>
      <c r="G649" s="1" t="n"/>
      <c r="H649" s="1" t="n"/>
      <c r="I649" s="1" t="n"/>
    </row>
    <row r="650" ht="15.75" customHeight="1" s="311">
      <c r="A650" s="1" t="n"/>
      <c r="B650" s="1" t="n"/>
      <c r="C650" s="1" t="n"/>
      <c r="D650" s="1" t="n"/>
      <c r="E650" s="1" t="n"/>
      <c r="F650" s="1" t="n"/>
      <c r="G650" s="1" t="n"/>
      <c r="H650" s="1" t="n"/>
      <c r="I650" s="1" t="n"/>
    </row>
    <row r="651" ht="15.75" customHeight="1" s="311">
      <c r="A651" s="1" t="n"/>
      <c r="B651" s="1" t="n"/>
      <c r="C651" s="1" t="n"/>
      <c r="D651" s="1" t="n"/>
      <c r="E651" s="1" t="n"/>
      <c r="F651" s="1" t="n"/>
      <c r="G651" s="1" t="n"/>
      <c r="H651" s="1" t="n"/>
      <c r="I651" s="1" t="n"/>
    </row>
    <row r="652" ht="15.75" customHeight="1" s="311">
      <c r="A652" s="1" t="n"/>
      <c r="B652" s="1" t="n"/>
      <c r="C652" s="1" t="n"/>
      <c r="D652" s="1" t="n"/>
      <c r="E652" s="1" t="n"/>
      <c r="F652" s="1" t="n"/>
      <c r="G652" s="1" t="n"/>
      <c r="H652" s="1" t="n"/>
      <c r="I652" s="1" t="n"/>
    </row>
    <row r="653" ht="15.75" customHeight="1" s="311">
      <c r="A653" s="1" t="n"/>
      <c r="B653" s="1" t="n"/>
      <c r="C653" s="1" t="n"/>
      <c r="D653" s="1" t="n"/>
      <c r="E653" s="1" t="n"/>
      <c r="F653" s="1" t="n"/>
      <c r="G653" s="1" t="n"/>
      <c r="H653" s="1" t="n"/>
      <c r="I653" s="1" t="n"/>
    </row>
    <row r="654" ht="15.75" customHeight="1" s="311">
      <c r="A654" s="1" t="n"/>
      <c r="B654" s="1" t="n"/>
      <c r="C654" s="1" t="n"/>
      <c r="D654" s="1" t="n"/>
      <c r="E654" s="1" t="n"/>
      <c r="F654" s="1" t="n"/>
      <c r="G654" s="1" t="n"/>
      <c r="H654" s="1" t="n"/>
      <c r="I654" s="1" t="n"/>
    </row>
    <row r="655" ht="15.75" customHeight="1" s="311">
      <c r="A655" s="1" t="n"/>
      <c r="B655" s="1" t="n"/>
      <c r="C655" s="1" t="n"/>
      <c r="D655" s="1" t="n"/>
      <c r="E655" s="1" t="n"/>
      <c r="F655" s="1" t="n"/>
      <c r="G655" s="1" t="n"/>
      <c r="H655" s="1" t="n"/>
      <c r="I655" s="1" t="n"/>
    </row>
    <row r="656" ht="15.75" customHeight="1" s="311">
      <c r="A656" s="1" t="n"/>
      <c r="B656" s="1" t="n"/>
      <c r="C656" s="1" t="n"/>
      <c r="D656" s="1" t="n"/>
      <c r="E656" s="1" t="n"/>
      <c r="F656" s="1" t="n"/>
      <c r="G656" s="1" t="n"/>
      <c r="H656" s="1" t="n"/>
      <c r="I656" s="1" t="n"/>
    </row>
    <row r="657" ht="15.75" customHeight="1" s="311">
      <c r="A657" s="1" t="n"/>
      <c r="B657" s="1" t="n"/>
      <c r="C657" s="1" t="n"/>
      <c r="D657" s="1" t="n"/>
      <c r="E657" s="1" t="n"/>
      <c r="F657" s="1" t="n"/>
      <c r="G657" s="1" t="n"/>
      <c r="H657" s="1" t="n"/>
      <c r="I657" s="1" t="n"/>
    </row>
    <row r="658" ht="15.75" customHeight="1" s="311">
      <c r="A658" s="1" t="n"/>
      <c r="B658" s="1" t="n"/>
      <c r="C658" s="1" t="n"/>
      <c r="D658" s="1" t="n"/>
      <c r="E658" s="1" t="n"/>
      <c r="F658" s="1" t="n"/>
      <c r="G658" s="1" t="n"/>
      <c r="H658" s="1" t="n"/>
      <c r="I658" s="1" t="n"/>
    </row>
    <row r="659" ht="15.75" customHeight="1" s="311">
      <c r="A659" s="1" t="n"/>
      <c r="B659" s="1" t="n"/>
      <c r="C659" s="1" t="n"/>
      <c r="D659" s="1" t="n"/>
      <c r="E659" s="1" t="n"/>
      <c r="F659" s="1" t="n"/>
      <c r="G659" s="1" t="n"/>
      <c r="H659" s="1" t="n"/>
      <c r="I659" s="1" t="n"/>
    </row>
    <row r="660" ht="15.75" customHeight="1" s="311">
      <c r="A660" s="1" t="n"/>
      <c r="B660" s="1" t="n"/>
      <c r="C660" s="1" t="n"/>
      <c r="D660" s="1" t="n"/>
      <c r="E660" s="1" t="n"/>
      <c r="F660" s="1" t="n"/>
      <c r="G660" s="1" t="n"/>
      <c r="H660" s="1" t="n"/>
      <c r="I660" s="1" t="n"/>
    </row>
    <row r="661" ht="15.75" customHeight="1" s="311">
      <c r="A661" s="1" t="n"/>
      <c r="B661" s="1" t="n"/>
      <c r="C661" s="1" t="n"/>
      <c r="D661" s="1" t="n"/>
      <c r="E661" s="1" t="n"/>
      <c r="F661" s="1" t="n"/>
      <c r="G661" s="1" t="n"/>
      <c r="H661" s="1" t="n"/>
      <c r="I661" s="1" t="n"/>
    </row>
    <row r="662" ht="15.75" customHeight="1" s="311">
      <c r="A662" s="1" t="n"/>
      <c r="B662" s="1" t="n"/>
      <c r="C662" s="1" t="n"/>
      <c r="D662" s="1" t="n"/>
      <c r="E662" s="1" t="n"/>
      <c r="F662" s="1" t="n"/>
      <c r="G662" s="1" t="n"/>
      <c r="H662" s="1" t="n"/>
      <c r="I662" s="1" t="n"/>
    </row>
    <row r="663" ht="15.75" customHeight="1" s="311">
      <c r="A663" s="1" t="n"/>
      <c r="B663" s="1" t="n"/>
      <c r="C663" s="1" t="n"/>
      <c r="D663" s="1" t="n"/>
      <c r="E663" s="1" t="n"/>
      <c r="F663" s="1" t="n"/>
      <c r="G663" s="1" t="n"/>
      <c r="H663" s="1" t="n"/>
      <c r="I663" s="1" t="n"/>
    </row>
    <row r="664" ht="15.75" customHeight="1" s="311">
      <c r="A664" s="1" t="n"/>
      <c r="B664" s="1" t="n"/>
      <c r="C664" s="1" t="n"/>
      <c r="D664" s="1" t="n"/>
      <c r="E664" s="1" t="n"/>
      <c r="F664" s="1" t="n"/>
      <c r="G664" s="1" t="n"/>
      <c r="H664" s="1" t="n"/>
      <c r="I664" s="1" t="n"/>
    </row>
    <row r="665" ht="15.75" customHeight="1" s="311">
      <c r="A665" s="1" t="n"/>
      <c r="B665" s="1" t="n"/>
      <c r="C665" s="1" t="n"/>
      <c r="D665" s="1" t="n"/>
      <c r="E665" s="1" t="n"/>
      <c r="F665" s="1" t="n"/>
      <c r="G665" s="1" t="n"/>
      <c r="H665" s="1" t="n"/>
      <c r="I665" s="1" t="n"/>
    </row>
    <row r="666" ht="15.75" customHeight="1" s="311">
      <c r="A666" s="1" t="n"/>
      <c r="B666" s="1" t="n"/>
      <c r="C666" s="1" t="n"/>
      <c r="D666" s="1" t="n"/>
      <c r="E666" s="1" t="n"/>
      <c r="F666" s="1" t="n"/>
      <c r="G666" s="1" t="n"/>
      <c r="H666" s="1" t="n"/>
      <c r="I666" s="1" t="n"/>
    </row>
    <row r="667" ht="15.75" customHeight="1" s="311">
      <c r="A667" s="1" t="n"/>
      <c r="B667" s="1" t="n"/>
      <c r="C667" s="1" t="n"/>
      <c r="D667" s="1" t="n"/>
      <c r="E667" s="1" t="n"/>
      <c r="F667" s="1" t="n"/>
      <c r="G667" s="1" t="n"/>
      <c r="H667" s="1" t="n"/>
      <c r="I667" s="1" t="n"/>
    </row>
    <row r="668" ht="15.75" customHeight="1" s="311">
      <c r="A668" s="1" t="n"/>
      <c r="B668" s="1" t="n"/>
      <c r="C668" s="1" t="n"/>
      <c r="D668" s="1" t="n"/>
      <c r="E668" s="1" t="n"/>
      <c r="F668" s="1" t="n"/>
      <c r="G668" s="1" t="n"/>
      <c r="H668" s="1" t="n"/>
      <c r="I668" s="1" t="n"/>
    </row>
    <row r="669" ht="15.75" customHeight="1" s="311">
      <c r="A669" s="1" t="n"/>
      <c r="B669" s="1" t="n"/>
      <c r="C669" s="1" t="n"/>
      <c r="D669" s="1" t="n"/>
      <c r="E669" s="1" t="n"/>
      <c r="F669" s="1" t="n"/>
      <c r="G669" s="1" t="n"/>
      <c r="H669" s="1" t="n"/>
      <c r="I669" s="1" t="n"/>
    </row>
    <row r="670" ht="15.75" customHeight="1" s="311">
      <c r="A670" s="1" t="n"/>
      <c r="B670" s="1" t="n"/>
      <c r="C670" s="1" t="n"/>
      <c r="D670" s="1" t="n"/>
      <c r="E670" s="1" t="n"/>
      <c r="F670" s="1" t="n"/>
      <c r="G670" s="1" t="n"/>
      <c r="H670" s="1" t="n"/>
      <c r="I670" s="1" t="n"/>
    </row>
    <row r="671" ht="15.75" customHeight="1" s="311">
      <c r="A671" s="1" t="n"/>
      <c r="B671" s="1" t="n"/>
      <c r="C671" s="1" t="n"/>
      <c r="D671" s="1" t="n"/>
      <c r="E671" s="1" t="n"/>
      <c r="F671" s="1" t="n"/>
      <c r="G671" s="1" t="n"/>
      <c r="H671" s="1" t="n"/>
      <c r="I671" s="1" t="n"/>
    </row>
    <row r="672" ht="15.75" customHeight="1" s="311">
      <c r="A672" s="1" t="n"/>
      <c r="B672" s="1" t="n"/>
      <c r="C672" s="1" t="n"/>
      <c r="D672" s="1" t="n"/>
      <c r="E672" s="1" t="n"/>
      <c r="F672" s="1" t="n"/>
      <c r="G672" s="1" t="n"/>
      <c r="H672" s="1" t="n"/>
      <c r="I672" s="1" t="n"/>
    </row>
    <row r="673" ht="15.75" customHeight="1" s="311">
      <c r="A673" s="1" t="n"/>
      <c r="B673" s="1" t="n"/>
      <c r="C673" s="1" t="n"/>
      <c r="D673" s="1" t="n"/>
      <c r="E673" s="1" t="n"/>
      <c r="F673" s="1" t="n"/>
      <c r="G673" s="1" t="n"/>
      <c r="H673" s="1" t="n"/>
      <c r="I673" s="1" t="n"/>
    </row>
    <row r="674" ht="15.75" customHeight="1" s="311">
      <c r="A674" s="1" t="n"/>
      <c r="B674" s="1" t="n"/>
      <c r="C674" s="1" t="n"/>
      <c r="D674" s="1" t="n"/>
      <c r="E674" s="1" t="n"/>
      <c r="F674" s="1" t="n"/>
      <c r="G674" s="1" t="n"/>
      <c r="H674" s="1" t="n"/>
      <c r="I674" s="1" t="n"/>
    </row>
    <row r="675" ht="15.75" customHeight="1" s="311">
      <c r="A675" s="1" t="n"/>
      <c r="B675" s="1" t="n"/>
      <c r="C675" s="1" t="n"/>
      <c r="D675" s="1" t="n"/>
      <c r="E675" s="1" t="n"/>
      <c r="F675" s="1" t="n"/>
      <c r="G675" s="1" t="n"/>
      <c r="H675" s="1" t="n"/>
      <c r="I675" s="1" t="n"/>
    </row>
    <row r="676" ht="15.75" customHeight="1" s="311">
      <c r="A676" s="1" t="n"/>
      <c r="B676" s="1" t="n"/>
      <c r="C676" s="1" t="n"/>
      <c r="D676" s="1" t="n"/>
      <c r="E676" s="1" t="n"/>
      <c r="F676" s="1" t="n"/>
      <c r="G676" s="1" t="n"/>
      <c r="H676" s="1" t="n"/>
      <c r="I676" s="1" t="n"/>
    </row>
    <row r="677" ht="15.75" customHeight="1" s="311">
      <c r="A677" s="1" t="n"/>
      <c r="B677" s="1" t="n"/>
      <c r="C677" s="1" t="n"/>
      <c r="D677" s="1" t="n"/>
      <c r="E677" s="1" t="n"/>
      <c r="F677" s="1" t="n"/>
      <c r="G677" s="1" t="n"/>
      <c r="H677" s="1" t="n"/>
      <c r="I677" s="1" t="n"/>
    </row>
    <row r="678" ht="15.75" customHeight="1" s="311">
      <c r="A678" s="1" t="n"/>
      <c r="B678" s="1" t="n"/>
      <c r="C678" s="1" t="n"/>
      <c r="D678" s="1" t="n"/>
      <c r="E678" s="1" t="n"/>
      <c r="F678" s="1" t="n"/>
      <c r="G678" s="1" t="n"/>
      <c r="H678" s="1" t="n"/>
      <c r="I678" s="1" t="n"/>
    </row>
    <row r="679" ht="15.75" customHeight="1" s="311">
      <c r="A679" s="1" t="n"/>
      <c r="B679" s="1" t="n"/>
      <c r="C679" s="1" t="n"/>
      <c r="D679" s="1" t="n"/>
      <c r="E679" s="1" t="n"/>
      <c r="F679" s="1" t="n"/>
      <c r="G679" s="1" t="n"/>
      <c r="H679" s="1" t="n"/>
      <c r="I679" s="1" t="n"/>
    </row>
    <row r="680" ht="15.75" customHeight="1" s="311">
      <c r="A680" s="1" t="n"/>
      <c r="B680" s="1" t="n"/>
      <c r="C680" s="1" t="n"/>
      <c r="D680" s="1" t="n"/>
      <c r="E680" s="1" t="n"/>
      <c r="F680" s="1" t="n"/>
      <c r="G680" s="1" t="n"/>
      <c r="H680" s="1" t="n"/>
      <c r="I680" s="1" t="n"/>
    </row>
    <row r="681" ht="15.75" customHeight="1" s="311">
      <c r="A681" s="1" t="n"/>
      <c r="B681" s="1" t="n"/>
      <c r="C681" s="1" t="n"/>
      <c r="D681" s="1" t="n"/>
      <c r="E681" s="1" t="n"/>
      <c r="F681" s="1" t="n"/>
      <c r="G681" s="1" t="n"/>
      <c r="H681" s="1" t="n"/>
      <c r="I681" s="1" t="n"/>
    </row>
    <row r="682" ht="15.75" customHeight="1" s="311">
      <c r="A682" s="1" t="n"/>
      <c r="B682" s="1" t="n"/>
      <c r="C682" s="1" t="n"/>
      <c r="D682" s="1" t="n"/>
      <c r="E682" s="1" t="n"/>
      <c r="F682" s="1" t="n"/>
      <c r="G682" s="1" t="n"/>
      <c r="H682" s="1" t="n"/>
      <c r="I682" s="1" t="n"/>
    </row>
    <row r="683" ht="15.75" customHeight="1" s="311">
      <c r="A683" s="1" t="n"/>
      <c r="B683" s="1" t="n"/>
      <c r="C683" s="1" t="n"/>
      <c r="D683" s="1" t="n"/>
      <c r="E683" s="1" t="n"/>
      <c r="F683" s="1" t="n"/>
      <c r="G683" s="1" t="n"/>
      <c r="H683" s="1" t="n"/>
      <c r="I683" s="1" t="n"/>
    </row>
    <row r="684" ht="15.75" customHeight="1" s="311">
      <c r="A684" s="1" t="n"/>
      <c r="B684" s="1" t="n"/>
      <c r="C684" s="1" t="n"/>
      <c r="D684" s="1" t="n"/>
      <c r="E684" s="1" t="n"/>
      <c r="F684" s="1" t="n"/>
      <c r="G684" s="1" t="n"/>
      <c r="H684" s="1" t="n"/>
      <c r="I684" s="1" t="n"/>
    </row>
    <row r="685" ht="15.75" customHeight="1" s="311">
      <c r="A685" s="1" t="n"/>
      <c r="B685" s="1" t="n"/>
      <c r="C685" s="1" t="n"/>
      <c r="D685" s="1" t="n"/>
      <c r="E685" s="1" t="n"/>
      <c r="F685" s="1" t="n"/>
      <c r="G685" s="1" t="n"/>
      <c r="H685" s="1" t="n"/>
      <c r="I685" s="1" t="n"/>
    </row>
    <row r="686" ht="15.75" customHeight="1" s="311">
      <c r="A686" s="1" t="n"/>
      <c r="B686" s="1" t="n"/>
      <c r="C686" s="1" t="n"/>
      <c r="D686" s="1" t="n"/>
      <c r="E686" s="1" t="n"/>
      <c r="F686" s="1" t="n"/>
      <c r="G686" s="1" t="n"/>
      <c r="H686" s="1" t="n"/>
      <c r="I686" s="1" t="n"/>
    </row>
    <row r="687" ht="15.75" customHeight="1" s="311">
      <c r="A687" s="1" t="n"/>
      <c r="B687" s="1" t="n"/>
      <c r="C687" s="1" t="n"/>
      <c r="D687" s="1" t="n"/>
      <c r="E687" s="1" t="n"/>
      <c r="F687" s="1" t="n"/>
      <c r="G687" s="1" t="n"/>
      <c r="H687" s="1" t="n"/>
      <c r="I687" s="1" t="n"/>
    </row>
    <row r="688" ht="15.75" customHeight="1" s="311">
      <c r="A688" s="1" t="n"/>
      <c r="B688" s="1" t="n"/>
      <c r="C688" s="1" t="n"/>
      <c r="D688" s="1" t="n"/>
      <c r="E688" s="1" t="n"/>
      <c r="F688" s="1" t="n"/>
      <c r="G688" s="1" t="n"/>
      <c r="H688" s="1" t="n"/>
      <c r="I688" s="1" t="n"/>
    </row>
    <row r="689" ht="15.75" customHeight="1" s="311">
      <c r="A689" s="1" t="n"/>
      <c r="B689" s="1" t="n"/>
      <c r="C689" s="1" t="n"/>
      <c r="D689" s="1" t="n"/>
      <c r="E689" s="1" t="n"/>
      <c r="F689" s="1" t="n"/>
      <c r="G689" s="1" t="n"/>
      <c r="H689" s="1" t="n"/>
      <c r="I689" s="1" t="n"/>
    </row>
    <row r="690" ht="15.75" customHeight="1" s="311">
      <c r="A690" s="1" t="n"/>
      <c r="B690" s="1" t="n"/>
      <c r="C690" s="1" t="n"/>
      <c r="D690" s="1" t="n"/>
      <c r="E690" s="1" t="n"/>
      <c r="F690" s="1" t="n"/>
      <c r="G690" s="1" t="n"/>
      <c r="H690" s="1" t="n"/>
      <c r="I690" s="1" t="n"/>
    </row>
    <row r="691" ht="15.75" customHeight="1" s="311">
      <c r="A691" s="1" t="n"/>
      <c r="B691" s="1" t="n"/>
      <c r="C691" s="1" t="n"/>
      <c r="D691" s="1" t="n"/>
      <c r="E691" s="1" t="n"/>
      <c r="F691" s="1" t="n"/>
      <c r="G691" s="1" t="n"/>
      <c r="H691" s="1" t="n"/>
      <c r="I691" s="1" t="n"/>
    </row>
    <row r="692" ht="15.75" customHeight="1" s="311">
      <c r="A692" s="1" t="n"/>
      <c r="B692" s="1" t="n"/>
      <c r="C692" s="1" t="n"/>
      <c r="D692" s="1" t="n"/>
      <c r="E692" s="1" t="n"/>
      <c r="F692" s="1" t="n"/>
      <c r="G692" s="1" t="n"/>
      <c r="H692" s="1" t="n"/>
      <c r="I692" s="1" t="n"/>
    </row>
    <row r="693" ht="15.75" customHeight="1" s="311">
      <c r="A693" s="1" t="n"/>
      <c r="B693" s="1" t="n"/>
      <c r="C693" s="1" t="n"/>
      <c r="D693" s="1" t="n"/>
      <c r="E693" s="1" t="n"/>
      <c r="F693" s="1" t="n"/>
      <c r="G693" s="1" t="n"/>
      <c r="H693" s="1" t="n"/>
      <c r="I693" s="1" t="n"/>
    </row>
    <row r="694" ht="15.75" customHeight="1" s="311">
      <c r="A694" s="1" t="n"/>
      <c r="B694" s="1" t="n"/>
      <c r="C694" s="1" t="n"/>
      <c r="D694" s="1" t="n"/>
      <c r="E694" s="1" t="n"/>
      <c r="F694" s="1" t="n"/>
      <c r="G694" s="1" t="n"/>
      <c r="H694" s="1" t="n"/>
      <c r="I694" s="1" t="n"/>
    </row>
    <row r="695" ht="15.75" customHeight="1" s="311">
      <c r="A695" s="1" t="n"/>
      <c r="B695" s="1" t="n"/>
      <c r="C695" s="1" t="n"/>
      <c r="D695" s="1" t="n"/>
      <c r="E695" s="1" t="n"/>
      <c r="F695" s="1" t="n"/>
      <c r="G695" s="1" t="n"/>
      <c r="H695" s="1" t="n"/>
      <c r="I695" s="1" t="n"/>
    </row>
    <row r="696" ht="15.75" customHeight="1" s="311">
      <c r="A696" s="1" t="n"/>
      <c r="B696" s="1" t="n"/>
      <c r="C696" s="1" t="n"/>
      <c r="D696" s="1" t="n"/>
      <c r="E696" s="1" t="n"/>
      <c r="F696" s="1" t="n"/>
      <c r="G696" s="1" t="n"/>
      <c r="H696" s="1" t="n"/>
      <c r="I696" s="1" t="n"/>
    </row>
    <row r="697" ht="15.75" customHeight="1" s="311">
      <c r="A697" s="1" t="n"/>
      <c r="B697" s="1" t="n"/>
      <c r="C697" s="1" t="n"/>
      <c r="D697" s="1" t="n"/>
      <c r="E697" s="1" t="n"/>
      <c r="F697" s="1" t="n"/>
      <c r="G697" s="1" t="n"/>
      <c r="H697" s="1" t="n"/>
      <c r="I697" s="1" t="n"/>
    </row>
    <row r="698" ht="15.75" customHeight="1" s="311">
      <c r="A698" s="1" t="n"/>
      <c r="B698" s="1" t="n"/>
      <c r="C698" s="1" t="n"/>
      <c r="D698" s="1" t="n"/>
      <c r="E698" s="1" t="n"/>
      <c r="F698" s="1" t="n"/>
      <c r="G698" s="1" t="n"/>
      <c r="H698" s="1" t="n"/>
      <c r="I698" s="1" t="n"/>
    </row>
    <row r="699" ht="15.75" customHeight="1" s="311">
      <c r="A699" s="1" t="n"/>
      <c r="B699" s="1" t="n"/>
      <c r="C699" s="1" t="n"/>
      <c r="D699" s="1" t="n"/>
      <c r="E699" s="1" t="n"/>
      <c r="F699" s="1" t="n"/>
      <c r="G699" s="1" t="n"/>
      <c r="H699" s="1" t="n"/>
      <c r="I699" s="1" t="n"/>
    </row>
    <row r="700" ht="15.75" customHeight="1" s="311">
      <c r="A700" s="1" t="n"/>
      <c r="B700" s="1" t="n"/>
      <c r="C700" s="1" t="n"/>
      <c r="D700" s="1" t="n"/>
      <c r="E700" s="1" t="n"/>
      <c r="F700" s="1" t="n"/>
      <c r="G700" s="1" t="n"/>
      <c r="H700" s="1" t="n"/>
      <c r="I700" s="1" t="n"/>
    </row>
    <row r="701" ht="15.75" customHeight="1" s="311">
      <c r="A701" s="1" t="n"/>
      <c r="B701" s="1" t="n"/>
      <c r="C701" s="1" t="n"/>
      <c r="D701" s="1" t="n"/>
      <c r="E701" s="1" t="n"/>
      <c r="F701" s="1" t="n"/>
      <c r="G701" s="1" t="n"/>
      <c r="H701" s="1" t="n"/>
      <c r="I701" s="1" t="n"/>
    </row>
    <row r="702" ht="15.75" customHeight="1" s="311">
      <c r="A702" s="1" t="n"/>
      <c r="B702" s="1" t="n"/>
      <c r="C702" s="1" t="n"/>
      <c r="D702" s="1" t="n"/>
      <c r="E702" s="1" t="n"/>
      <c r="F702" s="1" t="n"/>
      <c r="G702" s="1" t="n"/>
      <c r="H702" s="1" t="n"/>
      <c r="I702" s="1" t="n"/>
    </row>
    <row r="703" ht="15.75" customHeight="1" s="311">
      <c r="A703" s="1" t="n"/>
      <c r="B703" s="1" t="n"/>
      <c r="C703" s="1" t="n"/>
      <c r="D703" s="1" t="n"/>
      <c r="E703" s="1" t="n"/>
      <c r="F703" s="1" t="n"/>
      <c r="G703" s="1" t="n"/>
      <c r="H703" s="1" t="n"/>
      <c r="I703" s="1" t="n"/>
    </row>
    <row r="704" ht="15.75" customHeight="1" s="311">
      <c r="A704" s="1" t="n"/>
      <c r="B704" s="1" t="n"/>
      <c r="C704" s="1" t="n"/>
      <c r="D704" s="1" t="n"/>
      <c r="E704" s="1" t="n"/>
      <c r="F704" s="1" t="n"/>
      <c r="G704" s="1" t="n"/>
      <c r="H704" s="1" t="n"/>
      <c r="I704" s="1" t="n"/>
    </row>
    <row r="705" ht="15.75" customHeight="1" s="311">
      <c r="A705" s="1" t="n"/>
      <c r="B705" s="1" t="n"/>
      <c r="C705" s="1" t="n"/>
      <c r="D705" s="1" t="n"/>
      <c r="E705" s="1" t="n"/>
      <c r="F705" s="1" t="n"/>
      <c r="G705" s="1" t="n"/>
      <c r="H705" s="1" t="n"/>
      <c r="I705" s="1" t="n"/>
    </row>
    <row r="706" ht="15.75" customHeight="1" s="311">
      <c r="A706" s="1" t="n"/>
      <c r="B706" s="1" t="n"/>
      <c r="C706" s="1" t="n"/>
      <c r="D706" s="1" t="n"/>
      <c r="E706" s="1" t="n"/>
      <c r="F706" s="1" t="n"/>
      <c r="G706" s="1" t="n"/>
      <c r="H706" s="1" t="n"/>
      <c r="I706" s="1" t="n"/>
    </row>
    <row r="707" ht="15.75" customHeight="1" s="311">
      <c r="A707" s="1" t="n"/>
      <c r="B707" s="1" t="n"/>
      <c r="C707" s="1" t="n"/>
      <c r="D707" s="1" t="n"/>
      <c r="E707" s="1" t="n"/>
      <c r="F707" s="1" t="n"/>
      <c r="G707" s="1" t="n"/>
      <c r="H707" s="1" t="n"/>
      <c r="I707" s="1" t="n"/>
    </row>
    <row r="708" ht="15.75" customHeight="1" s="311">
      <c r="A708" s="1" t="n"/>
      <c r="B708" s="1" t="n"/>
      <c r="C708" s="1" t="n"/>
      <c r="D708" s="1" t="n"/>
      <c r="E708" s="1" t="n"/>
      <c r="F708" s="1" t="n"/>
      <c r="G708" s="1" t="n"/>
      <c r="H708" s="1" t="n"/>
      <c r="I708" s="1" t="n"/>
    </row>
    <row r="709" ht="15.75" customHeight="1" s="311">
      <c r="A709" s="1" t="n"/>
      <c r="B709" s="1" t="n"/>
      <c r="C709" s="1" t="n"/>
      <c r="D709" s="1" t="n"/>
      <c r="E709" s="1" t="n"/>
      <c r="F709" s="1" t="n"/>
      <c r="G709" s="1" t="n"/>
      <c r="H709" s="1" t="n"/>
      <c r="I709" s="1" t="n"/>
    </row>
    <row r="710" ht="15.75" customHeight="1" s="311">
      <c r="A710" s="1" t="n"/>
      <c r="B710" s="1" t="n"/>
      <c r="C710" s="1" t="n"/>
      <c r="D710" s="1" t="n"/>
      <c r="E710" s="1" t="n"/>
      <c r="F710" s="1" t="n"/>
      <c r="G710" s="1" t="n"/>
      <c r="H710" s="1" t="n"/>
      <c r="I710" s="1" t="n"/>
    </row>
    <row r="711" ht="15.75" customHeight="1" s="311">
      <c r="A711" s="1" t="n"/>
      <c r="B711" s="1" t="n"/>
      <c r="C711" s="1" t="n"/>
      <c r="D711" s="1" t="n"/>
      <c r="E711" s="1" t="n"/>
      <c r="F711" s="1" t="n"/>
      <c r="G711" s="1" t="n"/>
      <c r="H711" s="1" t="n"/>
      <c r="I711" s="1" t="n"/>
    </row>
    <row r="712" ht="15.75" customHeight="1" s="311">
      <c r="A712" s="1" t="n"/>
      <c r="B712" s="1" t="n"/>
      <c r="C712" s="1" t="n"/>
      <c r="D712" s="1" t="n"/>
      <c r="E712" s="1" t="n"/>
      <c r="F712" s="1" t="n"/>
      <c r="G712" s="1" t="n"/>
      <c r="H712" s="1" t="n"/>
      <c r="I712" s="1" t="n"/>
    </row>
    <row r="713" ht="15.75" customHeight="1" s="311">
      <c r="A713" s="1" t="n"/>
      <c r="B713" s="1" t="n"/>
      <c r="C713" s="1" t="n"/>
      <c r="D713" s="1" t="n"/>
      <c r="E713" s="1" t="n"/>
      <c r="F713" s="1" t="n"/>
      <c r="G713" s="1" t="n"/>
      <c r="H713" s="1" t="n"/>
      <c r="I713" s="1" t="n"/>
    </row>
    <row r="714" ht="15.75" customHeight="1" s="311">
      <c r="A714" s="1" t="n"/>
      <c r="B714" s="1" t="n"/>
      <c r="C714" s="1" t="n"/>
      <c r="D714" s="1" t="n"/>
      <c r="E714" s="1" t="n"/>
      <c r="F714" s="1" t="n"/>
      <c r="G714" s="1" t="n"/>
      <c r="H714" s="1" t="n"/>
      <c r="I714" s="1" t="n"/>
    </row>
    <row r="715" ht="15.75" customHeight="1" s="311">
      <c r="A715" s="1" t="n"/>
      <c r="B715" s="1" t="n"/>
      <c r="C715" s="1" t="n"/>
      <c r="D715" s="1" t="n"/>
      <c r="E715" s="1" t="n"/>
      <c r="F715" s="1" t="n"/>
      <c r="G715" s="1" t="n"/>
      <c r="H715" s="1" t="n"/>
      <c r="I715" s="1" t="n"/>
    </row>
    <row r="716" ht="15.75" customHeight="1" s="311">
      <c r="A716" s="1" t="n"/>
      <c r="B716" s="1" t="n"/>
      <c r="C716" s="1" t="n"/>
      <c r="D716" s="1" t="n"/>
      <c r="E716" s="1" t="n"/>
      <c r="F716" s="1" t="n"/>
      <c r="G716" s="1" t="n"/>
      <c r="H716" s="1" t="n"/>
      <c r="I716" s="1" t="n"/>
    </row>
    <row r="717" ht="15.75" customHeight="1" s="311">
      <c r="A717" s="1" t="n"/>
      <c r="B717" s="1" t="n"/>
      <c r="C717" s="1" t="n"/>
      <c r="D717" s="1" t="n"/>
      <c r="E717" s="1" t="n"/>
      <c r="F717" s="1" t="n"/>
      <c r="G717" s="1" t="n"/>
      <c r="H717" s="1" t="n"/>
      <c r="I717" s="1" t="n"/>
    </row>
    <row r="718" ht="15.75" customHeight="1" s="311">
      <c r="A718" s="1" t="n"/>
      <c r="B718" s="1" t="n"/>
      <c r="C718" s="1" t="n"/>
      <c r="D718" s="1" t="n"/>
      <c r="E718" s="1" t="n"/>
      <c r="F718" s="1" t="n"/>
      <c r="G718" s="1" t="n"/>
      <c r="H718" s="1" t="n"/>
      <c r="I718" s="1" t="n"/>
    </row>
    <row r="719" ht="15.75" customHeight="1" s="311">
      <c r="A719" s="1" t="n"/>
      <c r="B719" s="1" t="n"/>
      <c r="C719" s="1" t="n"/>
      <c r="D719" s="1" t="n"/>
      <c r="E719" s="1" t="n"/>
      <c r="F719" s="1" t="n"/>
      <c r="G719" s="1" t="n"/>
      <c r="H719" s="1" t="n"/>
      <c r="I719" s="1" t="n"/>
    </row>
    <row r="720" ht="15.75" customHeight="1" s="311">
      <c r="A720" s="1" t="n"/>
      <c r="B720" s="1" t="n"/>
      <c r="C720" s="1" t="n"/>
      <c r="D720" s="1" t="n"/>
      <c r="E720" s="1" t="n"/>
      <c r="F720" s="1" t="n"/>
      <c r="G720" s="1" t="n"/>
      <c r="H720" s="1" t="n"/>
      <c r="I720" s="1" t="n"/>
    </row>
    <row r="721" ht="15.75" customHeight="1" s="311">
      <c r="A721" s="1" t="n"/>
      <c r="B721" s="1" t="n"/>
      <c r="C721" s="1" t="n"/>
      <c r="D721" s="1" t="n"/>
      <c r="E721" s="1" t="n"/>
      <c r="F721" s="1" t="n"/>
      <c r="G721" s="1" t="n"/>
      <c r="H721" s="1" t="n"/>
      <c r="I721" s="1" t="n"/>
    </row>
    <row r="722" ht="15.75" customHeight="1" s="311">
      <c r="A722" s="1" t="n"/>
      <c r="B722" s="1" t="n"/>
      <c r="C722" s="1" t="n"/>
      <c r="D722" s="1" t="n"/>
      <c r="E722" s="1" t="n"/>
      <c r="F722" s="1" t="n"/>
      <c r="G722" s="1" t="n"/>
      <c r="H722" s="1" t="n"/>
      <c r="I722" s="1" t="n"/>
    </row>
    <row r="723" ht="15.75" customHeight="1" s="311">
      <c r="A723" s="1" t="n"/>
      <c r="B723" s="1" t="n"/>
      <c r="C723" s="1" t="n"/>
      <c r="D723" s="1" t="n"/>
      <c r="E723" s="1" t="n"/>
      <c r="F723" s="1" t="n"/>
      <c r="G723" s="1" t="n"/>
      <c r="H723" s="1" t="n"/>
      <c r="I723" s="1" t="n"/>
    </row>
    <row r="724" ht="15.75" customHeight="1" s="311">
      <c r="A724" s="1" t="n"/>
      <c r="B724" s="1" t="n"/>
      <c r="C724" s="1" t="n"/>
      <c r="D724" s="1" t="n"/>
      <c r="E724" s="1" t="n"/>
      <c r="F724" s="1" t="n"/>
      <c r="G724" s="1" t="n"/>
      <c r="H724" s="1" t="n"/>
      <c r="I724" s="1" t="n"/>
    </row>
    <row r="725" ht="15.75" customHeight="1" s="311">
      <c r="A725" s="1" t="n"/>
      <c r="B725" s="1" t="n"/>
      <c r="C725" s="1" t="n"/>
      <c r="D725" s="1" t="n"/>
      <c r="E725" s="1" t="n"/>
      <c r="F725" s="1" t="n"/>
      <c r="G725" s="1" t="n"/>
      <c r="H725" s="1" t="n"/>
      <c r="I725" s="1" t="n"/>
    </row>
    <row r="726" ht="15.75" customHeight="1" s="311">
      <c r="A726" s="1" t="n"/>
      <c r="B726" s="1" t="n"/>
      <c r="C726" s="1" t="n"/>
      <c r="D726" s="1" t="n"/>
      <c r="E726" s="1" t="n"/>
      <c r="F726" s="1" t="n"/>
      <c r="G726" s="1" t="n"/>
      <c r="H726" s="1" t="n"/>
      <c r="I726" s="1" t="n"/>
    </row>
    <row r="727" ht="15.75" customHeight="1" s="311">
      <c r="A727" s="1" t="n"/>
      <c r="B727" s="1" t="n"/>
      <c r="C727" s="1" t="n"/>
      <c r="D727" s="1" t="n"/>
      <c r="E727" s="1" t="n"/>
      <c r="F727" s="1" t="n"/>
      <c r="G727" s="1" t="n"/>
      <c r="H727" s="1" t="n"/>
      <c r="I727" s="1" t="n"/>
    </row>
    <row r="728" ht="15.75" customHeight="1" s="311">
      <c r="A728" s="1" t="n"/>
      <c r="B728" s="1" t="n"/>
      <c r="C728" s="1" t="n"/>
      <c r="D728" s="1" t="n"/>
      <c r="E728" s="1" t="n"/>
      <c r="F728" s="1" t="n"/>
      <c r="G728" s="1" t="n"/>
      <c r="H728" s="1" t="n"/>
      <c r="I728" s="1" t="n"/>
    </row>
    <row r="729" ht="15.75" customHeight="1" s="311">
      <c r="A729" s="1" t="n"/>
      <c r="B729" s="1" t="n"/>
      <c r="C729" s="1" t="n"/>
      <c r="D729" s="1" t="n"/>
      <c r="E729" s="1" t="n"/>
      <c r="F729" s="1" t="n"/>
      <c r="G729" s="1" t="n"/>
      <c r="H729" s="1" t="n"/>
      <c r="I729" s="1" t="n"/>
    </row>
    <row r="730" ht="15.75" customHeight="1" s="311">
      <c r="A730" s="1" t="n"/>
      <c r="B730" s="1" t="n"/>
      <c r="C730" s="1" t="n"/>
      <c r="D730" s="1" t="n"/>
      <c r="E730" s="1" t="n"/>
      <c r="F730" s="1" t="n"/>
      <c r="G730" s="1" t="n"/>
      <c r="H730" s="1" t="n"/>
      <c r="I730" s="1" t="n"/>
    </row>
    <row r="731" ht="15.75" customHeight="1" s="311">
      <c r="A731" s="1" t="n"/>
      <c r="B731" s="1" t="n"/>
      <c r="C731" s="1" t="n"/>
      <c r="D731" s="1" t="n"/>
      <c r="E731" s="1" t="n"/>
      <c r="F731" s="1" t="n"/>
      <c r="G731" s="1" t="n"/>
      <c r="H731" s="1" t="n"/>
      <c r="I731" s="1" t="n"/>
    </row>
    <row r="732" ht="15.75" customHeight="1" s="311">
      <c r="A732" s="1" t="n"/>
      <c r="B732" s="1" t="n"/>
      <c r="C732" s="1" t="n"/>
      <c r="D732" s="1" t="n"/>
      <c r="E732" s="1" t="n"/>
      <c r="F732" s="1" t="n"/>
      <c r="G732" s="1" t="n"/>
      <c r="H732" s="1" t="n"/>
      <c r="I732" s="1" t="n"/>
    </row>
    <row r="733" ht="15.75" customHeight="1" s="311">
      <c r="A733" s="1" t="n"/>
      <c r="B733" s="1" t="n"/>
      <c r="C733" s="1" t="n"/>
      <c r="D733" s="1" t="n"/>
      <c r="E733" s="1" t="n"/>
      <c r="F733" s="1" t="n"/>
      <c r="G733" s="1" t="n"/>
      <c r="H733" s="1" t="n"/>
      <c r="I733" s="1" t="n"/>
    </row>
    <row r="734" ht="15.75" customHeight="1" s="311">
      <c r="A734" s="1" t="n"/>
      <c r="B734" s="1" t="n"/>
      <c r="C734" s="1" t="n"/>
      <c r="D734" s="1" t="n"/>
      <c r="E734" s="1" t="n"/>
      <c r="F734" s="1" t="n"/>
      <c r="G734" s="1" t="n"/>
      <c r="H734" s="1" t="n"/>
      <c r="I734" s="1" t="n"/>
    </row>
    <row r="735" ht="15.75" customHeight="1" s="311">
      <c r="A735" s="1" t="n"/>
      <c r="B735" s="1" t="n"/>
      <c r="C735" s="1" t="n"/>
      <c r="D735" s="1" t="n"/>
      <c r="E735" s="1" t="n"/>
      <c r="F735" s="1" t="n"/>
      <c r="G735" s="1" t="n"/>
      <c r="H735" s="1" t="n"/>
      <c r="I735" s="1" t="n"/>
    </row>
    <row r="736" ht="15.75" customHeight="1" s="311">
      <c r="A736" s="1" t="n"/>
      <c r="B736" s="1" t="n"/>
      <c r="C736" s="1" t="n"/>
      <c r="D736" s="1" t="n"/>
      <c r="E736" s="1" t="n"/>
      <c r="F736" s="1" t="n"/>
      <c r="G736" s="1" t="n"/>
      <c r="H736" s="1" t="n"/>
      <c r="I736" s="1" t="n"/>
    </row>
    <row r="737" ht="15.75" customHeight="1" s="311">
      <c r="A737" s="1" t="n"/>
      <c r="B737" s="1" t="n"/>
      <c r="C737" s="1" t="n"/>
      <c r="D737" s="1" t="n"/>
      <c r="E737" s="1" t="n"/>
      <c r="F737" s="1" t="n"/>
      <c r="G737" s="1" t="n"/>
      <c r="H737" s="1" t="n"/>
      <c r="I737" s="1" t="n"/>
    </row>
    <row r="738" ht="15.75" customHeight="1" s="311">
      <c r="A738" s="1" t="n"/>
      <c r="B738" s="1" t="n"/>
      <c r="C738" s="1" t="n"/>
      <c r="D738" s="1" t="n"/>
      <c r="E738" s="1" t="n"/>
      <c r="F738" s="1" t="n"/>
      <c r="G738" s="1" t="n"/>
      <c r="H738" s="1" t="n"/>
      <c r="I738" s="1" t="n"/>
    </row>
    <row r="739" ht="15.75" customHeight="1" s="311">
      <c r="A739" s="1" t="n"/>
      <c r="B739" s="1" t="n"/>
      <c r="C739" s="1" t="n"/>
      <c r="D739" s="1" t="n"/>
      <c r="E739" s="1" t="n"/>
      <c r="F739" s="1" t="n"/>
      <c r="G739" s="1" t="n"/>
      <c r="H739" s="1" t="n"/>
      <c r="I739" s="1" t="n"/>
    </row>
    <row r="740" ht="15.75" customHeight="1" s="311">
      <c r="A740" s="1" t="n"/>
      <c r="B740" s="1" t="n"/>
      <c r="C740" s="1" t="n"/>
      <c r="D740" s="1" t="n"/>
      <c r="E740" s="1" t="n"/>
      <c r="F740" s="1" t="n"/>
      <c r="G740" s="1" t="n"/>
      <c r="H740" s="1" t="n"/>
      <c r="I740" s="1" t="n"/>
    </row>
    <row r="741" ht="15.75" customHeight="1" s="311">
      <c r="A741" s="1" t="n"/>
      <c r="B741" s="1" t="n"/>
      <c r="C741" s="1" t="n"/>
      <c r="D741" s="1" t="n"/>
      <c r="E741" s="1" t="n"/>
      <c r="F741" s="1" t="n"/>
      <c r="G741" s="1" t="n"/>
      <c r="H741" s="1" t="n"/>
      <c r="I741" s="1" t="n"/>
    </row>
    <row r="742" ht="15.75" customHeight="1" s="311">
      <c r="A742" s="1" t="n"/>
      <c r="B742" s="1" t="n"/>
      <c r="C742" s="1" t="n"/>
      <c r="D742" s="1" t="n"/>
      <c r="E742" s="1" t="n"/>
      <c r="F742" s="1" t="n"/>
      <c r="G742" s="1" t="n"/>
      <c r="H742" s="1" t="n"/>
      <c r="I742" s="1" t="n"/>
    </row>
    <row r="743" ht="15.75" customHeight="1" s="311">
      <c r="A743" s="1" t="n"/>
      <c r="B743" s="1" t="n"/>
      <c r="C743" s="1" t="n"/>
      <c r="D743" s="1" t="n"/>
      <c r="E743" s="1" t="n"/>
      <c r="F743" s="1" t="n"/>
      <c r="G743" s="1" t="n"/>
      <c r="H743" s="1" t="n"/>
      <c r="I743" s="1" t="n"/>
    </row>
    <row r="744" ht="15.75" customHeight="1" s="311">
      <c r="A744" s="1" t="n"/>
      <c r="B744" s="1" t="n"/>
      <c r="C744" s="1" t="n"/>
      <c r="D744" s="1" t="n"/>
      <c r="E744" s="1" t="n"/>
      <c r="F744" s="1" t="n"/>
      <c r="G744" s="1" t="n"/>
      <c r="H744" s="1" t="n"/>
      <c r="I744" s="1" t="n"/>
    </row>
    <row r="745" ht="15.75" customHeight="1" s="311">
      <c r="A745" s="1" t="n"/>
      <c r="B745" s="1" t="n"/>
      <c r="C745" s="1" t="n"/>
      <c r="D745" s="1" t="n"/>
      <c r="E745" s="1" t="n"/>
      <c r="F745" s="1" t="n"/>
      <c r="G745" s="1" t="n"/>
      <c r="H745" s="1" t="n"/>
      <c r="I745" s="1" t="n"/>
    </row>
    <row r="746" ht="15.75" customHeight="1" s="311">
      <c r="A746" s="1" t="n"/>
      <c r="B746" s="1" t="n"/>
      <c r="C746" s="1" t="n"/>
      <c r="D746" s="1" t="n"/>
      <c r="E746" s="1" t="n"/>
      <c r="F746" s="1" t="n"/>
      <c r="G746" s="1" t="n"/>
      <c r="H746" s="1" t="n"/>
      <c r="I746" s="1" t="n"/>
    </row>
    <row r="747" ht="15.75" customHeight="1" s="311">
      <c r="A747" s="1" t="n"/>
      <c r="B747" s="1" t="n"/>
      <c r="C747" s="1" t="n"/>
      <c r="D747" s="1" t="n"/>
      <c r="E747" s="1" t="n"/>
      <c r="F747" s="1" t="n"/>
      <c r="G747" s="1" t="n"/>
      <c r="H747" s="1" t="n"/>
      <c r="I747" s="1" t="n"/>
    </row>
    <row r="748" ht="15.75" customHeight="1" s="311">
      <c r="A748" s="1" t="n"/>
      <c r="B748" s="1" t="n"/>
      <c r="C748" s="1" t="n"/>
      <c r="D748" s="1" t="n"/>
      <c r="E748" s="1" t="n"/>
      <c r="F748" s="1" t="n"/>
      <c r="G748" s="1" t="n"/>
      <c r="H748" s="1" t="n"/>
      <c r="I748" s="1" t="n"/>
    </row>
    <row r="749" ht="15.75" customHeight="1" s="311">
      <c r="A749" s="1" t="n"/>
      <c r="B749" s="1" t="n"/>
      <c r="C749" s="1" t="n"/>
      <c r="D749" s="1" t="n"/>
      <c r="E749" s="1" t="n"/>
      <c r="F749" s="1" t="n"/>
      <c r="G749" s="1" t="n"/>
      <c r="H749" s="1" t="n"/>
      <c r="I749" s="1" t="n"/>
    </row>
    <row r="750" ht="15.75" customHeight="1" s="311">
      <c r="A750" s="1" t="n"/>
      <c r="B750" s="1" t="n"/>
      <c r="C750" s="1" t="n"/>
      <c r="D750" s="1" t="n"/>
      <c r="E750" s="1" t="n"/>
      <c r="F750" s="1" t="n"/>
      <c r="G750" s="1" t="n"/>
      <c r="H750" s="1" t="n"/>
      <c r="I750" s="1" t="n"/>
    </row>
    <row r="751" ht="15.75" customHeight="1" s="311">
      <c r="A751" s="1" t="n"/>
      <c r="B751" s="1" t="n"/>
      <c r="C751" s="1" t="n"/>
      <c r="D751" s="1" t="n"/>
      <c r="E751" s="1" t="n"/>
      <c r="F751" s="1" t="n"/>
      <c r="G751" s="1" t="n"/>
      <c r="H751" s="1" t="n"/>
      <c r="I751" s="1" t="n"/>
    </row>
    <row r="752" ht="15.75" customHeight="1" s="311">
      <c r="A752" s="1" t="n"/>
      <c r="B752" s="1" t="n"/>
      <c r="C752" s="1" t="n"/>
      <c r="D752" s="1" t="n"/>
      <c r="E752" s="1" t="n"/>
      <c r="F752" s="1" t="n"/>
      <c r="G752" s="1" t="n"/>
      <c r="H752" s="1" t="n"/>
      <c r="I752" s="1" t="n"/>
    </row>
    <row r="753" ht="15.75" customHeight="1" s="311">
      <c r="A753" s="1" t="n"/>
      <c r="B753" s="1" t="n"/>
      <c r="C753" s="1" t="n"/>
      <c r="D753" s="1" t="n"/>
      <c r="E753" s="1" t="n"/>
      <c r="F753" s="1" t="n"/>
      <c r="G753" s="1" t="n"/>
      <c r="H753" s="1" t="n"/>
      <c r="I753" s="1" t="n"/>
    </row>
    <row r="754" ht="15.75" customHeight="1" s="311">
      <c r="A754" s="1" t="n"/>
      <c r="B754" s="1" t="n"/>
      <c r="C754" s="1" t="n"/>
      <c r="D754" s="1" t="n"/>
      <c r="E754" s="1" t="n"/>
      <c r="F754" s="1" t="n"/>
      <c r="G754" s="1" t="n"/>
      <c r="H754" s="1" t="n"/>
      <c r="I754" s="1" t="n"/>
    </row>
    <row r="755" ht="15.75" customHeight="1" s="311">
      <c r="A755" s="1" t="n"/>
      <c r="B755" s="1" t="n"/>
      <c r="C755" s="1" t="n"/>
      <c r="D755" s="1" t="n"/>
      <c r="E755" s="1" t="n"/>
      <c r="F755" s="1" t="n"/>
      <c r="G755" s="1" t="n"/>
      <c r="H755" s="1" t="n"/>
      <c r="I755" s="1" t="n"/>
    </row>
    <row r="756" ht="15.75" customHeight="1" s="311">
      <c r="A756" s="1" t="n"/>
      <c r="B756" s="1" t="n"/>
      <c r="C756" s="1" t="n"/>
      <c r="D756" s="1" t="n"/>
      <c r="E756" s="1" t="n"/>
      <c r="F756" s="1" t="n"/>
      <c r="G756" s="1" t="n"/>
      <c r="H756" s="1" t="n"/>
      <c r="I756" s="1" t="n"/>
    </row>
    <row r="757" ht="15.75" customHeight="1" s="311">
      <c r="A757" s="1" t="n"/>
      <c r="B757" s="1" t="n"/>
      <c r="C757" s="1" t="n"/>
      <c r="D757" s="1" t="n"/>
      <c r="E757" s="1" t="n"/>
      <c r="F757" s="1" t="n"/>
      <c r="G757" s="1" t="n"/>
      <c r="H757" s="1" t="n"/>
      <c r="I757" s="1" t="n"/>
    </row>
    <row r="758" ht="15.75" customHeight="1" s="311">
      <c r="A758" s="1" t="n"/>
      <c r="B758" s="1" t="n"/>
      <c r="C758" s="1" t="n"/>
      <c r="D758" s="1" t="n"/>
      <c r="E758" s="1" t="n"/>
      <c r="F758" s="1" t="n"/>
      <c r="G758" s="1" t="n"/>
      <c r="H758" s="1" t="n"/>
      <c r="I758" s="1" t="n"/>
    </row>
    <row r="759" ht="15.75" customHeight="1" s="311">
      <c r="A759" s="1" t="n"/>
      <c r="B759" s="1" t="n"/>
      <c r="C759" s="1" t="n"/>
      <c r="D759" s="1" t="n"/>
      <c r="E759" s="1" t="n"/>
      <c r="F759" s="1" t="n"/>
      <c r="G759" s="1" t="n"/>
      <c r="H759" s="1" t="n"/>
      <c r="I759" s="1" t="n"/>
    </row>
    <row r="760" ht="15.75" customHeight="1" s="311">
      <c r="A760" s="1" t="n"/>
      <c r="B760" s="1" t="n"/>
      <c r="C760" s="1" t="n"/>
      <c r="D760" s="1" t="n"/>
      <c r="E760" s="1" t="n"/>
      <c r="F760" s="1" t="n"/>
      <c r="G760" s="1" t="n"/>
      <c r="H760" s="1" t="n"/>
      <c r="I760" s="1" t="n"/>
    </row>
    <row r="761" ht="15.75" customHeight="1" s="311">
      <c r="A761" s="1" t="n"/>
      <c r="B761" s="1" t="n"/>
      <c r="C761" s="1" t="n"/>
      <c r="D761" s="1" t="n"/>
      <c r="E761" s="1" t="n"/>
      <c r="F761" s="1" t="n"/>
      <c r="G761" s="1" t="n"/>
      <c r="H761" s="1" t="n"/>
      <c r="I761" s="1" t="n"/>
    </row>
    <row r="762" ht="15.75" customHeight="1" s="311">
      <c r="A762" s="1" t="n"/>
      <c r="B762" s="1" t="n"/>
      <c r="C762" s="1" t="n"/>
      <c r="D762" s="1" t="n"/>
      <c r="E762" s="1" t="n"/>
      <c r="F762" s="1" t="n"/>
      <c r="G762" s="1" t="n"/>
      <c r="H762" s="1" t="n"/>
      <c r="I762" s="1" t="n"/>
    </row>
    <row r="763" ht="15.75" customHeight="1" s="311">
      <c r="A763" s="1" t="n"/>
      <c r="B763" s="1" t="n"/>
      <c r="C763" s="1" t="n"/>
      <c r="D763" s="1" t="n"/>
      <c r="E763" s="1" t="n"/>
      <c r="F763" s="1" t="n"/>
      <c r="G763" s="1" t="n"/>
      <c r="H763" s="1" t="n"/>
      <c r="I763" s="1" t="n"/>
    </row>
    <row r="764" ht="15.75" customHeight="1" s="311">
      <c r="A764" s="1" t="n"/>
      <c r="B764" s="1" t="n"/>
      <c r="C764" s="1" t="n"/>
      <c r="D764" s="1" t="n"/>
      <c r="E764" s="1" t="n"/>
      <c r="F764" s="1" t="n"/>
      <c r="G764" s="1" t="n"/>
      <c r="H764" s="1" t="n"/>
      <c r="I764" s="1" t="n"/>
    </row>
    <row r="765" ht="15.75" customHeight="1" s="311">
      <c r="A765" s="1" t="n"/>
      <c r="B765" s="1" t="n"/>
      <c r="C765" s="1" t="n"/>
      <c r="D765" s="1" t="n"/>
      <c r="E765" s="1" t="n"/>
      <c r="F765" s="1" t="n"/>
      <c r="G765" s="1" t="n"/>
      <c r="H765" s="1" t="n"/>
      <c r="I765" s="1" t="n"/>
    </row>
    <row r="766" ht="15.75" customHeight="1" s="311">
      <c r="A766" s="1" t="n"/>
      <c r="B766" s="1" t="n"/>
      <c r="C766" s="1" t="n"/>
      <c r="D766" s="1" t="n"/>
      <c r="E766" s="1" t="n"/>
      <c r="F766" s="1" t="n"/>
      <c r="G766" s="1" t="n"/>
      <c r="H766" s="1" t="n"/>
      <c r="I766" s="1" t="n"/>
    </row>
    <row r="767" ht="15.75" customHeight="1" s="311">
      <c r="A767" s="1" t="n"/>
      <c r="B767" s="1" t="n"/>
      <c r="C767" s="1" t="n"/>
      <c r="D767" s="1" t="n"/>
      <c r="E767" s="1" t="n"/>
      <c r="F767" s="1" t="n"/>
      <c r="G767" s="1" t="n"/>
      <c r="H767" s="1" t="n"/>
      <c r="I767" s="1" t="n"/>
    </row>
    <row r="768" ht="15.75" customHeight="1" s="311">
      <c r="A768" s="1" t="n"/>
      <c r="B768" s="1" t="n"/>
      <c r="C768" s="1" t="n"/>
      <c r="D768" s="1" t="n"/>
      <c r="E768" s="1" t="n"/>
      <c r="F768" s="1" t="n"/>
      <c r="G768" s="1" t="n"/>
      <c r="H768" s="1" t="n"/>
      <c r="I768" s="1" t="n"/>
    </row>
    <row r="769" ht="15.75" customHeight="1" s="311">
      <c r="A769" s="1" t="n"/>
      <c r="B769" s="1" t="n"/>
      <c r="C769" s="1" t="n"/>
      <c r="D769" s="1" t="n"/>
      <c r="E769" s="1" t="n"/>
      <c r="F769" s="1" t="n"/>
      <c r="G769" s="1" t="n"/>
      <c r="H769" s="1" t="n"/>
      <c r="I769" s="1" t="n"/>
    </row>
    <row r="770" ht="15.75" customHeight="1" s="311">
      <c r="A770" s="1" t="n"/>
      <c r="B770" s="1" t="n"/>
      <c r="C770" s="1" t="n"/>
      <c r="D770" s="1" t="n"/>
      <c r="E770" s="1" t="n"/>
      <c r="F770" s="1" t="n"/>
      <c r="G770" s="1" t="n"/>
      <c r="H770" s="1" t="n"/>
      <c r="I770" s="1" t="n"/>
    </row>
    <row r="771" ht="15.75" customHeight="1" s="311">
      <c r="A771" s="1" t="n"/>
      <c r="B771" s="1" t="n"/>
      <c r="C771" s="1" t="n"/>
      <c r="D771" s="1" t="n"/>
      <c r="E771" s="1" t="n"/>
      <c r="F771" s="1" t="n"/>
      <c r="G771" s="1" t="n"/>
      <c r="H771" s="1" t="n"/>
      <c r="I771" s="1" t="n"/>
    </row>
    <row r="772" ht="15.75" customHeight="1" s="311">
      <c r="A772" s="1" t="n"/>
      <c r="B772" s="1" t="n"/>
      <c r="C772" s="1" t="n"/>
      <c r="D772" s="1" t="n"/>
      <c r="E772" s="1" t="n"/>
      <c r="F772" s="1" t="n"/>
      <c r="G772" s="1" t="n"/>
      <c r="H772" s="1" t="n"/>
      <c r="I772" s="1" t="n"/>
    </row>
    <row r="773" ht="15.75" customHeight="1" s="311">
      <c r="A773" s="1" t="n"/>
      <c r="B773" s="1" t="n"/>
      <c r="C773" s="1" t="n"/>
      <c r="D773" s="1" t="n"/>
      <c r="E773" s="1" t="n"/>
      <c r="F773" s="1" t="n"/>
      <c r="G773" s="1" t="n"/>
      <c r="H773" s="1" t="n"/>
      <c r="I773" s="1" t="n"/>
    </row>
    <row r="774" ht="15.75" customHeight="1" s="311">
      <c r="A774" s="1" t="n"/>
      <c r="B774" s="1" t="n"/>
      <c r="C774" s="1" t="n"/>
      <c r="D774" s="1" t="n"/>
      <c r="E774" s="1" t="n"/>
      <c r="F774" s="1" t="n"/>
      <c r="G774" s="1" t="n"/>
      <c r="H774" s="1" t="n"/>
      <c r="I774" s="1" t="n"/>
    </row>
    <row r="775" ht="15.75" customHeight="1" s="311">
      <c r="A775" s="1" t="n"/>
      <c r="B775" s="1" t="n"/>
      <c r="C775" s="1" t="n"/>
      <c r="D775" s="1" t="n"/>
      <c r="E775" s="1" t="n"/>
      <c r="F775" s="1" t="n"/>
      <c r="G775" s="1" t="n"/>
      <c r="H775" s="1" t="n"/>
      <c r="I775" s="1" t="n"/>
    </row>
    <row r="776" ht="15.75" customHeight="1" s="311">
      <c r="A776" s="1" t="n"/>
      <c r="B776" s="1" t="n"/>
      <c r="C776" s="1" t="n"/>
      <c r="D776" s="1" t="n"/>
      <c r="E776" s="1" t="n"/>
      <c r="F776" s="1" t="n"/>
      <c r="G776" s="1" t="n"/>
      <c r="H776" s="1" t="n"/>
      <c r="I776" s="1" t="n"/>
    </row>
    <row r="777" ht="15.75" customHeight="1" s="311">
      <c r="A777" s="1" t="n"/>
      <c r="B777" s="1" t="n"/>
      <c r="C777" s="1" t="n"/>
      <c r="D777" s="1" t="n"/>
      <c r="E777" s="1" t="n"/>
      <c r="F777" s="1" t="n"/>
      <c r="G777" s="1" t="n"/>
      <c r="H777" s="1" t="n"/>
      <c r="I777" s="1" t="n"/>
    </row>
    <row r="778" ht="15.75" customHeight="1" s="311">
      <c r="A778" s="1" t="n"/>
      <c r="B778" s="1" t="n"/>
      <c r="C778" s="1" t="n"/>
      <c r="D778" s="1" t="n"/>
      <c r="E778" s="1" t="n"/>
      <c r="F778" s="1" t="n"/>
      <c r="G778" s="1" t="n"/>
      <c r="H778" s="1" t="n"/>
      <c r="I778" s="1" t="n"/>
    </row>
    <row r="779" ht="15.75" customHeight="1" s="311">
      <c r="A779" s="1" t="n"/>
      <c r="B779" s="1" t="n"/>
      <c r="C779" s="1" t="n"/>
      <c r="D779" s="1" t="n"/>
      <c r="E779" s="1" t="n"/>
      <c r="F779" s="1" t="n"/>
      <c r="G779" s="1" t="n"/>
      <c r="H779" s="1" t="n"/>
      <c r="I779" s="1" t="n"/>
    </row>
    <row r="780" ht="15.75" customHeight="1" s="311">
      <c r="A780" s="1" t="n"/>
      <c r="B780" s="1" t="n"/>
      <c r="C780" s="1" t="n"/>
      <c r="D780" s="1" t="n"/>
      <c r="E780" s="1" t="n"/>
      <c r="F780" s="1" t="n"/>
      <c r="G780" s="1" t="n"/>
      <c r="H780" s="1" t="n"/>
      <c r="I780" s="1" t="n"/>
    </row>
    <row r="781" ht="15.75" customHeight="1" s="311">
      <c r="A781" s="1" t="n"/>
      <c r="B781" s="1" t="n"/>
      <c r="C781" s="1" t="n"/>
      <c r="D781" s="1" t="n"/>
      <c r="E781" s="1" t="n"/>
      <c r="F781" s="1" t="n"/>
      <c r="G781" s="1" t="n"/>
      <c r="H781" s="1" t="n"/>
      <c r="I781" s="1" t="n"/>
    </row>
    <row r="782" ht="15.75" customHeight="1" s="311">
      <c r="A782" s="1" t="n"/>
      <c r="B782" s="1" t="n"/>
      <c r="C782" s="1" t="n"/>
      <c r="D782" s="1" t="n"/>
      <c r="E782" s="1" t="n"/>
      <c r="F782" s="1" t="n"/>
      <c r="G782" s="1" t="n"/>
      <c r="H782" s="1" t="n"/>
      <c r="I782" s="1" t="n"/>
    </row>
    <row r="783" ht="15.75" customHeight="1" s="311">
      <c r="A783" s="1" t="n"/>
      <c r="B783" s="1" t="n"/>
      <c r="C783" s="1" t="n"/>
      <c r="D783" s="1" t="n"/>
      <c r="E783" s="1" t="n"/>
      <c r="F783" s="1" t="n"/>
      <c r="G783" s="1" t="n"/>
      <c r="H783" s="1" t="n"/>
      <c r="I783" s="1" t="n"/>
    </row>
    <row r="784" ht="15.75" customHeight="1" s="311">
      <c r="A784" s="1" t="n"/>
      <c r="B784" s="1" t="n"/>
      <c r="C784" s="1" t="n"/>
      <c r="D784" s="1" t="n"/>
      <c r="E784" s="1" t="n"/>
      <c r="F784" s="1" t="n"/>
      <c r="G784" s="1" t="n"/>
      <c r="H784" s="1" t="n"/>
      <c r="I784" s="1" t="n"/>
    </row>
    <row r="785" ht="15.75" customHeight="1" s="311">
      <c r="A785" s="1" t="n"/>
      <c r="B785" s="1" t="n"/>
      <c r="C785" s="1" t="n"/>
      <c r="D785" s="1" t="n"/>
      <c r="E785" s="1" t="n"/>
      <c r="F785" s="1" t="n"/>
      <c r="G785" s="1" t="n"/>
      <c r="H785" s="1" t="n"/>
      <c r="I785" s="1" t="n"/>
    </row>
    <row r="786" ht="15.75" customHeight="1" s="311">
      <c r="A786" s="1" t="n"/>
      <c r="B786" s="1" t="n"/>
      <c r="C786" s="1" t="n"/>
      <c r="D786" s="1" t="n"/>
      <c r="E786" s="1" t="n"/>
      <c r="F786" s="1" t="n"/>
      <c r="G786" s="1" t="n"/>
      <c r="H786" s="1" t="n"/>
      <c r="I786" s="1" t="n"/>
    </row>
    <row r="787" ht="15.75" customHeight="1" s="311">
      <c r="A787" s="1" t="n"/>
      <c r="B787" s="1" t="n"/>
      <c r="C787" s="1" t="n"/>
      <c r="D787" s="1" t="n"/>
      <c r="E787" s="1" t="n"/>
      <c r="F787" s="1" t="n"/>
      <c r="G787" s="1" t="n"/>
      <c r="H787" s="1" t="n"/>
      <c r="I787" s="1" t="n"/>
    </row>
    <row r="788" ht="15.75" customHeight="1" s="311">
      <c r="A788" s="1" t="n"/>
      <c r="B788" s="1" t="n"/>
      <c r="C788" s="1" t="n"/>
      <c r="D788" s="1" t="n"/>
      <c r="E788" s="1" t="n"/>
      <c r="F788" s="1" t="n"/>
      <c r="G788" s="1" t="n"/>
      <c r="H788" s="1" t="n"/>
      <c r="I788" s="1" t="n"/>
    </row>
    <row r="789" ht="15.75" customHeight="1" s="311">
      <c r="A789" s="1" t="n"/>
      <c r="B789" s="1" t="n"/>
      <c r="C789" s="1" t="n"/>
      <c r="D789" s="1" t="n"/>
      <c r="E789" s="1" t="n"/>
      <c r="F789" s="1" t="n"/>
      <c r="G789" s="1" t="n"/>
      <c r="H789" s="1" t="n"/>
      <c r="I789" s="1" t="n"/>
    </row>
    <row r="790" ht="15.75" customHeight="1" s="311">
      <c r="A790" s="1" t="n"/>
      <c r="B790" s="1" t="n"/>
      <c r="C790" s="1" t="n"/>
      <c r="D790" s="1" t="n"/>
      <c r="E790" s="1" t="n"/>
      <c r="F790" s="1" t="n"/>
      <c r="G790" s="1" t="n"/>
      <c r="H790" s="1" t="n"/>
      <c r="I790" s="1" t="n"/>
    </row>
    <row r="791" ht="15.75" customHeight="1" s="311">
      <c r="A791" s="1" t="n"/>
      <c r="B791" s="1" t="n"/>
      <c r="C791" s="1" t="n"/>
      <c r="D791" s="1" t="n"/>
      <c r="E791" s="1" t="n"/>
      <c r="F791" s="1" t="n"/>
      <c r="G791" s="1" t="n"/>
      <c r="H791" s="1" t="n"/>
      <c r="I791" s="1" t="n"/>
    </row>
    <row r="792" ht="15.75" customHeight="1" s="311">
      <c r="A792" s="1" t="n"/>
      <c r="B792" s="1" t="n"/>
      <c r="C792" s="1" t="n"/>
      <c r="D792" s="1" t="n"/>
      <c r="E792" s="1" t="n"/>
      <c r="F792" s="1" t="n"/>
      <c r="G792" s="1" t="n"/>
      <c r="H792" s="1" t="n"/>
      <c r="I792" s="1" t="n"/>
    </row>
    <row r="793" ht="15.75" customHeight="1" s="311">
      <c r="A793" s="1" t="n"/>
      <c r="B793" s="1" t="n"/>
      <c r="C793" s="1" t="n"/>
      <c r="D793" s="1" t="n"/>
      <c r="E793" s="1" t="n"/>
      <c r="F793" s="1" t="n"/>
      <c r="G793" s="1" t="n"/>
      <c r="H793" s="1" t="n"/>
      <c r="I793" s="1" t="n"/>
    </row>
    <row r="794" ht="15.75" customHeight="1" s="311">
      <c r="A794" s="1" t="n"/>
      <c r="B794" s="1" t="n"/>
      <c r="C794" s="1" t="n"/>
      <c r="D794" s="1" t="n"/>
      <c r="E794" s="1" t="n"/>
      <c r="F794" s="1" t="n"/>
      <c r="G794" s="1" t="n"/>
      <c r="H794" s="1" t="n"/>
      <c r="I794" s="1" t="n"/>
    </row>
    <row r="795" ht="15.75" customHeight="1" s="311">
      <c r="A795" s="1" t="n"/>
      <c r="B795" s="1" t="n"/>
      <c r="C795" s="1" t="n"/>
      <c r="D795" s="1" t="n"/>
      <c r="E795" s="1" t="n"/>
      <c r="F795" s="1" t="n"/>
      <c r="G795" s="1" t="n"/>
      <c r="H795" s="1" t="n"/>
      <c r="I795" s="1" t="n"/>
    </row>
    <row r="796" ht="15.75" customHeight="1" s="311">
      <c r="A796" s="1" t="n"/>
      <c r="B796" s="1" t="n"/>
      <c r="C796" s="1" t="n"/>
      <c r="D796" s="1" t="n"/>
      <c r="E796" s="1" t="n"/>
      <c r="F796" s="1" t="n"/>
      <c r="G796" s="1" t="n"/>
      <c r="H796" s="1" t="n"/>
      <c r="I796" s="1" t="n"/>
    </row>
    <row r="797" ht="15.75" customHeight="1" s="311">
      <c r="A797" s="1" t="n"/>
      <c r="B797" s="1" t="n"/>
      <c r="C797" s="1" t="n"/>
      <c r="D797" s="1" t="n"/>
      <c r="E797" s="1" t="n"/>
      <c r="F797" s="1" t="n"/>
      <c r="G797" s="1" t="n"/>
      <c r="H797" s="1" t="n"/>
      <c r="I797" s="1" t="n"/>
    </row>
    <row r="798" ht="15.75" customHeight="1" s="311">
      <c r="A798" s="1" t="n"/>
      <c r="B798" s="1" t="n"/>
      <c r="C798" s="1" t="n"/>
      <c r="D798" s="1" t="n"/>
      <c r="E798" s="1" t="n"/>
      <c r="F798" s="1" t="n"/>
      <c r="G798" s="1" t="n"/>
      <c r="H798" s="1" t="n"/>
      <c r="I798" s="1" t="n"/>
    </row>
    <row r="799" ht="15.75" customHeight="1" s="311">
      <c r="A799" s="1" t="n"/>
      <c r="B799" s="1" t="n"/>
      <c r="C799" s="1" t="n"/>
      <c r="D799" s="1" t="n"/>
      <c r="E799" s="1" t="n"/>
      <c r="F799" s="1" t="n"/>
      <c r="G799" s="1" t="n"/>
      <c r="H799" s="1" t="n"/>
      <c r="I799" s="1" t="n"/>
    </row>
    <row r="800" ht="15.75" customHeight="1" s="311">
      <c r="A800" s="1" t="n"/>
      <c r="B800" s="1" t="n"/>
      <c r="C800" s="1" t="n"/>
      <c r="D800" s="1" t="n"/>
      <c r="E800" s="1" t="n"/>
      <c r="F800" s="1" t="n"/>
      <c r="G800" s="1" t="n"/>
      <c r="H800" s="1" t="n"/>
      <c r="I800" s="1" t="n"/>
    </row>
    <row r="801" ht="15.75" customHeight="1" s="311">
      <c r="A801" s="1" t="n"/>
      <c r="B801" s="1" t="n"/>
      <c r="C801" s="1" t="n"/>
      <c r="D801" s="1" t="n"/>
      <c r="E801" s="1" t="n"/>
      <c r="F801" s="1" t="n"/>
      <c r="G801" s="1" t="n"/>
      <c r="H801" s="1" t="n"/>
      <c r="I801" s="1" t="n"/>
    </row>
    <row r="802" ht="15.75" customHeight="1" s="311">
      <c r="A802" s="1" t="n"/>
      <c r="B802" s="1" t="n"/>
      <c r="C802" s="1" t="n"/>
      <c r="D802" s="1" t="n"/>
      <c r="E802" s="1" t="n"/>
      <c r="F802" s="1" t="n"/>
      <c r="G802" s="1" t="n"/>
      <c r="H802" s="1" t="n"/>
      <c r="I802" s="1" t="n"/>
    </row>
    <row r="803" ht="15.75" customHeight="1" s="311">
      <c r="A803" s="1" t="n"/>
      <c r="B803" s="1" t="n"/>
      <c r="C803" s="1" t="n"/>
      <c r="D803" s="1" t="n"/>
      <c r="E803" s="1" t="n"/>
      <c r="F803" s="1" t="n"/>
      <c r="G803" s="1" t="n"/>
      <c r="H803" s="1" t="n"/>
      <c r="I803" s="1" t="n"/>
    </row>
    <row r="804" ht="15.75" customHeight="1" s="311">
      <c r="A804" s="1" t="n"/>
      <c r="B804" s="1" t="n"/>
      <c r="C804" s="1" t="n"/>
      <c r="D804" s="1" t="n"/>
      <c r="E804" s="1" t="n"/>
      <c r="F804" s="1" t="n"/>
      <c r="G804" s="1" t="n"/>
      <c r="H804" s="1" t="n"/>
      <c r="I804" s="1" t="n"/>
    </row>
    <row r="805" ht="15.75" customHeight="1" s="311">
      <c r="A805" s="1" t="n"/>
      <c r="B805" s="1" t="n"/>
      <c r="C805" s="1" t="n"/>
      <c r="D805" s="1" t="n"/>
      <c r="E805" s="1" t="n"/>
      <c r="F805" s="1" t="n"/>
      <c r="G805" s="1" t="n"/>
      <c r="H805" s="1" t="n"/>
      <c r="I805" s="1" t="n"/>
    </row>
    <row r="806" ht="15.75" customHeight="1" s="311">
      <c r="A806" s="1" t="n"/>
      <c r="B806" s="1" t="n"/>
      <c r="C806" s="1" t="n"/>
      <c r="D806" s="1" t="n"/>
      <c r="E806" s="1" t="n"/>
      <c r="F806" s="1" t="n"/>
      <c r="G806" s="1" t="n"/>
      <c r="H806" s="1" t="n"/>
      <c r="I806" s="1" t="n"/>
    </row>
    <row r="807" ht="15.75" customHeight="1" s="311">
      <c r="A807" s="1" t="n"/>
      <c r="B807" s="1" t="n"/>
      <c r="C807" s="1" t="n"/>
      <c r="D807" s="1" t="n"/>
      <c r="E807" s="1" t="n"/>
      <c r="F807" s="1" t="n"/>
      <c r="G807" s="1" t="n"/>
      <c r="H807" s="1" t="n"/>
      <c r="I807" s="1" t="n"/>
    </row>
    <row r="808" ht="15.75" customHeight="1" s="311">
      <c r="A808" s="1" t="n"/>
      <c r="B808" s="1" t="n"/>
      <c r="C808" s="1" t="n"/>
      <c r="D808" s="1" t="n"/>
      <c r="E808" s="1" t="n"/>
      <c r="F808" s="1" t="n"/>
      <c r="G808" s="1" t="n"/>
      <c r="H808" s="1" t="n"/>
      <c r="I808" s="1" t="n"/>
    </row>
    <row r="809" ht="15.75" customHeight="1" s="311">
      <c r="A809" s="1" t="n"/>
      <c r="B809" s="1" t="n"/>
      <c r="C809" s="1" t="n"/>
      <c r="D809" s="1" t="n"/>
      <c r="E809" s="1" t="n"/>
      <c r="F809" s="1" t="n"/>
      <c r="G809" s="1" t="n"/>
      <c r="H809" s="1" t="n"/>
      <c r="I809" s="1" t="n"/>
    </row>
    <row r="810" ht="15.75" customHeight="1" s="311">
      <c r="A810" s="1" t="n"/>
      <c r="B810" s="1" t="n"/>
      <c r="C810" s="1" t="n"/>
      <c r="D810" s="1" t="n"/>
      <c r="E810" s="1" t="n"/>
      <c r="F810" s="1" t="n"/>
      <c r="G810" s="1" t="n"/>
      <c r="H810" s="1" t="n"/>
      <c r="I810" s="1" t="n"/>
    </row>
    <row r="811" ht="15.75" customHeight="1" s="311">
      <c r="A811" s="1" t="n"/>
      <c r="B811" s="1" t="n"/>
      <c r="C811" s="1" t="n"/>
      <c r="D811" s="1" t="n"/>
      <c r="E811" s="1" t="n"/>
      <c r="F811" s="1" t="n"/>
      <c r="G811" s="1" t="n"/>
      <c r="H811" s="1" t="n"/>
      <c r="I811" s="1" t="n"/>
    </row>
    <row r="812" ht="15.75" customHeight="1" s="311">
      <c r="A812" s="1" t="n"/>
      <c r="B812" s="1" t="n"/>
      <c r="C812" s="1" t="n"/>
      <c r="D812" s="1" t="n"/>
      <c r="E812" s="1" t="n"/>
      <c r="F812" s="1" t="n"/>
      <c r="G812" s="1" t="n"/>
      <c r="H812" s="1" t="n"/>
      <c r="I812" s="1" t="n"/>
    </row>
    <row r="813" ht="15.75" customHeight="1" s="311">
      <c r="A813" s="1" t="n"/>
      <c r="B813" s="1" t="n"/>
      <c r="C813" s="1" t="n"/>
      <c r="D813" s="1" t="n"/>
      <c r="E813" s="1" t="n"/>
      <c r="F813" s="1" t="n"/>
      <c r="G813" s="1" t="n"/>
      <c r="H813" s="1" t="n"/>
      <c r="I813" s="1" t="n"/>
    </row>
    <row r="814" ht="15.75" customHeight="1" s="311">
      <c r="A814" s="1" t="n"/>
      <c r="B814" s="1" t="n"/>
      <c r="C814" s="1" t="n"/>
      <c r="D814" s="1" t="n"/>
      <c r="E814" s="1" t="n"/>
      <c r="F814" s="1" t="n"/>
      <c r="G814" s="1" t="n"/>
      <c r="H814" s="1" t="n"/>
      <c r="I814" s="1" t="n"/>
    </row>
    <row r="815" ht="15.75" customHeight="1" s="311">
      <c r="A815" s="1" t="n"/>
      <c r="B815" s="1" t="n"/>
      <c r="C815" s="1" t="n"/>
      <c r="D815" s="1" t="n"/>
      <c r="E815" s="1" t="n"/>
      <c r="F815" s="1" t="n"/>
      <c r="G815" s="1" t="n"/>
      <c r="H815" s="1" t="n"/>
      <c r="I815" s="1" t="n"/>
    </row>
    <row r="816" ht="15.75" customHeight="1" s="311">
      <c r="A816" s="1" t="n"/>
      <c r="B816" s="1" t="n"/>
      <c r="C816" s="1" t="n"/>
      <c r="D816" s="1" t="n"/>
      <c r="E816" s="1" t="n"/>
      <c r="F816" s="1" t="n"/>
      <c r="G816" s="1" t="n"/>
      <c r="H816" s="1" t="n"/>
      <c r="I816" s="1" t="n"/>
    </row>
    <row r="817" ht="15.75" customHeight="1" s="311">
      <c r="A817" s="1" t="n"/>
      <c r="B817" s="1" t="n"/>
      <c r="C817" s="1" t="n"/>
      <c r="D817" s="1" t="n"/>
      <c r="E817" s="1" t="n"/>
      <c r="F817" s="1" t="n"/>
      <c r="G817" s="1" t="n"/>
      <c r="H817" s="1" t="n"/>
      <c r="I817" s="1" t="n"/>
    </row>
    <row r="818" ht="15.75" customHeight="1" s="311">
      <c r="A818" s="1" t="n"/>
      <c r="B818" s="1" t="n"/>
      <c r="C818" s="1" t="n"/>
      <c r="D818" s="1" t="n"/>
      <c r="E818" s="1" t="n"/>
      <c r="F818" s="1" t="n"/>
      <c r="G818" s="1" t="n"/>
      <c r="H818" s="1" t="n"/>
      <c r="I818" s="1" t="n"/>
    </row>
    <row r="819" ht="15.75" customHeight="1" s="311">
      <c r="A819" s="1" t="n"/>
      <c r="B819" s="1" t="n"/>
      <c r="C819" s="1" t="n"/>
      <c r="D819" s="1" t="n"/>
      <c r="E819" s="1" t="n"/>
      <c r="F819" s="1" t="n"/>
      <c r="G819" s="1" t="n"/>
      <c r="H819" s="1" t="n"/>
      <c r="I819" s="1" t="n"/>
    </row>
    <row r="820" ht="15.75" customHeight="1" s="311">
      <c r="A820" s="1" t="n"/>
      <c r="B820" s="1" t="n"/>
      <c r="C820" s="1" t="n"/>
      <c r="D820" s="1" t="n"/>
      <c r="E820" s="1" t="n"/>
      <c r="F820" s="1" t="n"/>
      <c r="G820" s="1" t="n"/>
      <c r="H820" s="1" t="n"/>
      <c r="I820" s="1" t="n"/>
    </row>
    <row r="821" ht="15.75" customHeight="1" s="311">
      <c r="A821" s="1" t="n"/>
      <c r="B821" s="1" t="n"/>
      <c r="C821" s="1" t="n"/>
      <c r="D821" s="1" t="n"/>
      <c r="E821" s="1" t="n"/>
      <c r="F821" s="1" t="n"/>
      <c r="G821" s="1" t="n"/>
      <c r="H821" s="1" t="n"/>
      <c r="I821" s="1" t="n"/>
    </row>
    <row r="822" ht="15.75" customHeight="1" s="311">
      <c r="A822" s="1" t="n"/>
      <c r="B822" s="1" t="n"/>
      <c r="C822" s="1" t="n"/>
      <c r="D822" s="1" t="n"/>
      <c r="E822" s="1" t="n"/>
      <c r="F822" s="1" t="n"/>
      <c r="G822" s="1" t="n"/>
      <c r="H822" s="1" t="n"/>
      <c r="I822" s="1" t="n"/>
    </row>
    <row r="823" ht="15.75" customHeight="1" s="311">
      <c r="A823" s="1" t="n"/>
      <c r="B823" s="1" t="n"/>
      <c r="C823" s="1" t="n"/>
      <c r="D823" s="1" t="n"/>
      <c r="E823" s="1" t="n"/>
      <c r="F823" s="1" t="n"/>
      <c r="G823" s="1" t="n"/>
      <c r="H823" s="1" t="n"/>
      <c r="I823" s="1" t="n"/>
    </row>
    <row r="824" ht="15.75" customHeight="1" s="311">
      <c r="A824" s="1" t="n"/>
      <c r="B824" s="1" t="n"/>
      <c r="C824" s="1" t="n"/>
      <c r="D824" s="1" t="n"/>
      <c r="E824" s="1" t="n"/>
      <c r="F824" s="1" t="n"/>
      <c r="G824" s="1" t="n"/>
      <c r="H824" s="1" t="n"/>
      <c r="I824" s="1" t="n"/>
    </row>
    <row r="825" ht="15.75" customHeight="1" s="311">
      <c r="A825" s="1" t="n"/>
      <c r="B825" s="1" t="n"/>
      <c r="C825" s="1" t="n"/>
      <c r="D825" s="1" t="n"/>
      <c r="E825" s="1" t="n"/>
      <c r="F825" s="1" t="n"/>
      <c r="G825" s="1" t="n"/>
      <c r="H825" s="1" t="n"/>
      <c r="I825" s="1" t="n"/>
    </row>
    <row r="826" ht="15.75" customHeight="1" s="311">
      <c r="A826" s="1" t="n"/>
      <c r="B826" s="1" t="n"/>
      <c r="C826" s="1" t="n"/>
      <c r="D826" s="1" t="n"/>
      <c r="E826" s="1" t="n"/>
      <c r="F826" s="1" t="n"/>
      <c r="G826" s="1" t="n"/>
      <c r="H826" s="1" t="n"/>
      <c r="I826" s="1" t="n"/>
    </row>
    <row r="827" ht="15.75" customHeight="1" s="311">
      <c r="A827" s="1" t="n"/>
      <c r="B827" s="1" t="n"/>
      <c r="C827" s="1" t="n"/>
      <c r="D827" s="1" t="n"/>
      <c r="E827" s="1" t="n"/>
      <c r="F827" s="1" t="n"/>
      <c r="G827" s="1" t="n"/>
      <c r="H827" s="1" t="n"/>
      <c r="I827" s="1" t="n"/>
    </row>
    <row r="828" ht="15.75" customHeight="1" s="311">
      <c r="A828" s="1" t="n"/>
      <c r="B828" s="1" t="n"/>
      <c r="C828" s="1" t="n"/>
      <c r="D828" s="1" t="n"/>
      <c r="E828" s="1" t="n"/>
      <c r="F828" s="1" t="n"/>
      <c r="G828" s="1" t="n"/>
      <c r="H828" s="1" t="n"/>
      <c r="I828" s="1" t="n"/>
    </row>
    <row r="829" ht="15.75" customHeight="1" s="311">
      <c r="A829" s="1" t="n"/>
      <c r="B829" s="1" t="n"/>
      <c r="C829" s="1" t="n"/>
      <c r="D829" s="1" t="n"/>
      <c r="E829" s="1" t="n"/>
      <c r="F829" s="1" t="n"/>
      <c r="G829" s="1" t="n"/>
      <c r="H829" s="1" t="n"/>
      <c r="I829" s="1" t="n"/>
    </row>
    <row r="830" ht="15.75" customHeight="1" s="311">
      <c r="A830" s="1" t="n"/>
      <c r="B830" s="1" t="n"/>
      <c r="C830" s="1" t="n"/>
      <c r="D830" s="1" t="n"/>
      <c r="E830" s="1" t="n"/>
      <c r="F830" s="1" t="n"/>
      <c r="G830" s="1" t="n"/>
      <c r="H830" s="1" t="n"/>
      <c r="I830" s="1" t="n"/>
    </row>
    <row r="831" ht="15.75" customHeight="1" s="311">
      <c r="A831" s="1" t="n"/>
      <c r="B831" s="1" t="n"/>
      <c r="C831" s="1" t="n"/>
      <c r="D831" s="1" t="n"/>
      <c r="E831" s="1" t="n"/>
      <c r="F831" s="1" t="n"/>
      <c r="G831" s="1" t="n"/>
      <c r="H831" s="1" t="n"/>
      <c r="I831" s="1" t="n"/>
    </row>
    <row r="832" ht="15.75" customHeight="1" s="311">
      <c r="A832" s="1" t="n"/>
      <c r="B832" s="1" t="n"/>
      <c r="C832" s="1" t="n"/>
      <c r="D832" s="1" t="n"/>
      <c r="E832" s="1" t="n"/>
      <c r="F832" s="1" t="n"/>
      <c r="G832" s="1" t="n"/>
      <c r="H832" s="1" t="n"/>
      <c r="I832" s="1" t="n"/>
    </row>
    <row r="833" ht="15.75" customHeight="1" s="311">
      <c r="A833" s="1" t="n"/>
      <c r="B833" s="1" t="n"/>
      <c r="C833" s="1" t="n"/>
      <c r="D833" s="1" t="n"/>
      <c r="E833" s="1" t="n"/>
      <c r="F833" s="1" t="n"/>
      <c r="G833" s="1" t="n"/>
      <c r="H833" s="1" t="n"/>
      <c r="I833" s="1" t="n"/>
    </row>
    <row r="834" ht="15.75" customHeight="1" s="311">
      <c r="A834" s="1" t="n"/>
      <c r="B834" s="1" t="n"/>
      <c r="C834" s="1" t="n"/>
      <c r="D834" s="1" t="n"/>
      <c r="E834" s="1" t="n"/>
      <c r="F834" s="1" t="n"/>
      <c r="G834" s="1" t="n"/>
      <c r="H834" s="1" t="n"/>
      <c r="I834" s="1" t="n"/>
    </row>
    <row r="835" ht="15.75" customHeight="1" s="311">
      <c r="A835" s="1" t="n"/>
      <c r="B835" s="1" t="n"/>
      <c r="C835" s="1" t="n"/>
      <c r="D835" s="1" t="n"/>
      <c r="E835" s="1" t="n"/>
      <c r="F835" s="1" t="n"/>
      <c r="G835" s="1" t="n"/>
      <c r="H835" s="1" t="n"/>
      <c r="I835" s="1" t="n"/>
    </row>
    <row r="836" ht="15.75" customHeight="1" s="311">
      <c r="A836" s="1" t="n"/>
      <c r="B836" s="1" t="n"/>
      <c r="C836" s="1" t="n"/>
      <c r="D836" s="1" t="n"/>
      <c r="E836" s="1" t="n"/>
      <c r="F836" s="1" t="n"/>
      <c r="G836" s="1" t="n"/>
      <c r="H836" s="1" t="n"/>
      <c r="I836" s="1" t="n"/>
    </row>
    <row r="837" ht="15.75" customHeight="1" s="311">
      <c r="A837" s="1" t="n"/>
      <c r="B837" s="1" t="n"/>
      <c r="C837" s="1" t="n"/>
      <c r="D837" s="1" t="n"/>
      <c r="E837" s="1" t="n"/>
      <c r="F837" s="1" t="n"/>
      <c r="G837" s="1" t="n"/>
      <c r="H837" s="1" t="n"/>
      <c r="I837" s="1" t="n"/>
    </row>
    <row r="838" ht="15.75" customHeight="1" s="311">
      <c r="A838" s="1" t="n"/>
      <c r="B838" s="1" t="n"/>
      <c r="C838" s="1" t="n"/>
      <c r="D838" s="1" t="n"/>
      <c r="E838" s="1" t="n"/>
      <c r="F838" s="1" t="n"/>
      <c r="G838" s="1" t="n"/>
      <c r="H838" s="1" t="n"/>
      <c r="I838" s="1" t="n"/>
    </row>
    <row r="839" ht="15.75" customHeight="1" s="311">
      <c r="A839" s="1" t="n"/>
      <c r="B839" s="1" t="n"/>
      <c r="C839" s="1" t="n"/>
      <c r="D839" s="1" t="n"/>
      <c r="E839" s="1" t="n"/>
      <c r="F839" s="1" t="n"/>
      <c r="G839" s="1" t="n"/>
      <c r="H839" s="1" t="n"/>
      <c r="I839" s="1" t="n"/>
    </row>
    <row r="840" ht="15.75" customHeight="1" s="311">
      <c r="A840" s="1" t="n"/>
      <c r="B840" s="1" t="n"/>
      <c r="C840" s="1" t="n"/>
      <c r="D840" s="1" t="n"/>
      <c r="E840" s="1" t="n"/>
      <c r="F840" s="1" t="n"/>
      <c r="G840" s="1" t="n"/>
      <c r="H840" s="1" t="n"/>
      <c r="I840" s="1" t="n"/>
    </row>
    <row r="841" ht="15.75" customHeight="1" s="311">
      <c r="A841" s="1" t="n"/>
      <c r="B841" s="1" t="n"/>
      <c r="C841" s="1" t="n"/>
      <c r="D841" s="1" t="n"/>
      <c r="E841" s="1" t="n"/>
      <c r="F841" s="1" t="n"/>
      <c r="G841" s="1" t="n"/>
      <c r="H841" s="1" t="n"/>
      <c r="I841" s="1" t="n"/>
    </row>
    <row r="842" ht="15.75" customHeight="1" s="311">
      <c r="A842" s="1" t="n"/>
      <c r="B842" s="1" t="n"/>
      <c r="C842" s="1" t="n"/>
      <c r="D842" s="1" t="n"/>
      <c r="E842" s="1" t="n"/>
      <c r="F842" s="1" t="n"/>
      <c r="G842" s="1" t="n"/>
      <c r="H842" s="1" t="n"/>
      <c r="I842" s="1" t="n"/>
    </row>
    <row r="843" ht="15.75" customHeight="1" s="311">
      <c r="A843" s="1" t="n"/>
      <c r="B843" s="1" t="n"/>
      <c r="C843" s="1" t="n"/>
      <c r="D843" s="1" t="n"/>
      <c r="E843" s="1" t="n"/>
      <c r="F843" s="1" t="n"/>
      <c r="G843" s="1" t="n"/>
      <c r="H843" s="1" t="n"/>
      <c r="I843" s="1" t="n"/>
    </row>
    <row r="844" ht="15.75" customHeight="1" s="311">
      <c r="A844" s="1" t="n"/>
      <c r="B844" s="1" t="n"/>
      <c r="C844" s="1" t="n"/>
      <c r="D844" s="1" t="n"/>
      <c r="E844" s="1" t="n"/>
      <c r="F844" s="1" t="n"/>
      <c r="G844" s="1" t="n"/>
      <c r="H844" s="1" t="n"/>
      <c r="I844" s="1" t="n"/>
    </row>
    <row r="845" ht="15.75" customHeight="1" s="311">
      <c r="A845" s="1" t="n"/>
      <c r="B845" s="1" t="n"/>
      <c r="C845" s="1" t="n"/>
      <c r="D845" s="1" t="n"/>
      <c r="E845" s="1" t="n"/>
      <c r="F845" s="1" t="n"/>
      <c r="G845" s="1" t="n"/>
      <c r="H845" s="1" t="n"/>
      <c r="I845" s="1" t="n"/>
    </row>
    <row r="846" ht="15.75" customHeight="1" s="311">
      <c r="A846" s="1" t="n"/>
      <c r="B846" s="1" t="n"/>
      <c r="C846" s="1" t="n"/>
      <c r="D846" s="1" t="n"/>
      <c r="E846" s="1" t="n"/>
      <c r="F846" s="1" t="n"/>
      <c r="G846" s="1" t="n"/>
      <c r="H846" s="1" t="n"/>
      <c r="I846" s="1" t="n"/>
    </row>
    <row r="847" ht="15.75" customHeight="1" s="311">
      <c r="A847" s="1" t="n"/>
      <c r="B847" s="1" t="n"/>
      <c r="C847" s="1" t="n"/>
      <c r="D847" s="1" t="n"/>
      <c r="E847" s="1" t="n"/>
      <c r="F847" s="1" t="n"/>
      <c r="G847" s="1" t="n"/>
      <c r="H847" s="1" t="n"/>
      <c r="I847" s="1" t="n"/>
    </row>
    <row r="848" ht="15.75" customHeight="1" s="311">
      <c r="A848" s="1" t="n"/>
      <c r="B848" s="1" t="n"/>
      <c r="C848" s="1" t="n"/>
      <c r="D848" s="1" t="n"/>
      <c r="E848" s="1" t="n"/>
      <c r="F848" s="1" t="n"/>
      <c r="G848" s="1" t="n"/>
      <c r="H848" s="1" t="n"/>
      <c r="I848" s="1" t="n"/>
    </row>
    <row r="849" ht="15.75" customHeight="1" s="311">
      <c r="A849" s="1" t="n"/>
      <c r="B849" s="1" t="n"/>
      <c r="C849" s="1" t="n"/>
      <c r="D849" s="1" t="n"/>
      <c r="E849" s="1" t="n"/>
      <c r="F849" s="1" t="n"/>
      <c r="G849" s="1" t="n"/>
      <c r="H849" s="1" t="n"/>
      <c r="I849" s="1" t="n"/>
    </row>
    <row r="850" ht="15.75" customHeight="1" s="311">
      <c r="A850" s="1" t="n"/>
      <c r="B850" s="1" t="n"/>
      <c r="C850" s="1" t="n"/>
      <c r="D850" s="1" t="n"/>
      <c r="E850" s="1" t="n"/>
      <c r="F850" s="1" t="n"/>
      <c r="G850" s="1" t="n"/>
      <c r="H850" s="1" t="n"/>
      <c r="I850" s="1" t="n"/>
    </row>
    <row r="851" ht="15.75" customHeight="1" s="311">
      <c r="A851" s="1" t="n"/>
      <c r="B851" s="1" t="n"/>
      <c r="C851" s="1" t="n"/>
      <c r="D851" s="1" t="n"/>
      <c r="E851" s="1" t="n"/>
      <c r="F851" s="1" t="n"/>
      <c r="G851" s="1" t="n"/>
      <c r="H851" s="1" t="n"/>
      <c r="I851" s="1" t="n"/>
    </row>
    <row r="852" ht="15.75" customHeight="1" s="311">
      <c r="A852" s="1" t="n"/>
      <c r="B852" s="1" t="n"/>
      <c r="C852" s="1" t="n"/>
      <c r="D852" s="1" t="n"/>
      <c r="E852" s="1" t="n"/>
      <c r="F852" s="1" t="n"/>
      <c r="G852" s="1" t="n"/>
      <c r="H852" s="1" t="n"/>
      <c r="I852" s="1" t="n"/>
    </row>
    <row r="853" ht="15.75" customHeight="1" s="311">
      <c r="A853" s="1" t="n"/>
      <c r="B853" s="1" t="n"/>
      <c r="C853" s="1" t="n"/>
      <c r="D853" s="1" t="n"/>
      <c r="E853" s="1" t="n"/>
      <c r="F853" s="1" t="n"/>
      <c r="G853" s="1" t="n"/>
      <c r="H853" s="1" t="n"/>
      <c r="I853" s="1" t="n"/>
    </row>
    <row r="854" ht="15.75" customHeight="1" s="311">
      <c r="A854" s="1" t="n"/>
      <c r="B854" s="1" t="n"/>
      <c r="C854" s="1" t="n"/>
      <c r="D854" s="1" t="n"/>
      <c r="E854" s="1" t="n"/>
      <c r="F854" s="1" t="n"/>
      <c r="G854" s="1" t="n"/>
      <c r="H854" s="1" t="n"/>
      <c r="I854" s="1" t="n"/>
    </row>
    <row r="855" ht="15.75" customHeight="1" s="311">
      <c r="A855" s="1" t="n"/>
      <c r="B855" s="1" t="n"/>
      <c r="C855" s="1" t="n"/>
      <c r="D855" s="1" t="n"/>
      <c r="E855" s="1" t="n"/>
      <c r="F855" s="1" t="n"/>
      <c r="G855" s="1" t="n"/>
      <c r="H855" s="1" t="n"/>
      <c r="I855" s="1" t="n"/>
    </row>
    <row r="856" ht="15.75" customHeight="1" s="311">
      <c r="A856" s="1" t="n"/>
      <c r="B856" s="1" t="n"/>
      <c r="C856" s="1" t="n"/>
      <c r="D856" s="1" t="n"/>
      <c r="E856" s="1" t="n"/>
      <c r="F856" s="1" t="n"/>
      <c r="G856" s="1" t="n"/>
      <c r="H856" s="1" t="n"/>
      <c r="I856" s="1" t="n"/>
    </row>
    <row r="857" ht="15.75" customHeight="1" s="311">
      <c r="A857" s="1" t="n"/>
      <c r="B857" s="1" t="n"/>
      <c r="C857" s="1" t="n"/>
      <c r="D857" s="1" t="n"/>
      <c r="E857" s="1" t="n"/>
      <c r="F857" s="1" t="n"/>
      <c r="G857" s="1" t="n"/>
      <c r="H857" s="1" t="n"/>
      <c r="I857" s="1" t="n"/>
    </row>
    <row r="858" ht="15.75" customHeight="1" s="311">
      <c r="A858" s="1" t="n"/>
      <c r="B858" s="1" t="n"/>
      <c r="C858" s="1" t="n"/>
      <c r="D858" s="1" t="n"/>
      <c r="E858" s="1" t="n"/>
      <c r="F858" s="1" t="n"/>
      <c r="G858" s="1" t="n"/>
      <c r="H858" s="1" t="n"/>
      <c r="I858" s="1" t="n"/>
    </row>
    <row r="859" ht="15.75" customHeight="1" s="311">
      <c r="A859" s="1" t="n"/>
      <c r="B859" s="1" t="n"/>
      <c r="C859" s="1" t="n"/>
      <c r="D859" s="1" t="n"/>
      <c r="E859" s="1" t="n"/>
      <c r="F859" s="1" t="n"/>
      <c r="G859" s="1" t="n"/>
      <c r="H859" s="1" t="n"/>
      <c r="I859" s="1" t="n"/>
    </row>
    <row r="860" ht="15.75" customHeight="1" s="311">
      <c r="A860" s="1" t="n"/>
      <c r="B860" s="1" t="n"/>
      <c r="C860" s="1" t="n"/>
      <c r="D860" s="1" t="n"/>
      <c r="E860" s="1" t="n"/>
      <c r="F860" s="1" t="n"/>
      <c r="G860" s="1" t="n"/>
      <c r="H860" s="1" t="n"/>
      <c r="I860" s="1" t="n"/>
    </row>
    <row r="861" ht="15.75" customHeight="1" s="311">
      <c r="A861" s="1" t="n"/>
      <c r="B861" s="1" t="n"/>
      <c r="C861" s="1" t="n"/>
      <c r="D861" s="1" t="n"/>
      <c r="E861" s="1" t="n"/>
      <c r="F861" s="1" t="n"/>
      <c r="G861" s="1" t="n"/>
      <c r="H861" s="1" t="n"/>
      <c r="I861" s="1" t="n"/>
    </row>
    <row r="862" ht="15.75" customHeight="1" s="311">
      <c r="A862" s="1" t="n"/>
      <c r="B862" s="1" t="n"/>
      <c r="C862" s="1" t="n"/>
      <c r="D862" s="1" t="n"/>
      <c r="E862" s="1" t="n"/>
      <c r="F862" s="1" t="n"/>
      <c r="G862" s="1" t="n"/>
      <c r="H862" s="1" t="n"/>
      <c r="I862" s="1" t="n"/>
    </row>
    <row r="863" ht="15.75" customHeight="1" s="311">
      <c r="A863" s="1" t="n"/>
      <c r="B863" s="1" t="n"/>
      <c r="C863" s="1" t="n"/>
      <c r="D863" s="1" t="n"/>
      <c r="E863" s="1" t="n"/>
      <c r="F863" s="1" t="n"/>
      <c r="G863" s="1" t="n"/>
      <c r="H863" s="1" t="n"/>
      <c r="I863" s="1" t="n"/>
    </row>
    <row r="864" ht="15.75" customHeight="1" s="311">
      <c r="A864" s="1" t="n"/>
      <c r="B864" s="1" t="n"/>
      <c r="C864" s="1" t="n"/>
      <c r="D864" s="1" t="n"/>
      <c r="E864" s="1" t="n"/>
      <c r="F864" s="1" t="n"/>
      <c r="G864" s="1" t="n"/>
      <c r="H864" s="1" t="n"/>
      <c r="I864" s="1" t="n"/>
    </row>
    <row r="865" ht="15.75" customHeight="1" s="311">
      <c r="A865" s="1" t="n"/>
      <c r="B865" s="1" t="n"/>
      <c r="C865" s="1" t="n"/>
      <c r="D865" s="1" t="n"/>
      <c r="E865" s="1" t="n"/>
      <c r="F865" s="1" t="n"/>
      <c r="G865" s="1" t="n"/>
      <c r="H865" s="1" t="n"/>
      <c r="I865" s="1" t="n"/>
    </row>
    <row r="866" ht="15.75" customHeight="1" s="311">
      <c r="A866" s="1" t="n"/>
      <c r="B866" s="1" t="n"/>
      <c r="C866" s="1" t="n"/>
      <c r="D866" s="1" t="n"/>
      <c r="E866" s="1" t="n"/>
      <c r="F866" s="1" t="n"/>
      <c r="G866" s="1" t="n"/>
      <c r="H866" s="1" t="n"/>
      <c r="I866" s="1" t="n"/>
    </row>
    <row r="867" ht="15.75" customHeight="1" s="311">
      <c r="A867" s="1" t="n"/>
      <c r="B867" s="1" t="n"/>
      <c r="C867" s="1" t="n"/>
      <c r="D867" s="1" t="n"/>
      <c r="E867" s="1" t="n"/>
      <c r="F867" s="1" t="n"/>
      <c r="G867" s="1" t="n"/>
      <c r="H867" s="1" t="n"/>
      <c r="I867" s="1" t="n"/>
    </row>
    <row r="868" ht="15.75" customHeight="1" s="311">
      <c r="A868" s="1" t="n"/>
      <c r="B868" s="1" t="n"/>
      <c r="C868" s="1" t="n"/>
      <c r="D868" s="1" t="n"/>
      <c r="E868" s="1" t="n"/>
      <c r="F868" s="1" t="n"/>
      <c r="G868" s="1" t="n"/>
      <c r="H868" s="1" t="n"/>
      <c r="I868" s="1" t="n"/>
    </row>
    <row r="869" ht="15.75" customHeight="1" s="311">
      <c r="A869" s="1" t="n"/>
      <c r="B869" s="1" t="n"/>
      <c r="C869" s="1" t="n"/>
      <c r="D869" s="1" t="n"/>
      <c r="E869" s="1" t="n"/>
      <c r="F869" s="1" t="n"/>
      <c r="G869" s="1" t="n"/>
      <c r="H869" s="1" t="n"/>
      <c r="I869" s="1" t="n"/>
    </row>
    <row r="870" ht="15.75" customHeight="1" s="311">
      <c r="A870" s="1" t="n"/>
      <c r="B870" s="1" t="n"/>
      <c r="C870" s="1" t="n"/>
      <c r="D870" s="1" t="n"/>
      <c r="E870" s="1" t="n"/>
      <c r="F870" s="1" t="n"/>
      <c r="G870" s="1" t="n"/>
      <c r="H870" s="1" t="n"/>
      <c r="I870" s="1" t="n"/>
    </row>
    <row r="871" ht="15.75" customHeight="1" s="311">
      <c r="A871" s="1" t="n"/>
      <c r="B871" s="1" t="n"/>
      <c r="C871" s="1" t="n"/>
      <c r="D871" s="1" t="n"/>
      <c r="E871" s="1" t="n"/>
      <c r="F871" s="1" t="n"/>
      <c r="G871" s="1" t="n"/>
      <c r="H871" s="1" t="n"/>
      <c r="I871" s="1" t="n"/>
    </row>
    <row r="872" ht="15.75" customHeight="1" s="311">
      <c r="A872" s="1" t="n"/>
      <c r="B872" s="1" t="n"/>
      <c r="C872" s="1" t="n"/>
      <c r="D872" s="1" t="n"/>
      <c r="E872" s="1" t="n"/>
      <c r="F872" s="1" t="n"/>
      <c r="G872" s="1" t="n"/>
      <c r="H872" s="1" t="n"/>
      <c r="I872" s="1" t="n"/>
    </row>
    <row r="873" ht="15.75" customHeight="1" s="311">
      <c r="A873" s="1" t="n"/>
      <c r="B873" s="1" t="n"/>
      <c r="C873" s="1" t="n"/>
      <c r="D873" s="1" t="n"/>
      <c r="E873" s="1" t="n"/>
      <c r="F873" s="1" t="n"/>
      <c r="G873" s="1" t="n"/>
      <c r="H873" s="1" t="n"/>
      <c r="I873" s="1" t="n"/>
    </row>
    <row r="874" ht="15.75" customHeight="1" s="311">
      <c r="A874" s="1" t="n"/>
      <c r="B874" s="1" t="n"/>
      <c r="C874" s="1" t="n"/>
      <c r="D874" s="1" t="n"/>
      <c r="E874" s="1" t="n"/>
      <c r="F874" s="1" t="n"/>
      <c r="G874" s="1" t="n"/>
      <c r="H874" s="1" t="n"/>
      <c r="I874" s="1" t="n"/>
    </row>
    <row r="875" ht="15.75" customHeight="1" s="311">
      <c r="A875" s="1" t="n"/>
      <c r="B875" s="1" t="n"/>
      <c r="C875" s="1" t="n"/>
      <c r="D875" s="1" t="n"/>
      <c r="E875" s="1" t="n"/>
      <c r="F875" s="1" t="n"/>
      <c r="G875" s="1" t="n"/>
      <c r="H875" s="1" t="n"/>
      <c r="I875" s="1" t="n"/>
    </row>
    <row r="876" ht="15.75" customHeight="1" s="311">
      <c r="A876" s="1" t="n"/>
      <c r="B876" s="1" t="n"/>
      <c r="C876" s="1" t="n"/>
      <c r="D876" s="1" t="n"/>
      <c r="E876" s="1" t="n"/>
      <c r="F876" s="1" t="n"/>
      <c r="G876" s="1" t="n"/>
      <c r="H876" s="1" t="n"/>
      <c r="I876" s="1" t="n"/>
    </row>
    <row r="877" ht="15.75" customHeight="1" s="311">
      <c r="A877" s="1" t="n"/>
      <c r="B877" s="1" t="n"/>
      <c r="C877" s="1" t="n"/>
      <c r="D877" s="1" t="n"/>
      <c r="E877" s="1" t="n"/>
      <c r="F877" s="1" t="n"/>
      <c r="G877" s="1" t="n"/>
      <c r="H877" s="1" t="n"/>
      <c r="I877" s="1" t="n"/>
    </row>
    <row r="878" ht="15.75" customHeight="1" s="311">
      <c r="A878" s="1" t="n"/>
      <c r="B878" s="1" t="n"/>
      <c r="C878" s="1" t="n"/>
      <c r="D878" s="1" t="n"/>
      <c r="E878" s="1" t="n"/>
      <c r="F878" s="1" t="n"/>
      <c r="G878" s="1" t="n"/>
      <c r="H878" s="1" t="n"/>
      <c r="I878" s="1" t="n"/>
    </row>
    <row r="879" ht="15.75" customHeight="1" s="311">
      <c r="A879" s="1" t="n"/>
      <c r="B879" s="1" t="n"/>
      <c r="C879" s="1" t="n"/>
      <c r="D879" s="1" t="n"/>
      <c r="E879" s="1" t="n"/>
      <c r="F879" s="1" t="n"/>
      <c r="G879" s="1" t="n"/>
      <c r="H879" s="1" t="n"/>
      <c r="I879" s="1" t="n"/>
    </row>
    <row r="880" ht="15.75" customHeight="1" s="311">
      <c r="A880" s="1" t="n"/>
      <c r="B880" s="1" t="n"/>
      <c r="C880" s="1" t="n"/>
      <c r="D880" s="1" t="n"/>
      <c r="E880" s="1" t="n"/>
      <c r="F880" s="1" t="n"/>
      <c r="G880" s="1" t="n"/>
      <c r="H880" s="1" t="n"/>
      <c r="I880" s="1" t="n"/>
    </row>
    <row r="881" ht="15.75" customHeight="1" s="311">
      <c r="A881" s="1" t="n"/>
      <c r="B881" s="1" t="n"/>
      <c r="C881" s="1" t="n"/>
      <c r="D881" s="1" t="n"/>
      <c r="E881" s="1" t="n"/>
      <c r="F881" s="1" t="n"/>
      <c r="G881" s="1" t="n"/>
      <c r="H881" s="1" t="n"/>
      <c r="I881" s="1" t="n"/>
    </row>
    <row r="882" ht="15.75" customHeight="1" s="311">
      <c r="A882" s="1" t="n"/>
      <c r="B882" s="1" t="n"/>
      <c r="C882" s="1" t="n"/>
      <c r="D882" s="1" t="n"/>
      <c r="E882" s="1" t="n"/>
      <c r="F882" s="1" t="n"/>
      <c r="G882" s="1" t="n"/>
      <c r="H882" s="1" t="n"/>
      <c r="I882" s="1" t="n"/>
    </row>
    <row r="883" ht="15.75" customHeight="1" s="311">
      <c r="A883" s="1" t="n"/>
      <c r="B883" s="1" t="n"/>
      <c r="C883" s="1" t="n"/>
      <c r="D883" s="1" t="n"/>
      <c r="E883" s="1" t="n"/>
      <c r="F883" s="1" t="n"/>
      <c r="G883" s="1" t="n"/>
      <c r="H883" s="1" t="n"/>
      <c r="I883" s="1" t="n"/>
    </row>
    <row r="884" ht="15.75" customHeight="1" s="311">
      <c r="A884" s="1" t="n"/>
      <c r="B884" s="1" t="n"/>
      <c r="C884" s="1" t="n"/>
      <c r="D884" s="1" t="n"/>
      <c r="E884" s="1" t="n"/>
      <c r="F884" s="1" t="n"/>
      <c r="G884" s="1" t="n"/>
      <c r="H884" s="1" t="n"/>
      <c r="I884" s="1" t="n"/>
    </row>
    <row r="885" ht="15.75" customHeight="1" s="311">
      <c r="A885" s="1" t="n"/>
      <c r="B885" s="1" t="n"/>
      <c r="C885" s="1" t="n"/>
      <c r="D885" s="1" t="n"/>
      <c r="E885" s="1" t="n"/>
      <c r="F885" s="1" t="n"/>
      <c r="G885" s="1" t="n"/>
      <c r="H885" s="1" t="n"/>
      <c r="I885" s="1" t="n"/>
    </row>
    <row r="886" ht="15.75" customHeight="1" s="311">
      <c r="A886" s="1" t="n"/>
      <c r="B886" s="1" t="n"/>
      <c r="C886" s="1" t="n"/>
      <c r="D886" s="1" t="n"/>
      <c r="E886" s="1" t="n"/>
      <c r="F886" s="1" t="n"/>
      <c r="G886" s="1" t="n"/>
      <c r="H886" s="1" t="n"/>
      <c r="I886" s="1" t="n"/>
    </row>
    <row r="887" ht="15.75" customHeight="1" s="311">
      <c r="A887" s="1" t="n"/>
      <c r="B887" s="1" t="n"/>
      <c r="C887" s="1" t="n"/>
      <c r="D887" s="1" t="n"/>
      <c r="E887" s="1" t="n"/>
      <c r="F887" s="1" t="n"/>
      <c r="G887" s="1" t="n"/>
      <c r="H887" s="1" t="n"/>
      <c r="I887" s="1" t="n"/>
    </row>
    <row r="888" ht="15.75" customHeight="1" s="311">
      <c r="A888" s="1" t="n"/>
      <c r="B888" s="1" t="n"/>
      <c r="C888" s="1" t="n"/>
      <c r="D888" s="1" t="n"/>
      <c r="E888" s="1" t="n"/>
      <c r="F888" s="1" t="n"/>
      <c r="G888" s="1" t="n"/>
      <c r="H888" s="1" t="n"/>
      <c r="I888" s="1" t="n"/>
    </row>
    <row r="889" ht="15.75" customHeight="1" s="311">
      <c r="A889" s="1" t="n"/>
      <c r="B889" s="1" t="n"/>
      <c r="C889" s="1" t="n"/>
      <c r="D889" s="1" t="n"/>
      <c r="E889" s="1" t="n"/>
      <c r="F889" s="1" t="n"/>
      <c r="G889" s="1" t="n"/>
      <c r="H889" s="1" t="n"/>
      <c r="I889" s="1" t="n"/>
    </row>
    <row r="890" ht="15.75" customHeight="1" s="311">
      <c r="A890" s="1" t="n"/>
      <c r="B890" s="1" t="n"/>
      <c r="C890" s="1" t="n"/>
      <c r="D890" s="1" t="n"/>
      <c r="E890" s="1" t="n"/>
      <c r="F890" s="1" t="n"/>
      <c r="G890" s="1" t="n"/>
      <c r="H890" s="1" t="n"/>
      <c r="I890" s="1" t="n"/>
    </row>
    <row r="891" ht="15.75" customHeight="1" s="311">
      <c r="A891" s="1" t="n"/>
      <c r="B891" s="1" t="n"/>
      <c r="C891" s="1" t="n"/>
      <c r="D891" s="1" t="n"/>
      <c r="E891" s="1" t="n"/>
      <c r="F891" s="1" t="n"/>
      <c r="G891" s="1" t="n"/>
      <c r="H891" s="1" t="n"/>
      <c r="I891" s="1" t="n"/>
    </row>
    <row r="892" ht="15.75" customHeight="1" s="311">
      <c r="A892" s="1" t="n"/>
      <c r="B892" s="1" t="n"/>
      <c r="C892" s="1" t="n"/>
      <c r="D892" s="1" t="n"/>
      <c r="E892" s="1" t="n"/>
      <c r="F892" s="1" t="n"/>
      <c r="G892" s="1" t="n"/>
      <c r="H892" s="1" t="n"/>
      <c r="I892" s="1" t="n"/>
    </row>
    <row r="893" ht="15.75" customHeight="1" s="311">
      <c r="A893" s="1" t="n"/>
      <c r="B893" s="1" t="n"/>
      <c r="C893" s="1" t="n"/>
      <c r="D893" s="1" t="n"/>
      <c r="E893" s="1" t="n"/>
      <c r="F893" s="1" t="n"/>
      <c r="G893" s="1" t="n"/>
      <c r="H893" s="1" t="n"/>
      <c r="I893" s="1" t="n"/>
    </row>
    <row r="894" ht="15.75" customHeight="1" s="311">
      <c r="A894" s="1" t="n"/>
      <c r="B894" s="1" t="n"/>
      <c r="C894" s="1" t="n"/>
      <c r="D894" s="1" t="n"/>
      <c r="E894" s="1" t="n"/>
      <c r="F894" s="1" t="n"/>
      <c r="G894" s="1" t="n"/>
      <c r="H894" s="1" t="n"/>
      <c r="I894" s="1" t="n"/>
    </row>
    <row r="895" ht="15.75" customHeight="1" s="311">
      <c r="A895" s="1" t="n"/>
      <c r="B895" s="1" t="n"/>
      <c r="C895" s="1" t="n"/>
      <c r="D895" s="1" t="n"/>
      <c r="E895" s="1" t="n"/>
      <c r="F895" s="1" t="n"/>
      <c r="G895" s="1" t="n"/>
      <c r="H895" s="1" t="n"/>
      <c r="I895" s="1" t="n"/>
    </row>
    <row r="896" ht="15.75" customHeight="1" s="311">
      <c r="A896" s="1" t="n"/>
      <c r="B896" s="1" t="n"/>
      <c r="C896" s="1" t="n"/>
      <c r="D896" s="1" t="n"/>
      <c r="E896" s="1" t="n"/>
      <c r="F896" s="1" t="n"/>
      <c r="G896" s="1" t="n"/>
      <c r="H896" s="1" t="n"/>
      <c r="I896" s="1" t="n"/>
    </row>
    <row r="897" ht="15.75" customHeight="1" s="311">
      <c r="A897" s="1" t="n"/>
      <c r="B897" s="1" t="n"/>
      <c r="C897" s="1" t="n"/>
      <c r="D897" s="1" t="n"/>
      <c r="E897" s="1" t="n"/>
      <c r="F897" s="1" t="n"/>
      <c r="G897" s="1" t="n"/>
      <c r="H897" s="1" t="n"/>
      <c r="I897" s="1" t="n"/>
    </row>
    <row r="898" ht="15.75" customHeight="1" s="311">
      <c r="A898" s="1" t="n"/>
      <c r="B898" s="1" t="n"/>
      <c r="C898" s="1" t="n"/>
      <c r="D898" s="1" t="n"/>
      <c r="E898" s="1" t="n"/>
      <c r="F898" s="1" t="n"/>
      <c r="G898" s="1" t="n"/>
      <c r="H898" s="1" t="n"/>
      <c r="I898" s="1" t="n"/>
    </row>
    <row r="899" ht="15.75" customHeight="1" s="311">
      <c r="A899" s="1" t="n"/>
      <c r="B899" s="1" t="n"/>
      <c r="C899" s="1" t="n"/>
      <c r="D899" s="1" t="n"/>
      <c r="E899" s="1" t="n"/>
      <c r="F899" s="1" t="n"/>
      <c r="G899" s="1" t="n"/>
      <c r="H899" s="1" t="n"/>
      <c r="I899" s="1" t="n"/>
    </row>
    <row r="900" ht="15.75" customHeight="1" s="311">
      <c r="A900" s="1" t="n"/>
      <c r="B900" s="1" t="n"/>
      <c r="C900" s="1" t="n"/>
      <c r="D900" s="1" t="n"/>
      <c r="E900" s="1" t="n"/>
      <c r="F900" s="1" t="n"/>
      <c r="G900" s="1" t="n"/>
      <c r="H900" s="1" t="n"/>
      <c r="I900" s="1" t="n"/>
    </row>
    <row r="901" ht="15.75" customHeight="1" s="311">
      <c r="A901" s="1" t="n"/>
      <c r="B901" s="1" t="n"/>
      <c r="C901" s="1" t="n"/>
      <c r="D901" s="1" t="n"/>
      <c r="E901" s="1" t="n"/>
      <c r="F901" s="1" t="n"/>
      <c r="G901" s="1" t="n"/>
      <c r="H901" s="1" t="n"/>
      <c r="I901" s="1" t="n"/>
    </row>
    <row r="902" ht="15.75" customHeight="1" s="311">
      <c r="A902" s="1" t="n"/>
      <c r="B902" s="1" t="n"/>
      <c r="C902" s="1" t="n"/>
      <c r="D902" s="1" t="n"/>
      <c r="E902" s="1" t="n"/>
      <c r="F902" s="1" t="n"/>
      <c r="G902" s="1" t="n"/>
      <c r="H902" s="1" t="n"/>
      <c r="I902" s="1" t="n"/>
    </row>
    <row r="903" ht="15.75" customHeight="1" s="311">
      <c r="A903" s="1" t="n"/>
      <c r="B903" s="1" t="n"/>
      <c r="C903" s="1" t="n"/>
      <c r="D903" s="1" t="n"/>
      <c r="E903" s="1" t="n"/>
      <c r="F903" s="1" t="n"/>
      <c r="G903" s="1" t="n"/>
      <c r="H903" s="1" t="n"/>
      <c r="I903" s="1" t="n"/>
    </row>
    <row r="904" ht="15.75" customHeight="1" s="311">
      <c r="A904" s="1" t="n"/>
      <c r="B904" s="1" t="n"/>
      <c r="C904" s="1" t="n"/>
      <c r="D904" s="1" t="n"/>
      <c r="E904" s="1" t="n"/>
      <c r="F904" s="1" t="n"/>
      <c r="G904" s="1" t="n"/>
      <c r="H904" s="1" t="n"/>
      <c r="I904" s="1" t="n"/>
    </row>
    <row r="905" ht="15.75" customHeight="1" s="311">
      <c r="A905" s="1" t="n"/>
      <c r="B905" s="1" t="n"/>
      <c r="C905" s="1" t="n"/>
      <c r="D905" s="1" t="n"/>
      <c r="E905" s="1" t="n"/>
      <c r="F905" s="1" t="n"/>
      <c r="G905" s="1" t="n"/>
      <c r="H905" s="1" t="n"/>
      <c r="I905" s="1" t="n"/>
    </row>
    <row r="906" ht="15.75" customHeight="1" s="311">
      <c r="A906" s="1" t="n"/>
      <c r="B906" s="1" t="n"/>
      <c r="C906" s="1" t="n"/>
      <c r="D906" s="1" t="n"/>
      <c r="E906" s="1" t="n"/>
      <c r="F906" s="1" t="n"/>
      <c r="G906" s="1" t="n"/>
      <c r="H906" s="1" t="n"/>
      <c r="I906" s="1" t="n"/>
    </row>
    <row r="907" ht="15.75" customHeight="1" s="311">
      <c r="A907" s="1" t="n"/>
      <c r="B907" s="1" t="n"/>
      <c r="C907" s="1" t="n"/>
      <c r="D907" s="1" t="n"/>
      <c r="E907" s="1" t="n"/>
      <c r="F907" s="1" t="n"/>
      <c r="G907" s="1" t="n"/>
      <c r="H907" s="1" t="n"/>
      <c r="I907" s="1" t="n"/>
    </row>
    <row r="908" ht="15.75" customHeight="1" s="311">
      <c r="A908" s="1" t="n"/>
      <c r="B908" s="1" t="n"/>
      <c r="C908" s="1" t="n"/>
      <c r="D908" s="1" t="n"/>
      <c r="E908" s="1" t="n"/>
      <c r="F908" s="1" t="n"/>
      <c r="G908" s="1" t="n"/>
      <c r="H908" s="1" t="n"/>
      <c r="I908" s="1" t="n"/>
    </row>
    <row r="909" ht="15.75" customHeight="1" s="311">
      <c r="A909" s="1" t="n"/>
      <c r="B909" s="1" t="n"/>
      <c r="C909" s="1" t="n"/>
      <c r="D909" s="1" t="n"/>
      <c r="E909" s="1" t="n"/>
      <c r="F909" s="1" t="n"/>
      <c r="G909" s="1" t="n"/>
      <c r="H909" s="1" t="n"/>
      <c r="I909" s="1" t="n"/>
    </row>
    <row r="910" ht="15.75" customHeight="1" s="311">
      <c r="A910" s="1" t="n"/>
      <c r="B910" s="1" t="n"/>
      <c r="C910" s="1" t="n"/>
      <c r="D910" s="1" t="n"/>
      <c r="E910" s="1" t="n"/>
      <c r="F910" s="1" t="n"/>
      <c r="G910" s="1" t="n"/>
      <c r="H910" s="1" t="n"/>
      <c r="I910" s="1" t="n"/>
    </row>
    <row r="911" ht="15.75" customHeight="1" s="311">
      <c r="A911" s="1" t="n"/>
      <c r="B911" s="1" t="n"/>
      <c r="C911" s="1" t="n"/>
      <c r="D911" s="1" t="n"/>
      <c r="E911" s="1" t="n"/>
      <c r="F911" s="1" t="n"/>
      <c r="G911" s="1" t="n"/>
      <c r="H911" s="1" t="n"/>
      <c r="I911" s="1" t="n"/>
    </row>
    <row r="912" ht="15.75" customHeight="1" s="311">
      <c r="A912" s="1" t="n"/>
      <c r="B912" s="1" t="n"/>
      <c r="C912" s="1" t="n"/>
      <c r="D912" s="1" t="n"/>
      <c r="E912" s="1" t="n"/>
      <c r="F912" s="1" t="n"/>
      <c r="G912" s="1" t="n"/>
      <c r="H912" s="1" t="n"/>
      <c r="I912" s="1" t="n"/>
    </row>
    <row r="913" ht="15.75" customHeight="1" s="311">
      <c r="A913" s="1" t="n"/>
      <c r="B913" s="1" t="n"/>
      <c r="C913" s="1" t="n"/>
      <c r="D913" s="1" t="n"/>
      <c r="E913" s="1" t="n"/>
      <c r="F913" s="1" t="n"/>
      <c r="G913" s="1" t="n"/>
      <c r="H913" s="1" t="n"/>
      <c r="I913" s="1" t="n"/>
    </row>
    <row r="914" ht="15.75" customHeight="1" s="311">
      <c r="A914" s="1" t="n"/>
      <c r="B914" s="1" t="n"/>
      <c r="C914" s="1" t="n"/>
      <c r="D914" s="1" t="n"/>
      <c r="E914" s="1" t="n"/>
      <c r="F914" s="1" t="n"/>
      <c r="G914" s="1" t="n"/>
      <c r="H914" s="1" t="n"/>
      <c r="I914" s="1" t="n"/>
    </row>
    <row r="915" ht="15.75" customHeight="1" s="311">
      <c r="A915" s="1" t="n"/>
      <c r="B915" s="1" t="n"/>
      <c r="C915" s="1" t="n"/>
      <c r="D915" s="1" t="n"/>
      <c r="E915" s="1" t="n"/>
      <c r="F915" s="1" t="n"/>
      <c r="G915" s="1" t="n"/>
      <c r="H915" s="1" t="n"/>
      <c r="I915" s="1" t="n"/>
    </row>
    <row r="916" ht="15.75" customHeight="1" s="311">
      <c r="A916" s="1" t="n"/>
      <c r="B916" s="1" t="n"/>
      <c r="C916" s="1" t="n"/>
      <c r="D916" s="1" t="n"/>
      <c r="E916" s="1" t="n"/>
      <c r="F916" s="1" t="n"/>
      <c r="G916" s="1" t="n"/>
      <c r="H916" s="1" t="n"/>
      <c r="I916" s="1" t="n"/>
    </row>
    <row r="917" ht="15.75" customHeight="1" s="311">
      <c r="A917" s="1" t="n"/>
      <c r="B917" s="1" t="n"/>
      <c r="C917" s="1" t="n"/>
      <c r="D917" s="1" t="n"/>
      <c r="E917" s="1" t="n"/>
      <c r="F917" s="1" t="n"/>
      <c r="G917" s="1" t="n"/>
      <c r="H917" s="1" t="n"/>
      <c r="I917" s="1" t="n"/>
    </row>
    <row r="918" ht="15.75" customHeight="1" s="311">
      <c r="A918" s="1" t="n"/>
      <c r="B918" s="1" t="n"/>
      <c r="C918" s="1" t="n"/>
      <c r="D918" s="1" t="n"/>
      <c r="E918" s="1" t="n"/>
      <c r="F918" s="1" t="n"/>
      <c r="G918" s="1" t="n"/>
      <c r="H918" s="1" t="n"/>
      <c r="I918" s="1" t="n"/>
    </row>
    <row r="919" ht="15.75" customHeight="1" s="311">
      <c r="A919" s="1" t="n"/>
      <c r="B919" s="1" t="n"/>
      <c r="C919" s="1" t="n"/>
      <c r="D919" s="1" t="n"/>
      <c r="E919" s="1" t="n"/>
      <c r="F919" s="1" t="n"/>
      <c r="G919" s="1" t="n"/>
      <c r="H919" s="1" t="n"/>
      <c r="I919" s="1" t="n"/>
    </row>
    <row r="920" ht="15.75" customHeight="1" s="311">
      <c r="A920" s="1" t="n"/>
      <c r="B920" s="1" t="n"/>
      <c r="C920" s="1" t="n"/>
      <c r="D920" s="1" t="n"/>
      <c r="E920" s="1" t="n"/>
      <c r="F920" s="1" t="n"/>
      <c r="G920" s="1" t="n"/>
      <c r="H920" s="1" t="n"/>
      <c r="I920" s="1" t="n"/>
    </row>
    <row r="921" ht="15.75" customHeight="1" s="311">
      <c r="A921" s="1" t="n"/>
      <c r="B921" s="1" t="n"/>
      <c r="C921" s="1" t="n"/>
      <c r="D921" s="1" t="n"/>
      <c r="E921" s="1" t="n"/>
      <c r="F921" s="1" t="n"/>
      <c r="G921" s="1" t="n"/>
      <c r="H921" s="1" t="n"/>
      <c r="I921" s="1" t="n"/>
    </row>
    <row r="922" ht="15.75" customHeight="1" s="311">
      <c r="A922" s="1" t="n"/>
      <c r="B922" s="1" t="n"/>
      <c r="C922" s="1" t="n"/>
      <c r="D922" s="1" t="n"/>
      <c r="E922" s="1" t="n"/>
      <c r="F922" s="1" t="n"/>
      <c r="G922" s="1" t="n"/>
      <c r="H922" s="1" t="n"/>
      <c r="I922" s="1" t="n"/>
    </row>
    <row r="923" ht="15.75" customHeight="1" s="311">
      <c r="A923" s="1" t="n"/>
      <c r="B923" s="1" t="n"/>
      <c r="C923" s="1" t="n"/>
      <c r="D923" s="1" t="n"/>
      <c r="E923" s="1" t="n"/>
      <c r="F923" s="1" t="n"/>
      <c r="G923" s="1" t="n"/>
      <c r="H923" s="1" t="n"/>
      <c r="I923" s="1" t="n"/>
    </row>
    <row r="924" ht="15.75" customHeight="1" s="311">
      <c r="A924" s="1" t="n"/>
      <c r="B924" s="1" t="n"/>
      <c r="C924" s="1" t="n"/>
      <c r="D924" s="1" t="n"/>
      <c r="E924" s="1" t="n"/>
      <c r="F924" s="1" t="n"/>
      <c r="G924" s="1" t="n"/>
      <c r="H924" s="1" t="n"/>
      <c r="I924" s="1" t="n"/>
    </row>
    <row r="925" ht="15.75" customHeight="1" s="311">
      <c r="A925" s="1" t="n"/>
      <c r="B925" s="1" t="n"/>
      <c r="C925" s="1" t="n"/>
      <c r="D925" s="1" t="n"/>
      <c r="E925" s="1" t="n"/>
      <c r="F925" s="1" t="n"/>
      <c r="G925" s="1" t="n"/>
      <c r="H925" s="1" t="n"/>
      <c r="I925" s="1" t="n"/>
    </row>
    <row r="926" ht="15.75" customHeight="1" s="311">
      <c r="A926" s="1" t="n"/>
      <c r="B926" s="1" t="n"/>
      <c r="C926" s="1" t="n"/>
      <c r="D926" s="1" t="n"/>
      <c r="E926" s="1" t="n"/>
      <c r="F926" s="1" t="n"/>
      <c r="G926" s="1" t="n"/>
      <c r="H926" s="1" t="n"/>
      <c r="I926" s="1" t="n"/>
    </row>
    <row r="927" ht="15.75" customHeight="1" s="311">
      <c r="A927" s="1" t="n"/>
      <c r="B927" s="1" t="n"/>
      <c r="C927" s="1" t="n"/>
      <c r="D927" s="1" t="n"/>
      <c r="E927" s="1" t="n"/>
      <c r="F927" s="1" t="n"/>
      <c r="G927" s="1" t="n"/>
      <c r="H927" s="1" t="n"/>
      <c r="I927" s="1" t="n"/>
    </row>
    <row r="928" ht="15.75" customHeight="1" s="311">
      <c r="A928" s="1" t="n"/>
      <c r="B928" s="1" t="n"/>
      <c r="C928" s="1" t="n"/>
      <c r="D928" s="1" t="n"/>
      <c r="E928" s="1" t="n"/>
      <c r="F928" s="1" t="n"/>
      <c r="G928" s="1" t="n"/>
      <c r="H928" s="1" t="n"/>
      <c r="I928" s="1" t="n"/>
    </row>
    <row r="929" ht="15.75" customHeight="1" s="311">
      <c r="A929" s="1" t="n"/>
      <c r="B929" s="1" t="n"/>
      <c r="C929" s="1" t="n"/>
      <c r="D929" s="1" t="n"/>
      <c r="E929" s="1" t="n"/>
      <c r="F929" s="1" t="n"/>
      <c r="G929" s="1" t="n"/>
      <c r="H929" s="1" t="n"/>
      <c r="I929" s="1" t="n"/>
    </row>
    <row r="930" ht="15.75" customHeight="1" s="311">
      <c r="A930" s="1" t="n"/>
      <c r="B930" s="1" t="n"/>
      <c r="C930" s="1" t="n"/>
      <c r="D930" s="1" t="n"/>
      <c r="E930" s="1" t="n"/>
      <c r="F930" s="1" t="n"/>
      <c r="G930" s="1" t="n"/>
      <c r="H930" s="1" t="n"/>
      <c r="I930" s="1" t="n"/>
    </row>
    <row r="931" ht="15.75" customHeight="1" s="311">
      <c r="A931" s="1" t="n"/>
      <c r="B931" s="1" t="n"/>
      <c r="C931" s="1" t="n"/>
      <c r="D931" s="1" t="n"/>
      <c r="E931" s="1" t="n"/>
      <c r="F931" s="1" t="n"/>
      <c r="G931" s="1" t="n"/>
      <c r="H931" s="1" t="n"/>
      <c r="I931" s="1" t="n"/>
    </row>
    <row r="932" ht="15.75" customHeight="1" s="311">
      <c r="A932" s="1" t="n"/>
      <c r="B932" s="1" t="n"/>
      <c r="C932" s="1" t="n"/>
      <c r="D932" s="1" t="n"/>
      <c r="E932" s="1" t="n"/>
      <c r="F932" s="1" t="n"/>
      <c r="G932" s="1" t="n"/>
      <c r="H932" s="1" t="n"/>
      <c r="I932" s="1" t="n"/>
    </row>
    <row r="933" ht="15.75" customHeight="1" s="311">
      <c r="A933" s="1" t="n"/>
      <c r="B933" s="1" t="n"/>
      <c r="C933" s="1" t="n"/>
      <c r="D933" s="1" t="n"/>
      <c r="E933" s="1" t="n"/>
      <c r="F933" s="1" t="n"/>
      <c r="G933" s="1" t="n"/>
      <c r="H933" s="1" t="n"/>
      <c r="I933" s="1" t="n"/>
    </row>
    <row r="934" ht="15.75" customHeight="1" s="311">
      <c r="A934" s="1" t="n"/>
      <c r="B934" s="1" t="n"/>
      <c r="C934" s="1" t="n"/>
      <c r="D934" s="1" t="n"/>
      <c r="E934" s="1" t="n"/>
      <c r="F934" s="1" t="n"/>
      <c r="G934" s="1" t="n"/>
      <c r="H934" s="1" t="n"/>
      <c r="I934" s="1" t="n"/>
    </row>
    <row r="935" ht="15.75" customHeight="1" s="311">
      <c r="A935" s="1" t="n"/>
      <c r="B935" s="1" t="n"/>
      <c r="C935" s="1" t="n"/>
      <c r="D935" s="1" t="n"/>
      <c r="E935" s="1" t="n"/>
      <c r="F935" s="1" t="n"/>
      <c r="G935" s="1" t="n"/>
      <c r="H935" s="1" t="n"/>
      <c r="I935" s="1" t="n"/>
    </row>
    <row r="936" ht="15.75" customHeight="1" s="311">
      <c r="A936" s="1" t="n"/>
      <c r="B936" s="1" t="n"/>
      <c r="C936" s="1" t="n"/>
      <c r="D936" s="1" t="n"/>
      <c r="E936" s="1" t="n"/>
      <c r="F936" s="1" t="n"/>
      <c r="G936" s="1" t="n"/>
      <c r="H936" s="1" t="n"/>
      <c r="I936" s="1" t="n"/>
    </row>
    <row r="937" ht="15.75" customHeight="1" s="311">
      <c r="A937" s="1" t="n"/>
      <c r="B937" s="1" t="n"/>
      <c r="C937" s="1" t="n"/>
      <c r="D937" s="1" t="n"/>
      <c r="E937" s="1" t="n"/>
      <c r="F937" s="1" t="n"/>
      <c r="G937" s="1" t="n"/>
      <c r="H937" s="1" t="n"/>
      <c r="I937" s="1" t="n"/>
    </row>
    <row r="938" ht="15.75" customHeight="1" s="311">
      <c r="A938" s="1" t="n"/>
      <c r="B938" s="1" t="n"/>
      <c r="C938" s="1" t="n"/>
      <c r="D938" s="1" t="n"/>
      <c r="E938" s="1" t="n"/>
      <c r="F938" s="1" t="n"/>
      <c r="G938" s="1" t="n"/>
      <c r="H938" s="1" t="n"/>
      <c r="I938" s="1" t="n"/>
    </row>
    <row r="939" ht="15.75" customHeight="1" s="311">
      <c r="A939" s="1" t="n"/>
      <c r="B939" s="1" t="n"/>
      <c r="C939" s="1" t="n"/>
      <c r="D939" s="1" t="n"/>
      <c r="E939" s="1" t="n"/>
      <c r="F939" s="1" t="n"/>
      <c r="G939" s="1" t="n"/>
      <c r="H939" s="1" t="n"/>
      <c r="I939" s="1" t="n"/>
    </row>
    <row r="940" ht="15.75" customHeight="1" s="311">
      <c r="A940" s="1" t="n"/>
      <c r="B940" s="1" t="n"/>
      <c r="C940" s="1" t="n"/>
      <c r="D940" s="1" t="n"/>
      <c r="E940" s="1" t="n"/>
      <c r="F940" s="1" t="n"/>
      <c r="G940" s="1" t="n"/>
      <c r="H940" s="1" t="n"/>
      <c r="I940" s="1" t="n"/>
    </row>
    <row r="941" ht="15.75" customHeight="1" s="311">
      <c r="A941" s="1" t="n"/>
      <c r="B941" s="1" t="n"/>
      <c r="C941" s="1" t="n"/>
      <c r="D941" s="1" t="n"/>
      <c r="E941" s="1" t="n"/>
      <c r="F941" s="1" t="n"/>
      <c r="G941" s="1" t="n"/>
      <c r="H941" s="1" t="n"/>
      <c r="I941" s="1" t="n"/>
    </row>
    <row r="942" ht="15.75" customHeight="1" s="311">
      <c r="A942" s="1" t="n"/>
      <c r="B942" s="1" t="n"/>
      <c r="C942" s="1" t="n"/>
      <c r="D942" s="1" t="n"/>
      <c r="E942" s="1" t="n"/>
      <c r="F942" s="1" t="n"/>
      <c r="G942" s="1" t="n"/>
      <c r="H942" s="1" t="n"/>
      <c r="I942" s="1" t="n"/>
    </row>
    <row r="943" ht="15.75" customHeight="1" s="311">
      <c r="A943" s="1" t="n"/>
      <c r="B943" s="1" t="n"/>
      <c r="C943" s="1" t="n"/>
      <c r="D943" s="1" t="n"/>
      <c r="E943" s="1" t="n"/>
      <c r="F943" s="1" t="n"/>
      <c r="G943" s="1" t="n"/>
      <c r="H943" s="1" t="n"/>
      <c r="I943" s="1" t="n"/>
    </row>
    <row r="944" ht="15.75" customHeight="1" s="311">
      <c r="A944" s="1" t="n"/>
      <c r="B944" s="1" t="n"/>
      <c r="C944" s="1" t="n"/>
      <c r="D944" s="1" t="n"/>
      <c r="E944" s="1" t="n"/>
      <c r="F944" s="1" t="n"/>
      <c r="G944" s="1" t="n"/>
      <c r="H944" s="1" t="n"/>
      <c r="I944" s="1" t="n"/>
    </row>
    <row r="945" ht="15.75" customHeight="1" s="311">
      <c r="A945" s="1" t="n"/>
      <c r="B945" s="1" t="n"/>
      <c r="C945" s="1" t="n"/>
      <c r="D945" s="1" t="n"/>
      <c r="E945" s="1" t="n"/>
      <c r="F945" s="1" t="n"/>
      <c r="G945" s="1" t="n"/>
      <c r="H945" s="1" t="n"/>
      <c r="I945" s="1" t="n"/>
    </row>
    <row r="946" ht="15.75" customHeight="1" s="311">
      <c r="A946" s="1" t="n"/>
      <c r="B946" s="1" t="n"/>
      <c r="C946" s="1" t="n"/>
      <c r="D946" s="1" t="n"/>
      <c r="E946" s="1" t="n"/>
      <c r="F946" s="1" t="n"/>
      <c r="G946" s="1" t="n"/>
      <c r="H946" s="1" t="n"/>
      <c r="I946" s="1" t="n"/>
    </row>
    <row r="947" ht="15.75" customHeight="1" s="311">
      <c r="A947" s="1" t="n"/>
      <c r="B947" s="1" t="n"/>
      <c r="C947" s="1" t="n"/>
      <c r="D947" s="1" t="n"/>
      <c r="E947" s="1" t="n"/>
      <c r="F947" s="1" t="n"/>
      <c r="G947" s="1" t="n"/>
      <c r="H947" s="1" t="n"/>
      <c r="I947" s="1" t="n"/>
    </row>
    <row r="948" ht="15.75" customHeight="1" s="311">
      <c r="A948" s="1" t="n"/>
      <c r="B948" s="1" t="n"/>
      <c r="C948" s="1" t="n"/>
      <c r="D948" s="1" t="n"/>
      <c r="E948" s="1" t="n"/>
      <c r="F948" s="1" t="n"/>
      <c r="G948" s="1" t="n"/>
      <c r="H948" s="1" t="n"/>
      <c r="I948" s="1" t="n"/>
    </row>
    <row r="949" ht="15.75" customHeight="1" s="311">
      <c r="A949" s="1" t="n"/>
      <c r="B949" s="1" t="n"/>
      <c r="C949" s="1" t="n"/>
      <c r="D949" s="1" t="n"/>
      <c r="E949" s="1" t="n"/>
      <c r="F949" s="1" t="n"/>
      <c r="G949" s="1" t="n"/>
      <c r="H949" s="1" t="n"/>
      <c r="I949" s="1" t="n"/>
    </row>
    <row r="950" ht="15.75" customHeight="1" s="311">
      <c r="A950" s="1" t="n"/>
      <c r="B950" s="1" t="n"/>
      <c r="C950" s="1" t="n"/>
      <c r="D950" s="1" t="n"/>
      <c r="E950" s="1" t="n"/>
      <c r="F950" s="1" t="n"/>
      <c r="G950" s="1" t="n"/>
      <c r="H950" s="1" t="n"/>
      <c r="I950" s="1" t="n"/>
    </row>
    <row r="951" ht="15.75" customHeight="1" s="311">
      <c r="A951" s="1" t="n"/>
      <c r="B951" s="1" t="n"/>
      <c r="C951" s="1" t="n"/>
      <c r="D951" s="1" t="n"/>
      <c r="E951" s="1" t="n"/>
      <c r="F951" s="1" t="n"/>
      <c r="G951" s="1" t="n"/>
      <c r="H951" s="1" t="n"/>
      <c r="I951" s="1" t="n"/>
    </row>
    <row r="952" ht="15.75" customHeight="1" s="311">
      <c r="A952" s="1" t="n"/>
      <c r="B952" s="1" t="n"/>
      <c r="C952" s="1" t="n"/>
      <c r="D952" s="1" t="n"/>
      <c r="E952" s="1" t="n"/>
      <c r="F952" s="1" t="n"/>
      <c r="G952" s="1" t="n"/>
      <c r="H952" s="1" t="n"/>
      <c r="I952" s="1" t="n"/>
    </row>
    <row r="953" ht="15.75" customHeight="1" s="311">
      <c r="A953" s="1" t="n"/>
      <c r="B953" s="1" t="n"/>
      <c r="C953" s="1" t="n"/>
      <c r="D953" s="1" t="n"/>
      <c r="E953" s="1" t="n"/>
      <c r="F953" s="1" t="n"/>
      <c r="G953" s="1" t="n"/>
      <c r="H953" s="1" t="n"/>
      <c r="I953" s="1" t="n"/>
    </row>
    <row r="954" ht="15.75" customHeight="1" s="311">
      <c r="A954" s="1" t="n"/>
      <c r="B954" s="1" t="n"/>
      <c r="C954" s="1" t="n"/>
      <c r="D954" s="1" t="n"/>
      <c r="E954" s="1" t="n"/>
      <c r="F954" s="1" t="n"/>
      <c r="G954" s="1" t="n"/>
      <c r="H954" s="1" t="n"/>
      <c r="I954" s="1" t="n"/>
    </row>
    <row r="955" ht="15.75" customHeight="1" s="311">
      <c r="A955" s="1" t="n"/>
      <c r="B955" s="1" t="n"/>
      <c r="C955" s="1" t="n"/>
      <c r="D955" s="1" t="n"/>
      <c r="E955" s="1" t="n"/>
      <c r="F955" s="1" t="n"/>
      <c r="G955" s="1" t="n"/>
      <c r="H955" s="1" t="n"/>
      <c r="I955" s="1" t="n"/>
    </row>
    <row r="956" ht="15.75" customHeight="1" s="311">
      <c r="A956" s="1" t="n"/>
      <c r="B956" s="1" t="n"/>
      <c r="C956" s="1" t="n"/>
      <c r="D956" s="1" t="n"/>
      <c r="E956" s="1" t="n"/>
      <c r="F956" s="1" t="n"/>
      <c r="G956" s="1" t="n"/>
      <c r="H956" s="1" t="n"/>
      <c r="I956" s="1" t="n"/>
    </row>
    <row r="957" ht="15.75" customHeight="1" s="311">
      <c r="A957" s="1" t="n"/>
      <c r="B957" s="1" t="n"/>
      <c r="C957" s="1" t="n"/>
      <c r="D957" s="1" t="n"/>
      <c r="E957" s="1" t="n"/>
      <c r="F957" s="1" t="n"/>
      <c r="G957" s="1" t="n"/>
      <c r="H957" s="1" t="n"/>
      <c r="I957" s="1" t="n"/>
    </row>
    <row r="958" ht="15.75" customHeight="1" s="311">
      <c r="A958" s="1" t="n"/>
      <c r="B958" s="1" t="n"/>
      <c r="C958" s="1" t="n"/>
      <c r="D958" s="1" t="n"/>
      <c r="E958" s="1" t="n"/>
      <c r="F958" s="1" t="n"/>
      <c r="G958" s="1" t="n"/>
      <c r="H958" s="1" t="n"/>
      <c r="I958" s="1" t="n"/>
    </row>
    <row r="959" ht="15.75" customHeight="1" s="311">
      <c r="A959" s="1" t="n"/>
      <c r="B959" s="1" t="n"/>
      <c r="C959" s="1" t="n"/>
      <c r="D959" s="1" t="n"/>
      <c r="E959" s="1" t="n"/>
      <c r="F959" s="1" t="n"/>
      <c r="G959" s="1" t="n"/>
      <c r="H959" s="1" t="n"/>
      <c r="I959" s="1" t="n"/>
    </row>
    <row r="960" ht="15.75" customHeight="1" s="311">
      <c r="A960" s="1" t="n"/>
      <c r="B960" s="1" t="n"/>
      <c r="C960" s="1" t="n"/>
      <c r="D960" s="1" t="n"/>
      <c r="E960" s="1" t="n"/>
      <c r="F960" s="1" t="n"/>
      <c r="G960" s="1" t="n"/>
      <c r="H960" s="1" t="n"/>
      <c r="I960" s="1" t="n"/>
    </row>
    <row r="961" ht="15.75" customHeight="1" s="311">
      <c r="A961" s="1" t="n"/>
      <c r="B961" s="1" t="n"/>
      <c r="C961" s="1" t="n"/>
      <c r="D961" s="1" t="n"/>
      <c r="E961" s="1" t="n"/>
      <c r="F961" s="1" t="n"/>
      <c r="G961" s="1" t="n"/>
      <c r="H961" s="1" t="n"/>
      <c r="I961" s="1" t="n"/>
    </row>
    <row r="962" ht="15.75" customHeight="1" s="311">
      <c r="A962" s="1" t="n"/>
      <c r="B962" s="1" t="n"/>
      <c r="C962" s="1" t="n"/>
      <c r="D962" s="1" t="n"/>
      <c r="E962" s="1" t="n"/>
      <c r="F962" s="1" t="n"/>
      <c r="G962" s="1" t="n"/>
      <c r="H962" s="1" t="n"/>
      <c r="I962" s="1" t="n"/>
    </row>
    <row r="963" ht="15.75" customHeight="1" s="311">
      <c r="A963" s="1" t="n"/>
      <c r="B963" s="1" t="n"/>
      <c r="C963" s="1" t="n"/>
      <c r="D963" s="1" t="n"/>
      <c r="E963" s="1" t="n"/>
      <c r="F963" s="1" t="n"/>
      <c r="G963" s="1" t="n"/>
      <c r="H963" s="1" t="n"/>
      <c r="I963" s="1" t="n"/>
    </row>
    <row r="964" ht="15.75" customHeight="1" s="311">
      <c r="A964" s="1" t="n"/>
      <c r="B964" s="1" t="n"/>
      <c r="C964" s="1" t="n"/>
      <c r="D964" s="1" t="n"/>
      <c r="E964" s="1" t="n"/>
      <c r="F964" s="1" t="n"/>
      <c r="G964" s="1" t="n"/>
      <c r="H964" s="1" t="n"/>
      <c r="I964" s="1" t="n"/>
    </row>
    <row r="965" ht="15.75" customHeight="1" s="311">
      <c r="A965" s="1" t="n"/>
      <c r="B965" s="1" t="n"/>
      <c r="C965" s="1" t="n"/>
      <c r="D965" s="1" t="n"/>
      <c r="E965" s="1" t="n"/>
      <c r="F965" s="1" t="n"/>
      <c r="G965" s="1" t="n"/>
      <c r="H965" s="1" t="n"/>
      <c r="I965" s="1" t="n"/>
    </row>
    <row r="966" ht="15.75" customHeight="1" s="311">
      <c r="A966" s="1" t="n"/>
      <c r="B966" s="1" t="n"/>
      <c r="C966" s="1" t="n"/>
      <c r="D966" s="1" t="n"/>
      <c r="E966" s="1" t="n"/>
      <c r="F966" s="1" t="n"/>
      <c r="G966" s="1" t="n"/>
      <c r="H966" s="1" t="n"/>
      <c r="I966" s="1" t="n"/>
    </row>
    <row r="967" ht="15.75" customHeight="1" s="311">
      <c r="A967" s="1" t="n"/>
      <c r="B967" s="1" t="n"/>
      <c r="C967" s="1" t="n"/>
      <c r="D967" s="1" t="n"/>
      <c r="E967" s="1" t="n"/>
      <c r="F967" s="1" t="n"/>
      <c r="G967" s="1" t="n"/>
      <c r="H967" s="1" t="n"/>
      <c r="I967" s="1" t="n"/>
    </row>
    <row r="968" ht="15.75" customHeight="1" s="311">
      <c r="A968" s="1" t="n"/>
      <c r="B968" s="1" t="n"/>
      <c r="C968" s="1" t="n"/>
      <c r="D968" s="1" t="n"/>
      <c r="E968" s="1" t="n"/>
      <c r="F968" s="1" t="n"/>
      <c r="G968" s="1" t="n"/>
      <c r="H968" s="1" t="n"/>
      <c r="I968" s="1" t="n"/>
    </row>
    <row r="969" ht="15.75" customHeight="1" s="311">
      <c r="A969" s="1" t="n"/>
      <c r="B969" s="1" t="n"/>
      <c r="C969" s="1" t="n"/>
      <c r="D969" s="1" t="n"/>
      <c r="E969" s="1" t="n"/>
      <c r="F969" s="1" t="n"/>
      <c r="G969" s="1" t="n"/>
      <c r="H969" s="1" t="n"/>
      <c r="I969" s="1" t="n"/>
    </row>
    <row r="970" ht="15.75" customHeight="1" s="311">
      <c r="A970" s="1" t="n"/>
      <c r="B970" s="1" t="n"/>
      <c r="C970" s="1" t="n"/>
      <c r="D970" s="1" t="n"/>
      <c r="E970" s="1" t="n"/>
      <c r="F970" s="1" t="n"/>
      <c r="G970" s="1" t="n"/>
      <c r="H970" s="1" t="n"/>
      <c r="I970" s="1" t="n"/>
    </row>
    <row r="971" ht="15.75" customHeight="1" s="311">
      <c r="A971" s="1" t="n"/>
      <c r="B971" s="1" t="n"/>
      <c r="C971" s="1" t="n"/>
      <c r="D971" s="1" t="n"/>
      <c r="E971" s="1" t="n"/>
      <c r="F971" s="1" t="n"/>
      <c r="G971" s="1" t="n"/>
      <c r="H971" s="1" t="n"/>
      <c r="I971" s="1" t="n"/>
    </row>
    <row r="972" ht="15.75" customHeight="1" s="311">
      <c r="A972" s="1" t="n"/>
      <c r="B972" s="1" t="n"/>
      <c r="C972" s="1" t="n"/>
      <c r="D972" s="1" t="n"/>
      <c r="E972" s="1" t="n"/>
      <c r="F972" s="1" t="n"/>
      <c r="G972" s="1" t="n"/>
      <c r="H972" s="1" t="n"/>
      <c r="I972" s="1" t="n"/>
    </row>
    <row r="973" ht="15.75" customHeight="1" s="311">
      <c r="A973" s="1" t="n"/>
      <c r="B973" s="1" t="n"/>
      <c r="C973" s="1" t="n"/>
      <c r="D973" s="1" t="n"/>
      <c r="E973" s="1" t="n"/>
      <c r="F973" s="1" t="n"/>
      <c r="G973" s="1" t="n"/>
      <c r="H973" s="1" t="n"/>
      <c r="I973" s="1" t="n"/>
    </row>
    <row r="974" ht="15.75" customHeight="1" s="311">
      <c r="A974" s="1" t="n"/>
      <c r="B974" s="1" t="n"/>
      <c r="C974" s="1" t="n"/>
      <c r="D974" s="1" t="n"/>
      <c r="E974" s="1" t="n"/>
      <c r="F974" s="1" t="n"/>
      <c r="G974" s="1" t="n"/>
      <c r="H974" s="1" t="n"/>
      <c r="I974" s="1" t="n"/>
    </row>
    <row r="975" ht="15.75" customHeight="1" s="311">
      <c r="A975" s="1" t="n"/>
      <c r="B975" s="1" t="n"/>
      <c r="C975" s="1" t="n"/>
      <c r="D975" s="1" t="n"/>
      <c r="E975" s="1" t="n"/>
      <c r="F975" s="1" t="n"/>
      <c r="G975" s="1" t="n"/>
      <c r="H975" s="1" t="n"/>
      <c r="I975" s="1" t="n"/>
    </row>
    <row r="976" ht="15.75" customHeight="1" s="311">
      <c r="A976" s="1" t="n"/>
      <c r="B976" s="1" t="n"/>
      <c r="C976" s="1" t="n"/>
      <c r="D976" s="1" t="n"/>
      <c r="E976" s="1" t="n"/>
      <c r="F976" s="1" t="n"/>
      <c r="G976" s="1" t="n"/>
      <c r="H976" s="1" t="n"/>
      <c r="I976" s="1" t="n"/>
    </row>
    <row r="977" ht="15.75" customHeight="1" s="311">
      <c r="A977" s="1" t="n"/>
      <c r="B977" s="1" t="n"/>
      <c r="C977" s="1" t="n"/>
      <c r="D977" s="1" t="n"/>
      <c r="E977" s="1" t="n"/>
      <c r="F977" s="1" t="n"/>
      <c r="G977" s="1" t="n"/>
      <c r="H977" s="1" t="n"/>
      <c r="I977" s="1" t="n"/>
    </row>
    <row r="978" ht="15.75" customHeight="1" s="311">
      <c r="A978" s="1" t="n"/>
      <c r="B978" s="1" t="n"/>
      <c r="C978" s="1" t="n"/>
      <c r="D978" s="1" t="n"/>
      <c r="E978" s="1" t="n"/>
      <c r="F978" s="1" t="n"/>
      <c r="G978" s="1" t="n"/>
      <c r="H978" s="1" t="n"/>
      <c r="I978" s="1" t="n"/>
    </row>
    <row r="979" ht="15.75" customHeight="1" s="311">
      <c r="A979" s="1" t="n"/>
      <c r="B979" s="1" t="n"/>
      <c r="C979" s="1" t="n"/>
      <c r="D979" s="1" t="n"/>
      <c r="E979" s="1" t="n"/>
      <c r="F979" s="1" t="n"/>
      <c r="G979" s="1" t="n"/>
      <c r="H979" s="1" t="n"/>
      <c r="I979" s="1" t="n"/>
    </row>
    <row r="980" ht="15.75" customHeight="1" s="311">
      <c r="A980" s="1" t="n"/>
      <c r="B980" s="1" t="n"/>
      <c r="C980" s="1" t="n"/>
      <c r="D980" s="1" t="n"/>
      <c r="E980" s="1" t="n"/>
      <c r="F980" s="1" t="n"/>
      <c r="G980" s="1" t="n"/>
      <c r="H980" s="1" t="n"/>
      <c r="I980" s="1" t="n"/>
    </row>
    <row r="981" ht="15.75" customHeight="1" s="311">
      <c r="A981" s="1" t="n"/>
      <c r="B981" s="1" t="n"/>
      <c r="C981" s="1" t="n"/>
      <c r="D981" s="1" t="n"/>
      <c r="E981" s="1" t="n"/>
      <c r="F981" s="1" t="n"/>
      <c r="G981" s="1" t="n"/>
      <c r="H981" s="1" t="n"/>
      <c r="I981" s="1" t="n"/>
    </row>
    <row r="982" ht="15.75" customHeight="1" s="311">
      <c r="A982" s="1" t="n"/>
      <c r="B982" s="1" t="n"/>
      <c r="C982" s="1" t="n"/>
      <c r="D982" s="1" t="n"/>
      <c r="E982" s="1" t="n"/>
      <c r="F982" s="1" t="n"/>
      <c r="G982" s="1" t="n"/>
      <c r="H982" s="1" t="n"/>
      <c r="I982" s="1" t="n"/>
    </row>
    <row r="983" ht="15.75" customHeight="1" s="311">
      <c r="A983" s="1" t="n"/>
      <c r="B983" s="1" t="n"/>
      <c r="C983" s="1" t="n"/>
      <c r="D983" s="1" t="n"/>
      <c r="E983" s="1" t="n"/>
      <c r="F983" s="1" t="n"/>
      <c r="G983" s="1" t="n"/>
      <c r="H983" s="1" t="n"/>
      <c r="I983" s="1" t="n"/>
    </row>
    <row r="984" ht="15.75" customHeight="1" s="311">
      <c r="A984" s="1" t="n"/>
      <c r="B984" s="1" t="n"/>
      <c r="C984" s="1" t="n"/>
      <c r="D984" s="1" t="n"/>
      <c r="E984" s="1" t="n"/>
      <c r="F984" s="1" t="n"/>
      <c r="G984" s="1" t="n"/>
      <c r="H984" s="1" t="n"/>
      <c r="I984" s="1" t="n"/>
    </row>
    <row r="985" ht="15.75" customHeight="1" s="311">
      <c r="A985" s="1" t="n"/>
      <c r="B985" s="1" t="n"/>
      <c r="C985" s="1" t="n"/>
      <c r="D985" s="1" t="n"/>
      <c r="E985" s="1" t="n"/>
      <c r="F985" s="1" t="n"/>
      <c r="G985" s="1" t="n"/>
      <c r="H985" s="1" t="n"/>
      <c r="I985" s="1" t="n"/>
    </row>
    <row r="986" ht="15.75" customHeight="1" s="311">
      <c r="A986" s="1" t="n"/>
      <c r="B986" s="1" t="n"/>
      <c r="C986" s="1" t="n"/>
      <c r="D986" s="1" t="n"/>
      <c r="E986" s="1" t="n"/>
      <c r="F986" s="1" t="n"/>
      <c r="G986" s="1" t="n"/>
      <c r="H986" s="1" t="n"/>
      <c r="I986" s="1" t="n"/>
    </row>
    <row r="987" ht="15.75" customHeight="1" s="311">
      <c r="A987" s="1" t="n"/>
      <c r="B987" s="1" t="n"/>
      <c r="C987" s="1" t="n"/>
      <c r="D987" s="1" t="n"/>
      <c r="E987" s="1" t="n"/>
      <c r="F987" s="1" t="n"/>
      <c r="G987" s="1" t="n"/>
      <c r="H987" s="1" t="n"/>
      <c r="I987" s="1" t="n"/>
    </row>
    <row r="988" ht="15.75" customHeight="1" s="311">
      <c r="A988" s="1" t="n"/>
      <c r="B988" s="1" t="n"/>
      <c r="C988" s="1" t="n"/>
      <c r="D988" s="1" t="n"/>
      <c r="E988" s="1" t="n"/>
      <c r="F988" s="1" t="n"/>
      <c r="G988" s="1" t="n"/>
      <c r="H988" s="1" t="n"/>
      <c r="I988" s="1" t="n"/>
    </row>
    <row r="989" ht="15.75" customHeight="1" s="311">
      <c r="A989" s="1" t="n"/>
      <c r="B989" s="1" t="n"/>
      <c r="C989" s="1" t="n"/>
      <c r="D989" s="1" t="n"/>
      <c r="E989" s="1" t="n"/>
      <c r="F989" s="1" t="n"/>
      <c r="G989" s="1" t="n"/>
      <c r="H989" s="1" t="n"/>
      <c r="I989" s="1" t="n"/>
    </row>
    <row r="990" ht="15.75" customHeight="1" s="311">
      <c r="A990" s="1" t="n"/>
      <c r="B990" s="1" t="n"/>
      <c r="C990" s="1" t="n"/>
      <c r="D990" s="1" t="n"/>
      <c r="E990" s="1" t="n"/>
      <c r="F990" s="1" t="n"/>
      <c r="G990" s="1" t="n"/>
      <c r="H990" s="1" t="n"/>
      <c r="I990" s="1" t="n"/>
    </row>
    <row r="991" ht="15.75" customHeight="1" s="311">
      <c r="A991" s="1" t="n"/>
      <c r="B991" s="1" t="n"/>
      <c r="C991" s="1" t="n"/>
      <c r="D991" s="1" t="n"/>
      <c r="E991" s="1" t="n"/>
      <c r="F991" s="1" t="n"/>
      <c r="G991" s="1" t="n"/>
      <c r="H991" s="1" t="n"/>
      <c r="I991" s="1" t="n"/>
    </row>
    <row r="992" ht="15.75" customHeight="1" s="311">
      <c r="A992" s="1" t="n"/>
      <c r="B992" s="1" t="n"/>
      <c r="C992" s="1" t="n"/>
      <c r="D992" s="1" t="n"/>
      <c r="E992" s="1" t="n"/>
      <c r="F992" s="1" t="n"/>
      <c r="G992" s="1" t="n"/>
      <c r="H992" s="1" t="n"/>
      <c r="I992" s="1" t="n"/>
    </row>
    <row r="993" ht="15.75" customHeight="1" s="311">
      <c r="A993" s="1" t="n"/>
      <c r="B993" s="1" t="n"/>
      <c r="C993" s="1" t="n"/>
      <c r="D993" s="1" t="n"/>
      <c r="E993" s="1" t="n"/>
      <c r="F993" s="1" t="n"/>
      <c r="G993" s="1" t="n"/>
      <c r="H993" s="1" t="n"/>
      <c r="I993" s="1" t="n"/>
    </row>
    <row r="994" ht="15.75" customHeight="1" s="311">
      <c r="A994" s="1" t="n"/>
      <c r="B994" s="1" t="n"/>
      <c r="C994" s="1" t="n"/>
      <c r="D994" s="1" t="n"/>
      <c r="E994" s="1" t="n"/>
      <c r="F994" s="1" t="n"/>
      <c r="G994" s="1" t="n"/>
      <c r="H994" s="1" t="n"/>
      <c r="I994" s="1" t="n"/>
    </row>
    <row r="995" ht="15.75" customHeight="1" s="311">
      <c r="A995" s="1" t="n"/>
      <c r="B995" s="1" t="n"/>
      <c r="C995" s="1" t="n"/>
      <c r="D995" s="1" t="n"/>
      <c r="E995" s="1" t="n"/>
      <c r="F995" s="1" t="n"/>
      <c r="G995" s="1" t="n"/>
      <c r="H995" s="1" t="n"/>
      <c r="I995" s="1" t="n"/>
    </row>
    <row r="996" ht="15.75" customHeight="1" s="311">
      <c r="A996" s="1" t="n"/>
      <c r="B996" s="1" t="n"/>
      <c r="C996" s="1" t="n"/>
      <c r="D996" s="1" t="n"/>
      <c r="E996" s="1" t="n"/>
      <c r="F996" s="1" t="n"/>
      <c r="G996" s="1" t="n"/>
      <c r="H996" s="1" t="n"/>
      <c r="I996" s="1" t="n"/>
    </row>
    <row r="997" ht="15.75" customHeight="1" s="311">
      <c r="A997" s="1" t="n"/>
      <c r="B997" s="1" t="n"/>
      <c r="C997" s="1" t="n"/>
      <c r="D997" s="1" t="n"/>
      <c r="E997" s="1" t="n"/>
      <c r="F997" s="1" t="n"/>
      <c r="G997" s="1" t="n"/>
      <c r="H997" s="1" t="n"/>
      <c r="I997" s="1" t="n"/>
    </row>
    <row r="998" ht="15.75" customHeight="1" s="311">
      <c r="A998" s="1" t="n"/>
      <c r="B998" s="1" t="n"/>
      <c r="C998" s="1" t="n"/>
      <c r="D998" s="1" t="n"/>
      <c r="E998" s="1" t="n"/>
      <c r="F998" s="1" t="n"/>
      <c r="G998" s="1" t="n"/>
      <c r="H998" s="1" t="n"/>
      <c r="I998" s="1" t="n"/>
    </row>
    <row r="999" ht="15.75" customHeight="1" s="311">
      <c r="A999" s="1" t="n"/>
      <c r="B999" s="1" t="n"/>
      <c r="C999" s="1" t="n"/>
      <c r="D999" s="1" t="n"/>
      <c r="E999" s="1" t="n"/>
      <c r="F999" s="1" t="n"/>
      <c r="G999" s="1" t="n"/>
      <c r="H999" s="1" t="n"/>
      <c r="I999" s="1" t="n"/>
    </row>
    <row r="1000" ht="15.75" customHeight="1" s="311">
      <c r="A1000" s="1" t="n"/>
      <c r="B1000" s="1" t="n"/>
      <c r="C1000" s="1" t="n"/>
      <c r="D1000" s="1" t="n"/>
      <c r="E1000" s="1" t="n"/>
      <c r="F1000" s="1" t="n"/>
      <c r="G1000" s="1" t="n"/>
      <c r="H1000" s="1" t="n"/>
      <c r="I1000" s="1" t="n"/>
    </row>
  </sheetData>
  <conditionalFormatting sqref="D11:H11">
    <cfRule type="cellIs" priority="1" operator="notEqual" dxfId="3">
      <formula>1</formula>
    </cfRule>
  </conditionalFormatting>
  <conditionalFormatting sqref="D30:H30">
    <cfRule type="cellIs" priority="2" operator="lessThan" dxfId="3">
      <formula>50</formula>
    </cfRule>
  </conditionalFormatting>
  <conditionalFormatting sqref="D49:H49">
    <cfRule type="cellIs" priority="3" operator="lessThan" dxfId="3">
      <formula>0</formula>
    </cfRule>
  </conditionalFormatting>
  <pageMargins left="0.75" right="0.75" top="1" bottom="1" header="0" footer="0"/>
  <pageSetup orientation="portrait" paperSize="9"/>
</worksheet>
</file>

<file path=xl/worksheets/sheet15.xml><?xml version="1.0" encoding="utf-8"?>
<worksheet xmlns="http://schemas.openxmlformats.org/spreadsheetml/2006/main">
  <sheetPr>
    <tabColor rgb="FFB0621F"/>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11" min="1" max="1"/>
    <col width="22.57" customWidth="1" style="311" min="2" max="2"/>
    <col width="48.57" customWidth="1" style="311" min="3" max="3"/>
    <col width="14" customWidth="1" style="311" min="4" max="6"/>
    <col width="22.71" customWidth="1" style="311" min="7" max="7"/>
    <col width="11" customWidth="1" style="311" min="8" max="8"/>
    <col width="27.43" customWidth="1" style="311" min="9" max="9"/>
    <col width="11" customWidth="1" style="311" min="10" max="10"/>
    <col width="28.29" customWidth="1" style="311" min="11" max="11"/>
    <col width="10" customWidth="1" style="311" min="12" max="13"/>
  </cols>
  <sheetData>
    <row r="1" ht="21.75" customHeight="1" s="311">
      <c r="A1" s="145" t="n"/>
      <c r="B1" s="19" t="inlineStr">
        <is>
          <t>RATIOS FINANCIEROS Y EVALUACIÓN DEL DESEMPEÑO</t>
        </is>
      </c>
      <c r="C1" s="145" t="n"/>
      <c r="D1" s="145" t="n"/>
      <c r="E1" s="145" t="n"/>
      <c r="F1" s="145" t="n"/>
      <c r="G1" s="145" t="n"/>
      <c r="H1" s="145" t="n"/>
      <c r="I1" s="145" t="n"/>
      <c r="J1" s="145" t="n"/>
      <c r="K1" s="145" t="n"/>
      <c r="L1" s="145" t="n"/>
      <c r="M1" s="145" t="n"/>
      <c r="N1" s="1" t="n"/>
      <c r="O1" s="1" t="n"/>
      <c r="P1" s="1" t="n"/>
      <c r="Q1" s="1" t="n"/>
      <c r="R1" s="1" t="n"/>
      <c r="S1" s="1" t="n"/>
      <c r="T1" s="1" t="n"/>
      <c r="U1" s="1" t="n"/>
      <c r="V1" s="1" t="n"/>
      <c r="W1" s="1" t="n"/>
      <c r="X1" s="1" t="n"/>
      <c r="Y1" s="1" t="n"/>
      <c r="Z1" s="1" t="n"/>
    </row>
    <row r="2" ht="53.25" customHeight="1" s="311">
      <c r="A2" s="145" t="n"/>
      <c r="B2" s="20" t="inlineStr">
        <is>
          <t>Todos los datos salen de los tres estados financieros, de Inversiones, Facturas y Disponibilidad. Cinco de los ratios de tu hoja antigua (EV/EBIT, EBIT/FCF, WACC, Equity Multiplier y ROIC) son métricas para valorar empresas cotizadas: los he traducido a su equivalente personal, que sí significa algo, y lo indico en cada uno.</t>
        </is>
      </c>
      <c r="C2" s="145" t="n"/>
      <c r="D2" s="145" t="n"/>
      <c r="E2" s="145" t="n"/>
      <c r="F2" s="145" t="n"/>
      <c r="G2" s="145" t="n"/>
      <c r="H2" s="145" t="n"/>
      <c r="I2" s="145" t="n"/>
      <c r="J2" s="145" t="n"/>
      <c r="K2" s="145" t="n"/>
      <c r="L2" s="145" t="n"/>
      <c r="M2" s="145" t="n"/>
      <c r="N2" s="1" t="n"/>
      <c r="O2" s="1" t="n"/>
      <c r="P2" s="1" t="n"/>
      <c r="Q2" s="1" t="n"/>
      <c r="R2" s="1" t="n"/>
      <c r="S2" s="1" t="n"/>
      <c r="T2" s="1" t="n"/>
      <c r="U2" s="1" t="n"/>
      <c r="V2" s="1" t="n"/>
      <c r="W2" s="1" t="n"/>
      <c r="X2" s="1" t="n"/>
      <c r="Y2" s="1" t="n"/>
      <c r="Z2" s="1" t="n"/>
    </row>
    <row r="3">
      <c r="A3" s="145" t="n"/>
      <c r="B3" s="145" t="n"/>
      <c r="C3" s="145" t="n"/>
      <c r="D3" s="145" t="n"/>
      <c r="E3" s="145" t="n"/>
      <c r="F3" s="145" t="n"/>
      <c r="G3" s="145" t="n"/>
      <c r="H3" s="145" t="n"/>
      <c r="I3" s="145" t="n"/>
      <c r="J3" s="145" t="n"/>
      <c r="K3" s="145" t="n"/>
      <c r="L3" s="145" t="n"/>
      <c r="M3" s="145" t="n"/>
      <c r="N3" s="1" t="n"/>
      <c r="O3" s="1" t="n"/>
      <c r="P3" s="1" t="n"/>
      <c r="Q3" s="1" t="n"/>
      <c r="R3" s="1" t="n"/>
      <c r="S3" s="1" t="n"/>
      <c r="T3" s="1" t="n"/>
      <c r="U3" s="1" t="n"/>
      <c r="V3" s="1" t="n"/>
      <c r="W3" s="1" t="n"/>
      <c r="X3" s="1" t="n"/>
      <c r="Y3" s="1" t="n"/>
      <c r="Z3" s="1" t="n"/>
    </row>
    <row r="4" ht="21.75" customHeight="1" s="311">
      <c r="A4" s="145" t="n"/>
      <c r="B4" s="21" t="inlineStr">
        <is>
          <t>PARÁMETROS  (edítalos si conoces las cifras reales)</t>
        </is>
      </c>
      <c r="C4" s="22" t="n"/>
      <c r="D4" s="22" t="n"/>
      <c r="E4" s="22" t="n"/>
      <c r="F4" s="22" t="n"/>
      <c r="G4" s="22" t="n"/>
      <c r="H4" s="22" t="n"/>
      <c r="I4" s="22" t="n"/>
      <c r="J4" s="145" t="n"/>
      <c r="K4" s="145" t="n"/>
      <c r="L4" s="145" t="n"/>
      <c r="M4" s="145" t="n"/>
      <c r="N4" s="1" t="n"/>
      <c r="O4" s="1" t="n"/>
      <c r="P4" s="1" t="n"/>
      <c r="Q4" s="1" t="n"/>
      <c r="R4" s="1" t="n"/>
      <c r="S4" s="1" t="n"/>
      <c r="T4" s="1" t="n"/>
      <c r="U4" s="1" t="n"/>
      <c r="V4" s="1" t="n"/>
      <c r="W4" s="1" t="n"/>
      <c r="X4" s="1" t="n"/>
      <c r="Y4" s="1" t="n"/>
      <c r="Z4" s="1" t="n"/>
    </row>
    <row r="5" ht="21.75" customHeight="1" s="311">
      <c r="A5" s="145" t="n"/>
      <c r="B5" s="46" t="inlineStr">
        <is>
          <t>Tipo medio de préstamos y empeños (anual)</t>
        </is>
      </c>
      <c r="C5" s="145" t="n"/>
      <c r="D5" s="180" t="n">
        <v>0.25</v>
      </c>
      <c r="E5" s="145" t="n"/>
      <c r="F5" s="145" t="n"/>
      <c r="G5" s="145" t="n"/>
      <c r="H5" s="145" t="n"/>
      <c r="I5" s="20" t="inlineStr">
        <is>
          <t>SUPUESTO. Las casas de empeño en España suelen moverse entre el 20% y el 30% TAE. Busca el tuyo en el contrato: afecta al coste medio de tu deuda.</t>
        </is>
      </c>
      <c r="J5" s="145" t="n"/>
      <c r="K5" s="145" t="n"/>
      <c r="L5" s="145" t="n"/>
      <c r="M5" s="145" t="n"/>
      <c r="N5" s="1" t="n"/>
      <c r="O5" s="1" t="n"/>
      <c r="P5" s="1" t="n"/>
      <c r="Q5" s="1" t="n"/>
      <c r="R5" s="1" t="n"/>
      <c r="S5" s="1" t="n"/>
      <c r="T5" s="1" t="n"/>
      <c r="U5" s="1" t="n"/>
      <c r="V5" s="1" t="n"/>
      <c r="W5" s="1" t="n"/>
      <c r="X5" s="1" t="n"/>
      <c r="Y5" s="1" t="n"/>
      <c r="Z5" s="1" t="n"/>
    </row>
    <row r="6" ht="15" customHeight="1" s="311">
      <c r="A6" s="145" t="n"/>
      <c r="B6" s="46" t="inlineStr">
        <is>
          <t>Pagos mínimos mensuales de tarjetas y empeños (€)</t>
        </is>
      </c>
      <c r="C6" s="145" t="n"/>
      <c r="D6" s="113" t="n">
        <v>260</v>
      </c>
      <c r="E6" s="145" t="n"/>
      <c r="F6" s="145" t="n"/>
      <c r="G6" s="145" t="n"/>
      <c r="H6" s="145" t="n"/>
      <c r="I6" s="20" t="inlineStr">
        <is>
          <t>60 € CaixaBank + 150 € BOI + 50 € Imagin, según tus facturas.</t>
        </is>
      </c>
      <c r="J6" s="145" t="n"/>
      <c r="K6" s="145" t="n"/>
      <c r="L6" s="145" t="n"/>
      <c r="M6" s="145" t="n"/>
      <c r="N6" s="1" t="n"/>
      <c r="O6" s="1" t="n"/>
      <c r="P6" s="1" t="n"/>
      <c r="Q6" s="1" t="n"/>
      <c r="R6" s="1" t="n"/>
      <c r="S6" s="1" t="n"/>
      <c r="T6" s="1" t="n"/>
      <c r="U6" s="1" t="n"/>
      <c r="V6" s="1" t="n"/>
      <c r="W6" s="1" t="n"/>
      <c r="X6" s="1" t="n"/>
      <c r="Y6" s="1" t="n"/>
      <c r="Z6" s="1" t="n"/>
    </row>
    <row r="7" ht="15" customHeight="1" s="311">
      <c r="A7" s="145" t="n"/>
      <c r="B7" s="46" t="inlineStr">
        <is>
          <t>Meses objetivo de fondo de emergencia</t>
        </is>
      </c>
      <c r="C7" s="145" t="n"/>
      <c r="D7" s="141" t="n">
        <v>6</v>
      </c>
      <c r="E7" s="145" t="n"/>
      <c r="F7" s="145" t="n"/>
      <c r="G7" s="145" t="n"/>
      <c r="H7" s="145" t="n"/>
      <c r="I7" s="20" t="inlineStr">
        <is>
          <t>Referencia habitual: 3 meses si el ingreso es estable, 6 si es variable.</t>
        </is>
      </c>
      <c r="J7" s="145" t="n"/>
      <c r="K7" s="145" t="n"/>
      <c r="L7" s="145" t="n"/>
      <c r="M7" s="145" t="n"/>
      <c r="N7" s="1" t="n"/>
      <c r="O7" s="1" t="n"/>
      <c r="P7" s="1" t="n"/>
      <c r="Q7" s="1" t="n"/>
      <c r="R7" s="1" t="n"/>
      <c r="S7" s="1" t="n"/>
      <c r="T7" s="1" t="n"/>
      <c r="U7" s="1" t="n"/>
      <c r="V7" s="1" t="n"/>
      <c r="W7" s="1" t="n"/>
      <c r="X7" s="1" t="n"/>
      <c r="Y7" s="1" t="n"/>
      <c r="Z7" s="1" t="n"/>
    </row>
    <row r="8">
      <c r="A8" s="145" t="n"/>
      <c r="B8" s="145" t="n"/>
      <c r="C8" s="145" t="n"/>
      <c r="D8" s="145" t="n"/>
      <c r="E8" s="145" t="n"/>
      <c r="F8" s="145" t="n"/>
      <c r="G8" s="145" t="n"/>
      <c r="H8" s="145" t="n"/>
      <c r="I8" s="145" t="n"/>
      <c r="J8" s="145" t="n"/>
      <c r="K8" s="145" t="n"/>
      <c r="L8" s="145" t="n"/>
      <c r="M8" s="145" t="n"/>
      <c r="N8" s="1" t="n"/>
      <c r="O8" s="1" t="n"/>
      <c r="P8" s="1" t="n"/>
      <c r="Q8" s="1" t="n"/>
      <c r="R8" s="1" t="n"/>
      <c r="S8" s="1" t="n"/>
      <c r="T8" s="1" t="n"/>
      <c r="U8" s="1" t="n"/>
      <c r="V8" s="1" t="n"/>
      <c r="W8" s="1" t="n"/>
      <c r="X8" s="1" t="n"/>
      <c r="Y8" s="1" t="n"/>
      <c r="Z8" s="1" t="n"/>
    </row>
    <row r="9">
      <c r="A9" s="145" t="n"/>
      <c r="B9" s="145" t="n"/>
      <c r="C9" s="145" t="n"/>
      <c r="D9" s="145" t="n"/>
      <c r="E9" s="145" t="n"/>
      <c r="F9" s="145" t="n"/>
      <c r="G9" s="145" t="n"/>
      <c r="H9" s="145" t="n"/>
      <c r="I9" s="145" t="n"/>
      <c r="J9" s="145" t="n"/>
      <c r="K9" s="145" t="n"/>
      <c r="L9" s="145" t="n"/>
      <c r="M9" s="145" t="n"/>
      <c r="N9" s="1" t="n"/>
      <c r="O9" s="1" t="n"/>
      <c r="P9" s="1" t="n"/>
      <c r="Q9" s="1" t="n"/>
      <c r="R9" s="1" t="n"/>
      <c r="S9" s="1" t="n"/>
      <c r="T9" s="1" t="n"/>
      <c r="U9" s="1" t="n"/>
      <c r="V9" s="1" t="n"/>
      <c r="W9" s="1" t="n"/>
      <c r="X9" s="1" t="n"/>
      <c r="Y9" s="1" t="n"/>
      <c r="Z9" s="1" t="n"/>
    </row>
    <row r="10" ht="30" customHeight="1" s="311">
      <c r="A10" s="145" t="n"/>
      <c r="B10" s="33" t="inlineStr">
        <is>
          <t>Ratio</t>
        </is>
      </c>
      <c r="C10" s="33" t="inlineStr">
        <is>
          <t>Cómo se calcula</t>
        </is>
      </c>
      <c r="D10" s="33" t="inlineStr">
        <is>
          <t>Valor</t>
        </is>
      </c>
      <c r="E10" s="33" t="inlineStr">
        <is>
          <t>Referencia</t>
        </is>
      </c>
      <c r="F10" s="33" t="inlineStr">
        <is>
          <t>Estado</t>
        </is>
      </c>
      <c r="G10" s="33" t="inlineStr">
        <is>
          <t>Puntos</t>
        </is>
      </c>
      <c r="H10" s="33" t="inlineStr">
        <is>
          <t>Peso</t>
        </is>
      </c>
      <c r="I10" s="33" t="inlineStr">
        <is>
          <t>Qué significa en tu caso</t>
        </is>
      </c>
      <c r="J10" s="145" t="n"/>
      <c r="K10" s="145" t="n"/>
      <c r="L10" s="145" t="n"/>
      <c r="M10" s="145" t="n"/>
      <c r="N10" s="1" t="n"/>
      <c r="O10" s="1" t="n"/>
      <c r="P10" s="1" t="n"/>
      <c r="Q10" s="1" t="n"/>
      <c r="R10" s="1" t="n"/>
      <c r="S10" s="1" t="n"/>
      <c r="T10" s="1" t="n"/>
      <c r="U10" s="1" t="n"/>
      <c r="V10" s="1" t="n"/>
      <c r="W10" s="1" t="n"/>
      <c r="X10" s="1" t="n"/>
      <c r="Y10" s="1" t="n"/>
      <c r="Z10" s="1" t="n"/>
    </row>
    <row r="11" ht="21.75" customHeight="1" s="311">
      <c r="A11" s="145" t="n"/>
      <c r="B11" s="32" t="inlineStr">
        <is>
          <t>1.  SOLVENCIA Y ESTRUCTURA PATRIMONIAL</t>
        </is>
      </c>
      <c r="C11" s="30" t="n"/>
      <c r="D11" s="30" t="n"/>
      <c r="E11" s="30" t="n"/>
      <c r="F11" s="30" t="n"/>
      <c r="G11" s="30" t="n"/>
      <c r="H11" s="30" t="n"/>
      <c r="I11" s="30" t="n"/>
      <c r="J11" s="145" t="n"/>
      <c r="K11" s="145" t="n"/>
      <c r="L11" s="145" t="n"/>
      <c r="M11" s="145" t="n"/>
      <c r="N11" s="1" t="n"/>
      <c r="O11" s="1" t="n"/>
      <c r="P11" s="1" t="n"/>
      <c r="Q11" s="1" t="n"/>
      <c r="R11" s="1" t="n"/>
      <c r="S11" s="1" t="n"/>
      <c r="T11" s="1" t="n"/>
      <c r="U11" s="1" t="n"/>
      <c r="V11" s="1" t="n"/>
      <c r="W11" s="1" t="n"/>
      <c r="X11" s="1" t="n"/>
      <c r="Y11" s="1" t="n"/>
      <c r="Z11" s="1" t="n"/>
    </row>
    <row r="12" ht="25.5" customHeight="1" s="311">
      <c r="A12" s="145" t="n"/>
      <c r="B12" s="232" t="inlineStr">
        <is>
          <t>Ratio de endeudamiento (Debt Ratio)</t>
        </is>
      </c>
      <c r="C12" s="238" t="inlineStr">
        <is>
          <t>Pasivo total / Activo total</t>
        </is>
      </c>
      <c r="D12" s="107">
        <f>IFERROR(Balance!$E$39/Balance!$E$22,"")</f>
        <v/>
      </c>
      <c r="E12" s="41" t="inlineStr">
        <is>
          <t>&lt; 50%</t>
        </is>
      </c>
      <c r="F12" s="62">
        <f>IF($D12="","—",IF($D12&lt;=0.5,"✅",IF($D12&lt;=0.7,"🟡","🔴")))</f>
        <v/>
      </c>
      <c r="G12" s="151">
        <f>IF($F12="✅",2,IF($F12="🟡",1,0))</f>
        <v/>
      </c>
      <c r="H12" s="151" t="n">
        <v>3</v>
      </c>
      <c r="I12" s="20" t="inlineStr">
        <is>
          <t>Qué parte de todo lo que posees es en realidad de otros.</t>
        </is>
      </c>
      <c r="J12" s="145" t="n"/>
      <c r="K12" s="145" t="n"/>
      <c r="L12" s="145" t="n"/>
      <c r="M12" s="239" t="inlineStr">
        <is>
          <t>1</t>
        </is>
      </c>
      <c r="N12" s="1" t="n"/>
      <c r="O12" s="1" t="n"/>
      <c r="P12" s="1" t="n"/>
      <c r="Q12" s="1" t="n"/>
      <c r="R12" s="1" t="n"/>
      <c r="S12" s="1" t="n"/>
      <c r="T12" s="1" t="n"/>
      <c r="U12" s="1" t="n"/>
      <c r="V12" s="1" t="n"/>
      <c r="W12" s="1" t="n"/>
      <c r="X12" s="1" t="n"/>
      <c r="Y12" s="1" t="n"/>
      <c r="Z12" s="1" t="n"/>
    </row>
    <row r="13" ht="25.5" customHeight="1" s="311">
      <c r="A13" s="145" t="n"/>
      <c r="B13" s="232" t="inlineStr">
        <is>
          <t>Ratio activo/patrimonio (Assets-to-Equity)</t>
        </is>
      </c>
      <c r="C13" s="238" t="inlineStr">
        <is>
          <t>Activo total / Patrimonio neto</t>
        </is>
      </c>
      <c r="D13" s="106">
        <f>IFERROR(Balance!$E$22/Balance!$E$41,"")</f>
        <v/>
      </c>
      <c r="E13" s="41" t="inlineStr">
        <is>
          <t>entre 1,0 y 2,0</t>
        </is>
      </c>
      <c r="F13" s="62">
        <f>IF($D13="","—",IF(AND($D13&gt;=1,$D13&lt;=2),"✅",IF(AND($D13&gt;=1*0.75,$D13&lt;=2*1.5),"🟡","🔴")))</f>
        <v/>
      </c>
      <c r="G13" s="151">
        <f>IF($F13="✅",2,IF($F13="🟡",1,0))</f>
        <v/>
      </c>
      <c r="H13" s="151" t="n">
        <v>2</v>
      </c>
      <c r="I13" s="20" t="inlineStr">
        <is>
          <t>Apalancamiento financiero: cuántos euros de activo sostienes por cada euro propio.</t>
        </is>
      </c>
      <c r="J13" s="145" t="n"/>
      <c r="K13" s="145" t="n"/>
      <c r="L13" s="145" t="n"/>
      <c r="M13" s="239" t="inlineStr">
        <is>
          <t>1</t>
        </is>
      </c>
      <c r="N13" s="1" t="n"/>
      <c r="O13" s="1" t="n"/>
      <c r="P13" s="1" t="n"/>
      <c r="Q13" s="1" t="n"/>
      <c r="R13" s="1" t="n"/>
      <c r="S13" s="1" t="n"/>
      <c r="T13" s="1" t="n"/>
      <c r="U13" s="1" t="n"/>
      <c r="V13" s="1" t="n"/>
      <c r="W13" s="1" t="n"/>
      <c r="X13" s="1" t="n"/>
      <c r="Y13" s="1" t="n"/>
      <c r="Z13" s="1" t="n"/>
    </row>
    <row r="14" ht="25.5" customHeight="1" s="311">
      <c r="A14" s="145" t="n"/>
      <c r="B14" s="232" t="inlineStr">
        <is>
          <t>Ratio deuda/patrimonio (Debt-to-Equity)</t>
        </is>
      </c>
      <c r="C14" s="238" t="inlineStr">
        <is>
          <t>Pasivo total / Patrimonio neto</t>
        </is>
      </c>
      <c r="D14" s="106">
        <f>IFERROR(Balance!$E$39/Balance!$E$41,"")</f>
        <v/>
      </c>
      <c r="E14" s="41" t="inlineStr">
        <is>
          <t>entre 0,5 y 1,5</t>
        </is>
      </c>
      <c r="F14" s="62">
        <f>IF($D14="","—",IF(AND($D14&gt;=0.5,$D14&lt;=1.5),"✅",IF(AND($D14&gt;=0.5*0.75,$D14&lt;=1.5*1.5),"🟡","🔴")))</f>
        <v/>
      </c>
      <c r="G14" s="151">
        <f>IF($F14="✅",2,IF($F14="🟡",1,0))</f>
        <v/>
      </c>
      <c r="H14" s="151" t="n">
        <v>2</v>
      </c>
      <c r="I14" s="20" t="inlineStr">
        <is>
          <t>Euros que debes por cada euro que es tuyo de verdad.</t>
        </is>
      </c>
      <c r="J14" s="145" t="n"/>
      <c r="K14" s="145" t="n"/>
      <c r="L14" s="145" t="n"/>
      <c r="M14" s="239" t="inlineStr">
        <is>
          <t>1</t>
        </is>
      </c>
      <c r="N14" s="1" t="n"/>
      <c r="O14" s="1" t="n"/>
      <c r="P14" s="1" t="n"/>
      <c r="Q14" s="1" t="n"/>
      <c r="R14" s="1" t="n"/>
      <c r="S14" s="1" t="n"/>
      <c r="T14" s="1" t="n"/>
      <c r="U14" s="1" t="n"/>
      <c r="V14" s="1" t="n"/>
      <c r="W14" s="1" t="n"/>
      <c r="X14" s="1" t="n"/>
      <c r="Y14" s="1" t="n"/>
      <c r="Z14" s="1" t="n"/>
    </row>
    <row r="15" ht="25.5" customHeight="1" s="311">
      <c r="A15" s="145" t="n"/>
      <c r="B15" s="232" t="inlineStr">
        <is>
          <t>Multiplicador del patrimonio (Equity Multiplier)</t>
        </is>
      </c>
      <c r="C15" s="238" t="inlineStr">
        <is>
          <t>Activo total / Patrimonio neto</t>
        </is>
      </c>
      <c r="D15" s="106">
        <f>IFERROR(Balance!$E$22/Balance!$E$41,"")</f>
        <v/>
      </c>
      <c r="E15" s="41" t="inlineStr">
        <is>
          <t>&lt; 2,0</t>
        </is>
      </c>
      <c r="F15" s="62">
        <f>IF($D15="","—",IF($D15&lt;=2,"✅",IF($D15&lt;=3,"🟡","🔴")))</f>
        <v/>
      </c>
      <c r="G15" s="151">
        <f>IF($F15="✅",2,IF($F15="🟡",1,0))</f>
        <v/>
      </c>
      <c r="H15" s="151" t="n">
        <v>1</v>
      </c>
      <c r="I15" s="20" t="inlineStr">
        <is>
          <t>Es el mismo número que el ratio activo/patrimonio: en tu hoja antigua estaba repetido con otro nombre.</t>
        </is>
      </c>
      <c r="J15" s="145" t="n"/>
      <c r="K15" s="145" t="n"/>
      <c r="L15" s="145" t="n"/>
      <c r="M15" s="239" t="inlineStr">
        <is>
          <t>1</t>
        </is>
      </c>
      <c r="N15" s="1" t="n"/>
      <c r="O15" s="1" t="n"/>
      <c r="P15" s="1" t="n"/>
      <c r="Q15" s="1" t="n"/>
      <c r="R15" s="1" t="n"/>
      <c r="S15" s="1" t="n"/>
      <c r="T15" s="1" t="n"/>
      <c r="U15" s="1" t="n"/>
      <c r="V15" s="1" t="n"/>
      <c r="W15" s="1" t="n"/>
      <c r="X15" s="1" t="n"/>
      <c r="Y15" s="1" t="n"/>
      <c r="Z15" s="1" t="n"/>
    </row>
    <row r="16" ht="25.5" customHeight="1" s="311">
      <c r="A16" s="145" t="n"/>
      <c r="B16" s="232" t="inlineStr">
        <is>
          <t>Índice de estructura de capital</t>
        </is>
      </c>
      <c r="C16" s="238" t="inlineStr">
        <is>
          <t>Deuda financiera / (Deuda financiera + Patrimonio)</t>
        </is>
      </c>
      <c r="D16" s="107">
        <f>IFERROR((Balance!$E$27+Balance!$E$28+Balance!$E$30+Balance!$C$92)/((Balance!$E$27+Balance!$E$28+Balance!$E$30+Balance!$C$92)+Balance!$E$41),"")</f>
        <v/>
      </c>
      <c r="E16" s="41" t="inlineStr">
        <is>
          <t>&lt; 15%</t>
        </is>
      </c>
      <c r="F16" s="62">
        <f>IF($D16="","—",IF($D16&lt;=0.15,"✅",IF($D16&lt;=0.35,"🟡","🔴")))</f>
        <v/>
      </c>
      <c r="G16" s="151">
        <f>IF($F16="✅",2,IF($F16="🟡",1,0))</f>
        <v/>
      </c>
      <c r="H16" s="151" t="n">
        <v>2</v>
      </c>
      <c r="I16" s="20" t="inlineStr">
        <is>
          <t>Peso de la deuda con interés en la financiación de tu patrimonio. El umbral del 15% es exigente para alguien con hipoteca.</t>
        </is>
      </c>
      <c r="J16" s="145" t="n"/>
      <c r="K16" s="145" t="n"/>
      <c r="L16" s="145" t="n"/>
      <c r="M16" s="239" t="inlineStr">
        <is>
          <t>1</t>
        </is>
      </c>
      <c r="N16" s="1" t="n"/>
      <c r="O16" s="1" t="n"/>
      <c r="P16" s="1" t="n"/>
      <c r="Q16" s="1" t="n"/>
      <c r="R16" s="1" t="n"/>
      <c r="S16" s="1" t="n"/>
      <c r="T16" s="1" t="n"/>
      <c r="U16" s="1" t="n"/>
      <c r="V16" s="1" t="n"/>
      <c r="W16" s="1" t="n"/>
      <c r="X16" s="1" t="n"/>
      <c r="Y16" s="1" t="n"/>
      <c r="Z16" s="1" t="n"/>
    </row>
    <row r="17" ht="25.5" customHeight="1" s="311">
      <c r="A17" s="145" t="n"/>
      <c r="B17" s="232" t="inlineStr">
        <is>
          <t>Patrimonio neto positivo (Retained Earnings &gt; 0)</t>
        </is>
      </c>
      <c r="C17" s="238" t="inlineStr">
        <is>
          <t>Activo total − Pasivo total</t>
        </is>
      </c>
      <c r="D17" s="80">
        <f>Balance!$E$41</f>
        <v/>
      </c>
      <c r="E17" s="41" t="inlineStr">
        <is>
          <t>&gt; 0</t>
        </is>
      </c>
      <c r="F17" s="62">
        <f>IF($D17="","—",IF($D17&gt;=0,"✅",IF($D17&gt;=0,"🟡","🔴")))</f>
        <v/>
      </c>
      <c r="G17" s="151">
        <f>IF($F17="✅",2,IF($F17="🟡",1,0))</f>
        <v/>
      </c>
      <c r="H17" s="151" t="n">
        <v>3</v>
      </c>
      <c r="I17" s="20" t="inlineStr">
        <is>
          <t>Lo que quedaría si vendieras todo y pagaras todo. Es el marcador final.</t>
        </is>
      </c>
      <c r="J17" s="145" t="n"/>
      <c r="K17" s="145" t="n"/>
      <c r="L17" s="145" t="n"/>
      <c r="M17" s="239" t="inlineStr">
        <is>
          <t>1</t>
        </is>
      </c>
      <c r="N17" s="1" t="n"/>
      <c r="O17" s="1" t="n"/>
      <c r="P17" s="1" t="n"/>
      <c r="Q17" s="1" t="n"/>
      <c r="R17" s="1" t="n"/>
      <c r="S17" s="1" t="n"/>
      <c r="T17" s="1" t="n"/>
      <c r="U17" s="1" t="n"/>
      <c r="V17" s="1" t="n"/>
      <c r="W17" s="1" t="n"/>
      <c r="X17" s="1" t="n"/>
      <c r="Y17" s="1" t="n"/>
      <c r="Z17" s="1" t="n"/>
    </row>
    <row r="18" ht="34.5" customHeight="1" s="311">
      <c r="A18" s="145" t="n"/>
      <c r="B18" s="232" t="inlineStr">
        <is>
          <t>Deuda neta</t>
        </is>
      </c>
      <c r="C18" s="238" t="inlineStr">
        <is>
          <t>Deuda financiera − Efectivo disponible</t>
        </is>
      </c>
      <c r="D18" s="80">
        <f>(Balance!$E$27+Balance!$E$28+Balance!$E$30+Balance!$C$92)-Disponibilidad!$G$33</f>
        <v/>
      </c>
      <c r="E18" s="41" t="inlineStr">
        <is>
          <t>&lt; 0 (ideal)</t>
        </is>
      </c>
      <c r="F18" s="62">
        <f>IF($D18="","—",IF($D18&lt;=0,"✅",IF($D18&lt;=50000,"🟡","🔴")))</f>
        <v/>
      </c>
      <c r="G18" s="151">
        <f>IF($F18="✅",2,IF($F18="🟡",1,0))</f>
        <v/>
      </c>
      <c r="H18" s="151" t="n">
        <v>2</v>
      </c>
      <c r="I18" s="20" t="inlineStr">
        <is>
          <t>Deuda que te quedaría después de usar todo tu efectivo. Incluye tarjetas, empeños, préstamos de particulares e hipoteca.</t>
        </is>
      </c>
      <c r="J18" s="145" t="n"/>
      <c r="K18" s="145" t="n"/>
      <c r="L18" s="145" t="n"/>
      <c r="M18" s="239" t="inlineStr">
        <is>
          <t>1</t>
        </is>
      </c>
      <c r="N18" s="1" t="n"/>
      <c r="O18" s="1" t="n"/>
      <c r="P18" s="1" t="n"/>
      <c r="Q18" s="1" t="n"/>
      <c r="R18" s="1" t="n"/>
      <c r="S18" s="1" t="n"/>
      <c r="T18" s="1" t="n"/>
      <c r="U18" s="1" t="n"/>
      <c r="V18" s="1" t="n"/>
      <c r="W18" s="1" t="n"/>
      <c r="X18" s="1" t="n"/>
      <c r="Y18" s="1" t="n"/>
      <c r="Z18" s="1" t="n"/>
    </row>
    <row r="19" ht="21.75" customHeight="1" s="311">
      <c r="A19" s="145" t="n"/>
      <c r="B19" s="32" t="inlineStr">
        <is>
          <t>2.  LIQUIDEZ  —  ¿puedes pagar lo que vence pronto?</t>
        </is>
      </c>
      <c r="C19" s="30" t="n"/>
      <c r="D19" s="30" t="n"/>
      <c r="E19" s="30" t="n"/>
      <c r="F19" s="30" t="n"/>
      <c r="G19" s="30" t="n"/>
      <c r="H19" s="30" t="n"/>
      <c r="I19" s="30" t="n"/>
      <c r="J19" s="145" t="n"/>
      <c r="K19" s="145" t="n"/>
      <c r="L19" s="145" t="n"/>
      <c r="M19" s="145" t="n"/>
      <c r="N19" s="1" t="n"/>
      <c r="O19" s="1" t="n"/>
      <c r="P19" s="1" t="n"/>
      <c r="Q19" s="1" t="n"/>
      <c r="R19" s="1" t="n"/>
      <c r="S19" s="1" t="n"/>
      <c r="T19" s="1" t="n"/>
      <c r="U19" s="1" t="n"/>
      <c r="V19" s="1" t="n"/>
      <c r="W19" s="1" t="n"/>
      <c r="X19" s="1" t="n"/>
      <c r="Y19" s="1" t="n"/>
      <c r="Z19" s="1" t="n"/>
    </row>
    <row r="20" ht="25.5" customHeight="1" s="311">
      <c r="A20" s="145" t="n"/>
      <c r="B20" s="232" t="inlineStr">
        <is>
          <t>Ratio de liquidez (Current Ratio)</t>
        </is>
      </c>
      <c r="C20" s="238" t="inlineStr">
        <is>
          <t>Activo corriente / Pasivo corriente</t>
        </is>
      </c>
      <c r="D20" s="106">
        <f>IFERROR(Balance!$E$13/Balance!$E$32,"")</f>
        <v/>
      </c>
      <c r="E20" s="41" t="inlineStr">
        <is>
          <t>entre 1,2 y 2,0</t>
        </is>
      </c>
      <c r="F20" s="62">
        <f>IF($D20="","—",IF(AND($D20&gt;=1.2,$D20&lt;=2),"✅",IF(AND($D20&gt;=1.2*0.75,$D20&lt;=2*1.5),"🟡","🔴")))</f>
        <v/>
      </c>
      <c r="G20" s="151">
        <f>IF($F20="✅",2,IF($F20="🟡",1,0))</f>
        <v/>
      </c>
      <c r="H20" s="151" t="n">
        <v>4</v>
      </c>
      <c r="I20" s="20" t="inlineStr">
        <is>
          <t>Cuántas veces cubres con dinero disponible lo que debes pagar este año.</t>
        </is>
      </c>
      <c r="J20" s="145" t="n"/>
      <c r="K20" s="145" t="n"/>
      <c r="L20" s="145" t="n"/>
      <c r="M20" s="239" t="inlineStr">
        <is>
          <t>2</t>
        </is>
      </c>
      <c r="N20" s="1" t="n"/>
      <c r="O20" s="1" t="n"/>
      <c r="P20" s="1" t="n"/>
      <c r="Q20" s="1" t="n"/>
      <c r="R20" s="1" t="n"/>
      <c r="S20" s="1" t="n"/>
      <c r="T20" s="1" t="n"/>
      <c r="U20" s="1" t="n"/>
      <c r="V20" s="1" t="n"/>
      <c r="W20" s="1" t="n"/>
      <c r="X20" s="1" t="n"/>
      <c r="Y20" s="1" t="n"/>
      <c r="Z20" s="1" t="n"/>
    </row>
    <row r="21" ht="25.5" customHeight="1" s="311">
      <c r="A21" s="145" t="n"/>
      <c r="B21" s="232" t="inlineStr">
        <is>
          <t>Fondo de maniobra (Working Capital)</t>
        </is>
      </c>
      <c r="C21" s="238" t="inlineStr">
        <is>
          <t>Activo corriente − Pasivo corriente</t>
        </is>
      </c>
      <c r="D21" s="80">
        <f>Balance!$E$13-Balance!$E$32</f>
        <v/>
      </c>
      <c r="E21" s="41" t="inlineStr">
        <is>
          <t>&gt; 0</t>
        </is>
      </c>
      <c r="F21" s="62">
        <f>IF($D21="","—",IF($D21&gt;=0,"✅",IF($D21&gt;=0,"🟡","🔴")))</f>
        <v/>
      </c>
      <c r="G21" s="151">
        <f>IF($F21="✅",2,IF($F21="🟡",1,0))</f>
        <v/>
      </c>
      <c r="H21" s="151" t="n">
        <v>4</v>
      </c>
      <c r="I21" s="20" t="inlineStr">
        <is>
          <t>Si es negativo, tus deudas a corto plazo superan lo que puedes convertir en dinero.</t>
        </is>
      </c>
      <c r="J21" s="145" t="n"/>
      <c r="K21" s="145" t="n"/>
      <c r="L21" s="145" t="n"/>
      <c r="M21" s="239" t="inlineStr">
        <is>
          <t>2</t>
        </is>
      </c>
      <c r="N21" s="1" t="n"/>
      <c r="O21" s="1" t="n"/>
      <c r="P21" s="1" t="n"/>
      <c r="Q21" s="1" t="n"/>
      <c r="R21" s="1" t="n"/>
      <c r="S21" s="1" t="n"/>
      <c r="T21" s="1" t="n"/>
      <c r="U21" s="1" t="n"/>
      <c r="V21" s="1" t="n"/>
      <c r="W21" s="1" t="n"/>
      <c r="X21" s="1" t="n"/>
      <c r="Y21" s="1" t="n"/>
      <c r="Z21" s="1" t="n"/>
    </row>
    <row r="22" ht="25.5" customHeight="1" s="311">
      <c r="A22" s="145" t="n"/>
      <c r="B22" s="232" t="inlineStr">
        <is>
          <t>Fondo de emergencia (meses cubiertos)</t>
        </is>
      </c>
      <c r="C22" s="238" t="inlineStr">
        <is>
          <t>Efectivo disponible / Gastos mensuales</t>
        </is>
      </c>
      <c r="D22" s="240">
        <f>IFERROR(Disponibilidad!$G$33/Resultados!$F$41,"")</f>
        <v/>
      </c>
      <c r="E22" s="41" t="inlineStr">
        <is>
          <t>≥ 6 meses</t>
        </is>
      </c>
      <c r="F22" s="62">
        <f>IF($D22="","—",IF($D22&gt;=6,"✅",IF($D22&gt;=3,"🟡","🔴")))</f>
        <v/>
      </c>
      <c r="G22" s="151">
        <f>IF($F22="✅",2,IF($F22="🟡",1,0))</f>
        <v/>
      </c>
      <c r="H22" s="151" t="n">
        <v>4</v>
      </c>
      <c r="I22" s="20" t="inlineStr">
        <is>
          <t>Meses que aguantarías sin ingresos. Es el ratio que más protege de que todo lo demás se derrumbe.</t>
        </is>
      </c>
      <c r="J22" s="145" t="n"/>
      <c r="K22" s="145" t="n"/>
      <c r="L22" s="145" t="n"/>
      <c r="M22" s="239" t="inlineStr">
        <is>
          <t>2</t>
        </is>
      </c>
      <c r="N22" s="1" t="n"/>
      <c r="O22" s="1" t="n"/>
      <c r="P22" s="1" t="n"/>
      <c r="Q22" s="1" t="n"/>
      <c r="R22" s="1" t="n"/>
      <c r="S22" s="1" t="n"/>
      <c r="T22" s="1" t="n"/>
      <c r="U22" s="1" t="n"/>
      <c r="V22" s="1" t="n"/>
      <c r="W22" s="1" t="n"/>
      <c r="X22" s="1" t="n"/>
      <c r="Y22" s="1" t="n"/>
      <c r="Z22" s="1" t="n"/>
    </row>
    <row r="23" ht="25.5" customHeight="1" s="311">
      <c r="A23" s="145" t="n"/>
      <c r="B23" s="232" t="inlineStr">
        <is>
          <t>Utilización de las líneas de crédito</t>
        </is>
      </c>
      <c r="C23" s="238" t="inlineStr">
        <is>
          <t>Dispuesto / Límite total</t>
        </is>
      </c>
      <c r="D23" s="107">
        <f>IFERROR(Disponibilidad!$G$27/Disponibilidad!$E$27,"")</f>
        <v/>
      </c>
      <c r="E23" s="41" t="inlineStr">
        <is>
          <t>&lt; 30%</t>
        </is>
      </c>
      <c r="F23" s="62">
        <f>IF($D23="","—",IF($D23&lt;=0.3,"✅",IF($D23&lt;=0.6,"🟡","🔴")))</f>
        <v/>
      </c>
      <c r="G23" s="151">
        <f>IF($F23="✅",2,IF($F23="🟡",1,0))</f>
        <v/>
      </c>
      <c r="H23" s="151" t="n">
        <v>3</v>
      </c>
      <c r="I23" s="20" t="inlineStr">
        <is>
          <t>Por encima del 30% daña tu perfil crediticio; al 100% te has quedado sin red.</t>
        </is>
      </c>
      <c r="J23" s="145" t="n"/>
      <c r="K23" s="145" t="n"/>
      <c r="L23" s="145" t="n"/>
      <c r="M23" s="239" t="inlineStr">
        <is>
          <t>2</t>
        </is>
      </c>
      <c r="N23" s="1" t="n"/>
      <c r="O23" s="1" t="n"/>
      <c r="P23" s="1" t="n"/>
      <c r="Q23" s="1" t="n"/>
      <c r="R23" s="1" t="n"/>
      <c r="S23" s="1" t="n"/>
      <c r="T23" s="1" t="n"/>
      <c r="U23" s="1" t="n"/>
      <c r="V23" s="1" t="n"/>
      <c r="W23" s="1" t="n"/>
      <c r="X23" s="1" t="n"/>
      <c r="Y23" s="1" t="n"/>
      <c r="Z23" s="1" t="n"/>
    </row>
    <row r="24" ht="25.5" customHeight="1" s="311">
      <c r="A24" s="145" t="n"/>
      <c r="B24" s="232" t="inlineStr">
        <is>
          <t>Facturas vencidas sobre el total pendiente</t>
        </is>
      </c>
      <c r="C24" s="238" t="inlineStr">
        <is>
          <t>Saldo vencido / Saldo total de facturas</t>
        </is>
      </c>
      <c r="D24" s="107">
        <f>IFERROR(Facturas!$AG$24/Facturas!$AG$20,"")</f>
        <v/>
      </c>
      <c r="E24" s="41" t="inlineStr">
        <is>
          <t>0%</t>
        </is>
      </c>
      <c r="F24" s="62">
        <f>IF($D24="","—",IF($D24&lt;=0.0001,"✅",IF($D24&lt;=0.1,"🟡","🔴")))</f>
        <v/>
      </c>
      <c r="G24" s="151">
        <f>IF($F24="✅",2,IF($F24="🟡",1,0))</f>
        <v/>
      </c>
      <c r="H24" s="151" t="n">
        <v>3</v>
      </c>
      <c r="I24" s="20" t="inlineStr">
        <is>
          <t>Parte de lo que debes que ya está fuera de plazo. Todo lo vencido acaba costando recargos.</t>
        </is>
      </c>
      <c r="J24" s="145" t="n"/>
      <c r="K24" s="145" t="n"/>
      <c r="L24" s="145" t="n"/>
      <c r="M24" s="239" t="inlineStr">
        <is>
          <t>2</t>
        </is>
      </c>
      <c r="N24" s="1" t="n"/>
      <c r="O24" s="1" t="n"/>
      <c r="P24" s="1" t="n"/>
      <c r="Q24" s="1" t="n"/>
      <c r="R24" s="1" t="n"/>
      <c r="S24" s="1" t="n"/>
      <c r="T24" s="1" t="n"/>
      <c r="U24" s="1" t="n"/>
      <c r="V24" s="1" t="n"/>
      <c r="W24" s="1" t="n"/>
      <c r="X24" s="1" t="n"/>
      <c r="Y24" s="1" t="n"/>
      <c r="Z24" s="1" t="n"/>
    </row>
    <row r="25" ht="21.75" customHeight="1" s="311">
      <c r="A25" s="145" t="n"/>
      <c r="B25" s="32" t="inlineStr">
        <is>
          <t>3.  RENTABILIDAD</t>
        </is>
      </c>
      <c r="C25" s="30" t="n"/>
      <c r="D25" s="30" t="n"/>
      <c r="E25" s="30" t="n"/>
      <c r="F25" s="30" t="n"/>
      <c r="G25" s="30" t="n"/>
      <c r="H25" s="30" t="n"/>
      <c r="I25" s="30" t="n"/>
      <c r="J25" s="145" t="n"/>
      <c r="K25" s="145" t="n"/>
      <c r="L25" s="145" t="n"/>
      <c r="M25" s="145" t="n"/>
      <c r="N25" s="1" t="n"/>
      <c r="O25" s="1" t="n"/>
      <c r="P25" s="1" t="n"/>
      <c r="Q25" s="1" t="n"/>
      <c r="R25" s="1" t="n"/>
      <c r="S25" s="1" t="n"/>
      <c r="T25" s="1" t="n"/>
      <c r="U25" s="1" t="n"/>
      <c r="V25" s="1" t="n"/>
      <c r="W25" s="1" t="n"/>
      <c r="X25" s="1" t="n"/>
      <c r="Y25" s="1" t="n"/>
      <c r="Z25" s="1" t="n"/>
    </row>
    <row r="26" ht="25.5" customHeight="1" s="311">
      <c r="A26" s="145" t="n"/>
      <c r="B26" s="232" t="inlineStr">
        <is>
          <t>Tasa de ahorro</t>
        </is>
      </c>
      <c r="C26" s="238" t="inlineStr">
        <is>
          <t>Resultado del mes / Ingresos del mes</t>
        </is>
      </c>
      <c r="D26" s="107">
        <f>IFERROR(Resultados!$F$43/Resultados!$F$13,"")</f>
        <v/>
      </c>
      <c r="E26" s="41" t="inlineStr">
        <is>
          <t>≥ 20%</t>
        </is>
      </c>
      <c r="F26" s="62">
        <f>IF($D26="","—",IF($D26&gt;=0.2,"✅",IF($D26&gt;=0.1,"🟡","🔴")))</f>
        <v/>
      </c>
      <c r="G26" s="151">
        <f>IF($F26="✅",2,IF($F26="🟡",1,0))</f>
        <v/>
      </c>
      <c r="H26" s="151" t="n">
        <v>4</v>
      </c>
      <c r="I26" s="20" t="inlineStr">
        <is>
          <t>Porcentaje de lo que ganas que no te gastas. Para una persona es más importante que el ROE.</t>
        </is>
      </c>
      <c r="J26" s="145" t="n"/>
      <c r="K26" s="145" t="n"/>
      <c r="L26" s="145" t="n"/>
      <c r="M26" s="239" t="inlineStr">
        <is>
          <t>3</t>
        </is>
      </c>
      <c r="N26" s="1" t="n"/>
      <c r="O26" s="1" t="n"/>
      <c r="P26" s="1" t="n"/>
      <c r="Q26" s="1" t="n"/>
      <c r="R26" s="1" t="n"/>
      <c r="S26" s="1" t="n"/>
      <c r="T26" s="1" t="n"/>
      <c r="U26" s="1" t="n"/>
      <c r="V26" s="1" t="n"/>
      <c r="W26" s="1" t="n"/>
      <c r="X26" s="1" t="n"/>
      <c r="Y26" s="1" t="n"/>
      <c r="Z26" s="1" t="n"/>
    </row>
    <row r="27" ht="25.5" customHeight="1" s="311">
      <c r="A27" s="145" t="n"/>
      <c r="B27" s="232" t="inlineStr">
        <is>
          <t>Rentabilidad sobre patrimonio (ROE)</t>
        </is>
      </c>
      <c r="C27" s="238" t="inlineStr">
        <is>
          <t>Resultado anual / Patrimonio neto</t>
        </is>
      </c>
      <c r="D27" s="107">
        <f>IFERROR(Resultados!$I$43/Balance!$E$41,"")</f>
        <v/>
      </c>
      <c r="E27" s="41" t="inlineStr">
        <is>
          <t>≥ 10%</t>
        </is>
      </c>
      <c r="F27" s="62">
        <f>IF($D27="","—",IF($D27&gt;=0.1,"✅",IF($D27&gt;=0.05,"🟡","🔴")))</f>
        <v/>
      </c>
      <c r="G27" s="151">
        <f>IF($F27="✅",2,IF($F27="🟡",1,0))</f>
        <v/>
      </c>
      <c r="H27" s="151" t="n">
        <v>2</v>
      </c>
      <c r="I27" s="20" t="inlineStr">
        <is>
          <t>En una empresa se pide &gt;25%, pero tu patrimonio es sobre todo ladrillo, que no genera renta. Bajé el umbral a un 10% razonable.</t>
        </is>
      </c>
      <c r="J27" s="145" t="n"/>
      <c r="K27" s="145" t="n"/>
      <c r="L27" s="145" t="n"/>
      <c r="M27" s="239" t="inlineStr">
        <is>
          <t>3</t>
        </is>
      </c>
      <c r="N27" s="1" t="n"/>
      <c r="O27" s="1" t="n"/>
      <c r="P27" s="1" t="n"/>
      <c r="Q27" s="1" t="n"/>
      <c r="R27" s="1" t="n"/>
      <c r="S27" s="1" t="n"/>
      <c r="T27" s="1" t="n"/>
      <c r="U27" s="1" t="n"/>
      <c r="V27" s="1" t="n"/>
      <c r="W27" s="1" t="n"/>
      <c r="X27" s="1" t="n"/>
      <c r="Y27" s="1" t="n"/>
      <c r="Z27" s="1" t="n"/>
    </row>
    <row r="28" ht="25.5" customHeight="1" s="311">
      <c r="A28" s="145" t="n"/>
      <c r="B28" s="232" t="inlineStr">
        <is>
          <t>Rentabilidad sobre activos (ROA)</t>
        </is>
      </c>
      <c r="C28" s="238" t="inlineStr">
        <is>
          <t>Resultado anual / Activo total</t>
        </is>
      </c>
      <c r="D28" s="107">
        <f>IFERROR(Resultados!$I$43/Balance!$E$22,"")</f>
        <v/>
      </c>
      <c r="E28" s="41" t="inlineStr">
        <is>
          <t>≥ 5%</t>
        </is>
      </c>
      <c r="F28" s="62">
        <f>IF($D28="","—",IF($D28&gt;=0.05,"✅",IF($D28&gt;=0.02,"🟡","🔴")))</f>
        <v/>
      </c>
      <c r="G28" s="151">
        <f>IF($F28="✅",2,IF($F28="🟡",1,0))</f>
        <v/>
      </c>
      <c r="H28" s="151" t="n">
        <v>2</v>
      </c>
      <c r="I28" s="20" t="inlineStr">
        <is>
          <t>Igual que arriba: tener una casa en la que vives baja este ratio sin que eso sea malo.</t>
        </is>
      </c>
      <c r="J28" s="145" t="n"/>
      <c r="K28" s="145" t="n"/>
      <c r="L28" s="145" t="n"/>
      <c r="M28" s="239" t="inlineStr">
        <is>
          <t>3</t>
        </is>
      </c>
      <c r="N28" s="1" t="n"/>
      <c r="O28" s="1" t="n"/>
      <c r="P28" s="1" t="n"/>
      <c r="Q28" s="1" t="n"/>
      <c r="R28" s="1" t="n"/>
      <c r="S28" s="1" t="n"/>
      <c r="T28" s="1" t="n"/>
      <c r="U28" s="1" t="n"/>
      <c r="V28" s="1" t="n"/>
      <c r="W28" s="1" t="n"/>
      <c r="X28" s="1" t="n"/>
      <c r="Y28" s="1" t="n"/>
      <c r="Z28" s="1" t="n"/>
    </row>
    <row r="29" ht="25.5" customHeight="1" s="311">
      <c r="A29" s="145" t="n"/>
      <c r="B29" s="232" t="inlineStr">
        <is>
          <t>Rentabilidad del capital invertido (ROIC)</t>
        </is>
      </c>
      <c r="C29" s="238" t="inlineStr">
        <is>
          <t>Resultado de la cartera / Coste de la cartera</t>
        </is>
      </c>
      <c r="D29" s="107">
        <f>IFERROR(Inversiones!$R$48/(Inversiones!$M$48+Inversiones!$N$48+Inversiones!$O$48),"")</f>
        <v/>
      </c>
      <c r="E29" s="41" t="inlineStr">
        <is>
          <t>≥ 6%</t>
        </is>
      </c>
      <c r="F29" s="62">
        <f>IF($D29="","—",IF($D29&gt;=0.06,"✅",IF($D29&gt;=0.02,"🟡","🔴")))</f>
        <v/>
      </c>
      <c r="G29" s="151">
        <f>IF($F29="✅",2,IF($F29="🟡",1,0))</f>
        <v/>
      </c>
      <c r="H29" s="151" t="n">
        <v>2</v>
      </c>
      <c r="I29" s="20" t="inlineStr">
        <is>
          <t>ADAPTADO: en vez del ROIC de empresa, la rentabilidad real de tu cartera de inversiones. Sale 0% porque aún no has cargado a qué precio compraste.</t>
        </is>
      </c>
      <c r="J29" s="145" t="n"/>
      <c r="K29" s="145" t="n"/>
      <c r="L29" s="145" t="n"/>
      <c r="M29" s="239" t="inlineStr">
        <is>
          <t>3</t>
        </is>
      </c>
      <c r="N29" s="1" t="n"/>
      <c r="O29" s="1" t="n"/>
      <c r="P29" s="1" t="n"/>
      <c r="Q29" s="1" t="n"/>
      <c r="R29" s="1" t="n"/>
      <c r="S29" s="1" t="n"/>
      <c r="T29" s="1" t="n"/>
      <c r="U29" s="1" t="n"/>
      <c r="V29" s="1" t="n"/>
      <c r="W29" s="1" t="n"/>
      <c r="X29" s="1" t="n"/>
      <c r="Y29" s="1" t="n"/>
      <c r="Z29" s="1" t="n"/>
    </row>
    <row r="30" ht="25.5" customHeight="1" s="311">
      <c r="A30" s="145" t="n"/>
      <c r="B30" s="232" t="inlineStr">
        <is>
          <t>Rentabilidad sobre el capital empleado (ROCE)</t>
        </is>
      </c>
      <c r="C30" s="238" t="inlineStr">
        <is>
          <t>Resultado anual / (Activo total − Pasivo corriente)</t>
        </is>
      </c>
      <c r="D30" s="107">
        <f>IFERROR(Resultados!$I$43/(Balance!$E$22-Balance!$E$32),"")</f>
        <v/>
      </c>
      <c r="E30" s="41" t="inlineStr">
        <is>
          <t>≥ 8%</t>
        </is>
      </c>
      <c r="F30" s="62">
        <f>IF($D30="","—",IF($D30&gt;=0.08,"✅",IF($D30&gt;=0.04,"🟡","🔴")))</f>
        <v/>
      </c>
      <c r="G30" s="151">
        <f>IF($F30="✅",2,IF($F30="🟡",1,0))</f>
        <v/>
      </c>
      <c r="H30" s="151" t="n">
        <v>2</v>
      </c>
      <c r="I30" s="20" t="inlineStr">
        <is>
          <t>Lo que rinde el capital que tienes inmovilizado a largo plazo.</t>
        </is>
      </c>
      <c r="J30" s="145" t="n"/>
      <c r="K30" s="31" t="inlineStr">
        <is>
          <t>Estado</t>
        </is>
      </c>
      <c r="L30" s="31" t="inlineStr">
        <is>
          <t>Nº de ratios</t>
        </is>
      </c>
      <c r="M30" s="239" t="inlineStr">
        <is>
          <t>3</t>
        </is>
      </c>
      <c r="N30" s="1" t="n"/>
      <c r="O30" s="1" t="n"/>
      <c r="P30" s="1" t="n"/>
      <c r="Q30" s="1" t="n"/>
      <c r="R30" s="1" t="n"/>
      <c r="S30" s="1" t="n"/>
      <c r="T30" s="1" t="n"/>
      <c r="U30" s="1" t="n"/>
      <c r="V30" s="1" t="n"/>
      <c r="W30" s="1" t="n"/>
      <c r="X30" s="1" t="n"/>
      <c r="Y30" s="1" t="n"/>
      <c r="Z30" s="1" t="n"/>
    </row>
    <row r="31" ht="21.75" customHeight="1" s="311">
      <c r="A31" s="145" t="n"/>
      <c r="B31" s="32" t="inlineStr">
        <is>
          <t>4.  CARGA Y COSTE DE LA DEUDA</t>
        </is>
      </c>
      <c r="C31" s="30" t="n"/>
      <c r="D31" s="30" t="n"/>
      <c r="E31" s="30" t="n"/>
      <c r="F31" s="30" t="n"/>
      <c r="G31" s="30" t="n"/>
      <c r="H31" s="30" t="n"/>
      <c r="I31" s="30" t="n"/>
      <c r="J31" s="145" t="n"/>
      <c r="K31" s="40" t="inlineStr">
        <is>
          <t>En verde</t>
        </is>
      </c>
      <c r="L31" s="241">
        <f>COUNTIF($F$11:$F$37,"✅")</f>
        <v/>
      </c>
      <c r="M31" s="145" t="n"/>
      <c r="N31" s="1" t="n"/>
      <c r="O31" s="1" t="n"/>
      <c r="P31" s="1" t="n"/>
      <c r="Q31" s="1" t="n"/>
      <c r="R31" s="1" t="n"/>
      <c r="S31" s="1" t="n"/>
      <c r="T31" s="1" t="n"/>
      <c r="U31" s="1" t="n"/>
      <c r="V31" s="1" t="n"/>
      <c r="W31" s="1" t="n"/>
      <c r="X31" s="1" t="n"/>
      <c r="Y31" s="1" t="n"/>
      <c r="Z31" s="1" t="n"/>
    </row>
    <row r="32" ht="25.5" customHeight="1" s="311">
      <c r="A32" s="145" t="n"/>
      <c r="B32" s="232" t="inlineStr">
        <is>
          <t>Coste medio ponderado de tu deuda (WACC adaptado)</t>
        </is>
      </c>
      <c r="C32" s="238" t="inlineStr">
        <is>
          <t>Intereses anuales / Deuda financiera total</t>
        </is>
      </c>
      <c r="D32" s="107">
        <f>IFERROR((Disponibilidad!$G$23*Resultados!$C$33+(Disponibilidad!$G$24+Disponibilidad!$G$25)*Resultados!$E$33+Balance!$C$92*Resultados!$H$33+Balance!$E$28*$D$5+Balance!$E$30*$D$5)/(Balance!$E$27+Balance!$E$28+Balance!$E$30+Balance!$C$92),"")</f>
        <v/>
      </c>
      <c r="E32" s="41" t="inlineStr">
        <is>
          <t>&lt; 5%</t>
        </is>
      </c>
      <c r="F32" s="62">
        <f>IF($D32="","—",IF($D32&lt;=0.05,"✅",IF($D32&lt;=0.08,"🟡","🔴")))</f>
        <v/>
      </c>
      <c r="G32" s="151">
        <f>IF($F32="✅",2,IF($F32="🟡",1,0))</f>
        <v/>
      </c>
      <c r="H32" s="151" t="n">
        <v>3</v>
      </c>
      <c r="I32" s="20" t="inlineStr">
        <is>
          <t>ADAPTADO: el WACC de empresa no aplica; esto es lo que te cuesta de media cada euro que debes. Toda inversión que rinda menos que esto pierde frente a amortizar deuda. Contrasta el 25% supuesto de empeños con el tipo efectivo que calcula el Balance en la celda C119.</t>
        </is>
      </c>
      <c r="J32" s="145" t="n"/>
      <c r="K32" s="40" t="inlineStr">
        <is>
          <t>En ámbar</t>
        </is>
      </c>
      <c r="L32" s="241">
        <f>COUNTIF($F$11:$F$37,"🟡")</f>
        <v/>
      </c>
      <c r="M32" s="239" t="inlineStr">
        <is>
          <t>4</t>
        </is>
      </c>
      <c r="N32" s="1" t="n"/>
      <c r="O32" s="1" t="n"/>
      <c r="P32" s="1" t="n"/>
      <c r="Q32" s="1" t="n"/>
      <c r="R32" s="1" t="n"/>
      <c r="S32" s="1" t="n"/>
      <c r="T32" s="1" t="n"/>
      <c r="U32" s="1" t="n"/>
      <c r="V32" s="1" t="n"/>
      <c r="W32" s="1" t="n"/>
      <c r="X32" s="1" t="n"/>
      <c r="Y32" s="1" t="n"/>
      <c r="Z32" s="1" t="n"/>
    </row>
    <row r="33" ht="25.5" customHeight="1" s="311">
      <c r="A33" s="145" t="n"/>
      <c r="B33" s="232" t="inlineStr">
        <is>
          <t>Ratio de endeudamiento sobre ingresos (DTI)</t>
        </is>
      </c>
      <c r="C33" s="238" t="inlineStr">
        <is>
          <t>(Cuota hipoteca + pagos mínimos) / Ingresos mensuales</t>
        </is>
      </c>
      <c r="D33" s="107">
        <f>IFERROR((Balance!$C$93+$D$6)/Resultados!$F$13,"")</f>
        <v/>
      </c>
      <c r="E33" s="41" t="inlineStr">
        <is>
          <t>&lt; 36%</t>
        </is>
      </c>
      <c r="F33" s="62">
        <f>IF($D33="","—",IF($D33&lt;=0.36,"✅",IF($D33&lt;=0.45,"🟡","🔴")))</f>
        <v/>
      </c>
      <c r="G33" s="151">
        <f>IF($F33="✅",2,IF($F33="🟡",1,0))</f>
        <v/>
      </c>
      <c r="H33" s="151" t="n">
        <v>3</v>
      </c>
      <c r="I33" s="20" t="inlineStr">
        <is>
          <t>El número que mira el banco antes de concederte una hipoteca.</t>
        </is>
      </c>
      <c r="J33" s="145" t="n"/>
      <c r="K33" s="40" t="inlineStr">
        <is>
          <t>En rojo</t>
        </is>
      </c>
      <c r="L33" s="241">
        <f>COUNTIF($F$11:$F$37,"🔴")</f>
        <v/>
      </c>
      <c r="M33" s="239" t="inlineStr">
        <is>
          <t>4</t>
        </is>
      </c>
      <c r="N33" s="1" t="n"/>
      <c r="O33" s="1" t="n"/>
      <c r="P33" s="1" t="n"/>
      <c r="Q33" s="1" t="n"/>
      <c r="R33" s="1" t="n"/>
      <c r="S33" s="1" t="n"/>
      <c r="T33" s="1" t="n"/>
      <c r="U33" s="1" t="n"/>
      <c r="V33" s="1" t="n"/>
      <c r="W33" s="1" t="n"/>
      <c r="X33" s="1" t="n"/>
      <c r="Y33" s="1" t="n"/>
      <c r="Z33" s="1" t="n"/>
    </row>
    <row r="34" ht="25.5" customHeight="1" s="311">
      <c r="A34" s="145" t="n"/>
      <c r="B34" s="232" t="inlineStr">
        <is>
          <t>Cobertura de intereses</t>
        </is>
      </c>
      <c r="C34" s="238" t="inlineStr">
        <is>
          <t>(Resultado + Intereses) / Intereses</t>
        </is>
      </c>
      <c r="D34" s="106">
        <f>IFERROR((Resultados!$F$43+Resultados!$F$39)/Resultados!$F$39,"")</f>
        <v/>
      </c>
      <c r="E34" s="41" t="inlineStr">
        <is>
          <t>&gt; 3,0</t>
        </is>
      </c>
      <c r="F34" s="62">
        <f>IF($D34="","—",IF($D34&gt;=3,"✅",IF($D34&gt;=1.5,"🟡","🔴")))</f>
        <v/>
      </c>
      <c r="G34" s="151">
        <f>IF($F34="✅",2,IF($F34="🟡",1,0))</f>
        <v/>
      </c>
      <c r="H34" s="151" t="n">
        <v>3</v>
      </c>
      <c r="I34" s="20" t="inlineStr">
        <is>
          <t>Cuántas veces cubres los intereses con lo que generas. Por debajo de 1,5 vas justo.</t>
        </is>
      </c>
      <c r="J34" s="145" t="n"/>
      <c r="K34" s="145" t="n"/>
      <c r="L34" s="145" t="n"/>
      <c r="M34" s="239" t="inlineStr">
        <is>
          <t>4</t>
        </is>
      </c>
      <c r="N34" s="1" t="n"/>
      <c r="O34" s="1" t="n"/>
      <c r="P34" s="1" t="n"/>
      <c r="Q34" s="1" t="n"/>
      <c r="R34" s="1" t="n"/>
      <c r="S34" s="1" t="n"/>
      <c r="T34" s="1" t="n"/>
      <c r="U34" s="1" t="n"/>
      <c r="V34" s="1" t="n"/>
      <c r="W34" s="1" t="n"/>
      <c r="X34" s="1" t="n"/>
      <c r="Y34" s="1" t="n"/>
      <c r="Z34" s="1" t="n"/>
    </row>
    <row r="35" ht="25.5" customHeight="1" s="311">
      <c r="A35" s="145" t="n"/>
      <c r="B35" s="242" t="inlineStr">
        <is>
          <t>Años de resultado para liquidar la deuda neta</t>
        </is>
      </c>
      <c r="C35" s="238" t="inlineStr">
        <is>
          <t>Deuda neta / Resultado anual</t>
        </is>
      </c>
      <c r="D35" s="240">
        <f>IFERROR(((Balance!$E$27+Balance!$E$28+Balance!$E$30+Balance!$C$92)-Disponibilidad!$G$33)/Resultados!$I$43,"")</f>
        <v/>
      </c>
      <c r="E35" s="41" t="inlineStr">
        <is>
          <t>&lt; 5 años</t>
        </is>
      </c>
      <c r="F35" s="62">
        <f>IF($D35="","—",IF($D35&lt;=5,"✅",IF($D35&lt;=8,"🟡","🔴")))</f>
        <v/>
      </c>
      <c r="G35" s="151">
        <f>IF($F35="✅",2,IF($F35="🟡",1,0))</f>
        <v/>
      </c>
      <c r="H35" s="151" t="n">
        <v>2</v>
      </c>
      <c r="I35" s="20" t="inlineStr">
        <is>
          <t>ADAPTADO del EV/EBIT: años que tardarías en saldar toda la deuda si destinaras a ello todo tu superávit.</t>
        </is>
      </c>
      <c r="J35" s="145" t="n"/>
      <c r="K35" s="145" t="n"/>
      <c r="L35" s="145" t="n"/>
      <c r="M35" s="239" t="inlineStr">
        <is>
          <t>4</t>
        </is>
      </c>
      <c r="N35" s="1" t="n"/>
      <c r="O35" s="1" t="n"/>
      <c r="P35" s="1" t="n"/>
      <c r="Q35" s="1" t="n"/>
      <c r="R35" s="1" t="n"/>
      <c r="S35" s="1" t="n"/>
      <c r="T35" s="1" t="n"/>
      <c r="U35" s="1" t="n"/>
      <c r="V35" s="1" t="n"/>
      <c r="W35" s="1" t="n"/>
      <c r="X35" s="1" t="n"/>
      <c r="Y35" s="1" t="n"/>
      <c r="Z35" s="1" t="n"/>
    </row>
    <row r="36" ht="25.5" customHeight="1" s="311">
      <c r="A36" s="145" t="n"/>
      <c r="B36" s="232" t="inlineStr">
        <is>
          <t>Conversión del resultado en caja</t>
        </is>
      </c>
      <c r="C36" s="238" t="inlineStr">
        <is>
          <t>Flujo de caja libre / Resultado del mes</t>
        </is>
      </c>
      <c r="D36" s="107">
        <f>IFERROR(FlujoCaja!$F$30/Resultados!$F$43,"")</f>
        <v/>
      </c>
      <c r="E36" s="41" t="inlineStr">
        <is>
          <t>≥ 80%</t>
        </is>
      </c>
      <c r="F36" s="62">
        <f>IF($D36="","—",IF($D36&gt;=0.8,"✅",IF($D36&gt;=0.5,"🟡","🔴")))</f>
        <v/>
      </c>
      <c r="G36" s="151">
        <f>IF($F36="✅",2,IF($F36="🟡",1,0))</f>
        <v/>
      </c>
      <c r="H36" s="151" t="n">
        <v>2</v>
      </c>
      <c r="I36" s="20" t="inlineStr">
        <is>
          <t>ADAPTADO del EBIT/FCF: cuánto de lo que "ganas" acaba siendo dinero en la cuenta.</t>
        </is>
      </c>
      <c r="J36" s="145" t="n"/>
      <c r="K36" s="145" t="n"/>
      <c r="L36" s="145" t="n"/>
      <c r="M36" s="239" t="inlineStr">
        <is>
          <t>4</t>
        </is>
      </c>
      <c r="N36" s="1" t="n"/>
      <c r="O36" s="1" t="n"/>
      <c r="P36" s="1" t="n"/>
      <c r="Q36" s="1" t="n"/>
      <c r="R36" s="1" t="n"/>
      <c r="S36" s="1" t="n"/>
      <c r="T36" s="1" t="n"/>
      <c r="U36" s="1" t="n"/>
      <c r="V36" s="1" t="n"/>
      <c r="W36" s="1" t="n"/>
      <c r="X36" s="1" t="n"/>
      <c r="Y36" s="1" t="n"/>
      <c r="Z36" s="1" t="n"/>
    </row>
    <row r="37" ht="25.5" customHeight="1" s="311">
      <c r="A37" s="145" t="n"/>
      <c r="B37" s="232" t="inlineStr">
        <is>
          <t>Ratio préstamo/valor de la vivienda (LTV)</t>
        </is>
      </c>
      <c r="C37" s="238" t="inlineStr">
        <is>
          <t>Capital vivo de la hipoteca / Valor de la vivienda</t>
        </is>
      </c>
      <c r="D37" s="107">
        <f>IFERROR(Balance!$C$92/Balance!$E$80,"")</f>
        <v/>
      </c>
      <c r="E37" s="41" t="inlineStr">
        <is>
          <t>&lt; 80%</t>
        </is>
      </c>
      <c r="F37" s="62">
        <f>IF($D37="","—",IF($D37&lt;=0.8,"✅",IF($D37&lt;=0.9,"🟡","🔴")))</f>
        <v/>
      </c>
      <c r="G37" s="151">
        <f>IF($F37="✅",2,IF($F37="🟡",1,0))</f>
        <v/>
      </c>
      <c r="H37" s="151" t="n">
        <v>2</v>
      </c>
      <c r="I37" s="20" t="inlineStr">
        <is>
          <t>Si tuvieras que vender, cuánto del precio se lo llevaría el banco.</t>
        </is>
      </c>
      <c r="J37" s="145" t="n"/>
      <c r="K37" s="145" t="n"/>
      <c r="L37" s="145" t="n"/>
      <c r="M37" s="239" t="inlineStr">
        <is>
          <t>4</t>
        </is>
      </c>
      <c r="N37" s="1" t="n"/>
      <c r="O37" s="1" t="n"/>
      <c r="P37" s="1" t="n"/>
      <c r="Q37" s="1" t="n"/>
      <c r="R37" s="1" t="n"/>
      <c r="S37" s="1" t="n"/>
      <c r="T37" s="1" t="n"/>
      <c r="U37" s="1" t="n"/>
      <c r="V37" s="1" t="n"/>
      <c r="W37" s="1" t="n"/>
      <c r="X37" s="1" t="n"/>
      <c r="Y37" s="1" t="n"/>
      <c r="Z37" s="1" t="n"/>
    </row>
    <row r="38" ht="15.75" customHeight="1" s="311">
      <c r="A38" s="145" t="n"/>
      <c r="B38" s="145" t="n"/>
      <c r="C38" s="145" t="n"/>
      <c r="D38" s="145" t="n"/>
      <c r="E38" s="145" t="n"/>
      <c r="F38" s="145" t="n"/>
      <c r="G38" s="145" t="n"/>
      <c r="H38" s="145" t="n"/>
      <c r="I38" s="145" t="n"/>
      <c r="J38" s="145" t="n"/>
      <c r="K38" s="145" t="n"/>
      <c r="L38" s="145" t="n"/>
      <c r="M38" s="145" t="n"/>
      <c r="N38" s="1" t="n"/>
      <c r="O38" s="1" t="n"/>
      <c r="P38" s="1" t="n"/>
      <c r="Q38" s="1" t="n"/>
      <c r="R38" s="1" t="n"/>
      <c r="S38" s="1" t="n"/>
      <c r="T38" s="1" t="n"/>
      <c r="U38" s="1" t="n"/>
      <c r="V38" s="1" t="n"/>
      <c r="W38" s="1" t="n"/>
      <c r="X38" s="1" t="n"/>
      <c r="Y38" s="1" t="n"/>
      <c r="Z38" s="1" t="n"/>
    </row>
    <row r="39" ht="21.75" customHeight="1" s="311">
      <c r="A39" s="145" t="n"/>
      <c r="B39" s="21" t="inlineStr">
        <is>
          <t>EVALUACIÓN DEL DESEMPEÑO FINANCIERO</t>
        </is>
      </c>
      <c r="C39" s="22" t="n"/>
      <c r="D39" s="22" t="n"/>
      <c r="E39" s="22" t="n"/>
      <c r="F39" s="22" t="n"/>
      <c r="G39" s="22" t="n"/>
      <c r="H39" s="22" t="n"/>
      <c r="I39" s="22" t="n"/>
      <c r="J39" s="145" t="n"/>
      <c r="K39" s="145" t="n"/>
      <c r="L39" s="145" t="n"/>
      <c r="M39" s="145" t="n"/>
      <c r="N39" s="1" t="n"/>
      <c r="O39" s="1" t="n"/>
      <c r="P39" s="1" t="n"/>
      <c r="Q39" s="1" t="n"/>
      <c r="R39" s="1" t="n"/>
      <c r="S39" s="1" t="n"/>
      <c r="T39" s="1" t="n"/>
      <c r="U39" s="1" t="n"/>
      <c r="V39" s="1" t="n"/>
      <c r="W39" s="1" t="n"/>
      <c r="X39" s="1" t="n"/>
      <c r="Y39" s="1" t="n"/>
      <c r="Z39" s="1" t="n"/>
    </row>
    <row r="40" ht="17.25" customHeight="1" s="311">
      <c r="A40" s="145" t="n"/>
      <c r="B40" s="38" t="inlineStr">
        <is>
          <t>PUNTUACIÓN GLOBAL</t>
        </is>
      </c>
      <c r="C40" s="39" t="n"/>
      <c r="D40" s="243">
        <f>IFERROR(SUMPRODUCT($G$11:$G$37,$H$11:$H$37)/(2*SUMIF($F$11:$F$37,"&lt;&gt;—",$H$11:$H$37))*100,"")</f>
        <v/>
      </c>
      <c r="E40" s="39" t="n"/>
      <c r="F40" s="39" t="n"/>
      <c r="G40" s="39" t="n"/>
      <c r="H40" s="39" t="n"/>
      <c r="I40" s="145" t="n"/>
      <c r="J40" s="145" t="n"/>
      <c r="K40" s="145" t="n"/>
      <c r="L40" s="145" t="n"/>
      <c r="M40" s="145" t="n"/>
      <c r="N40" s="1" t="n"/>
      <c r="O40" s="1" t="n"/>
      <c r="P40" s="1" t="n"/>
      <c r="Q40" s="1" t="n"/>
      <c r="R40" s="1" t="n"/>
      <c r="S40" s="1" t="n"/>
      <c r="T40" s="1" t="n"/>
      <c r="U40" s="1" t="n"/>
      <c r="V40" s="1" t="n"/>
      <c r="W40" s="1" t="n"/>
      <c r="X40" s="1" t="n"/>
      <c r="Y40" s="1" t="n"/>
      <c r="Z40" s="1" t="n"/>
    </row>
    <row r="41" ht="17.25" customHeight="1" s="311">
      <c r="A41" s="145" t="n"/>
      <c r="B41" s="38" t="inlineStr">
        <is>
          <t>Calificación</t>
        </is>
      </c>
      <c r="C41" s="39" t="n"/>
      <c r="D41" s="244">
        <f>IF($D40="","",IF($D40&gt;=85,"✅ EXCELENTE",IF($D40&gt;=70,"🟢 BUENA",IF($D40&gt;=55,"🟡 ACEPTABLE",IF($D40&gt;=40,"🟠 FRÁGIL","🔴 CRÍTICA")))))</f>
        <v/>
      </c>
      <c r="E41" s="39" t="n"/>
      <c r="F41" s="39" t="n"/>
      <c r="G41" s="39" t="n"/>
      <c r="H41" s="39" t="n"/>
      <c r="I41" s="145" t="n"/>
      <c r="J41" s="145" t="n"/>
      <c r="K41" s="145" t="n"/>
      <c r="L41" s="145" t="n"/>
      <c r="M41" s="145" t="n"/>
      <c r="N41" s="1" t="n"/>
      <c r="O41" s="1" t="n"/>
      <c r="P41" s="1" t="n"/>
      <c r="Q41" s="1" t="n"/>
      <c r="R41" s="1" t="n"/>
      <c r="S41" s="1" t="n"/>
      <c r="T41" s="1" t="n"/>
      <c r="U41" s="1" t="n"/>
      <c r="V41" s="1" t="n"/>
      <c r="W41" s="1" t="n"/>
      <c r="X41" s="1" t="n"/>
      <c r="Y41" s="1" t="n"/>
      <c r="Z41" s="1" t="n"/>
    </row>
    <row r="42" ht="15" customHeight="1" s="311">
      <c r="A42" s="145" t="n"/>
      <c r="B42" s="46" t="inlineStr">
        <is>
          <t>Barra de puntuación</t>
        </is>
      </c>
      <c r="C42" s="46" t="n"/>
      <c r="D42" s="323">
        <f>IF($D$40="","",REPT("█",MAX(0,ROUND($D$40/2.5,0)))&amp;REPT("░",40-MAX(0,ROUND($D$40/2.5,0))))</f>
        <v/>
      </c>
      <c r="E42" s="313" t="n"/>
      <c r="F42" s="313" t="n"/>
      <c r="G42" s="313" t="n"/>
      <c r="H42" s="314" t="n"/>
      <c r="I42" s="145" t="n"/>
      <c r="J42" s="145" t="n"/>
      <c r="K42" s="145" t="n"/>
      <c r="L42" s="145" t="n"/>
      <c r="M42" s="145" t="n"/>
      <c r="N42" s="1" t="n"/>
      <c r="O42" s="1" t="n"/>
      <c r="P42" s="1" t="n"/>
      <c r="Q42" s="1" t="n"/>
      <c r="R42" s="1" t="n"/>
      <c r="S42" s="1" t="n"/>
      <c r="T42" s="1" t="n"/>
      <c r="U42" s="1" t="n"/>
      <c r="V42" s="1" t="n"/>
      <c r="W42" s="1" t="n"/>
      <c r="X42" s="1" t="n"/>
      <c r="Y42" s="1" t="n"/>
      <c r="Z42" s="1" t="n"/>
    </row>
    <row r="43" ht="15" customHeight="1" s="311">
      <c r="A43" s="145" t="n"/>
      <c r="B43" s="46" t="inlineStr">
        <is>
          <t>Ratios en verde</t>
        </is>
      </c>
      <c r="C43" s="46" t="n"/>
      <c r="D43" s="64">
        <f>COUNTIF($F$11:$F$37,"✅")&amp;" de "&amp;COUNTIF($F$11:$F$37,"&lt;&gt;—")</f>
        <v/>
      </c>
      <c r="E43" s="46" t="n"/>
      <c r="F43" s="46" t="n"/>
      <c r="G43" s="46" t="n"/>
      <c r="H43" s="46" t="n"/>
      <c r="I43" s="145" t="n"/>
      <c r="J43" s="145" t="n"/>
      <c r="K43" s="145" t="n"/>
      <c r="L43" s="145" t="n"/>
      <c r="M43" s="145" t="n"/>
      <c r="N43" s="1" t="n"/>
      <c r="O43" s="1" t="n"/>
      <c r="P43" s="1" t="n"/>
      <c r="Q43" s="1" t="n"/>
      <c r="R43" s="1" t="n"/>
      <c r="S43" s="1" t="n"/>
      <c r="T43" s="1" t="n"/>
      <c r="U43" s="1" t="n"/>
      <c r="V43" s="1" t="n"/>
      <c r="W43" s="1" t="n"/>
      <c r="X43" s="1" t="n"/>
      <c r="Y43" s="1" t="n"/>
      <c r="Z43" s="1" t="n"/>
    </row>
    <row r="44" ht="15" customHeight="1" s="311">
      <c r="A44" s="145" t="n"/>
      <c r="B44" s="46" t="inlineStr">
        <is>
          <t>Ratios en ámbar</t>
        </is>
      </c>
      <c r="C44" s="46" t="n"/>
      <c r="D44" s="64">
        <f>COUNTIF($F$11:$F$37,"🟡")</f>
        <v/>
      </c>
      <c r="E44" s="46" t="n"/>
      <c r="F44" s="46" t="n"/>
      <c r="G44" s="46" t="n"/>
      <c r="H44" s="46" t="n"/>
      <c r="I44" s="145" t="n"/>
      <c r="J44" s="145" t="n"/>
      <c r="K44" s="145" t="n"/>
      <c r="L44" s="145" t="n"/>
      <c r="M44" s="145" t="n"/>
      <c r="N44" s="1" t="n"/>
      <c r="O44" s="1" t="n"/>
      <c r="P44" s="1" t="n"/>
      <c r="Q44" s="1" t="n"/>
      <c r="R44" s="1" t="n"/>
      <c r="S44" s="1" t="n"/>
      <c r="T44" s="1" t="n"/>
      <c r="U44" s="1" t="n"/>
      <c r="V44" s="1" t="n"/>
      <c r="W44" s="1" t="n"/>
      <c r="X44" s="1" t="n"/>
      <c r="Y44" s="1" t="n"/>
      <c r="Z44" s="1" t="n"/>
    </row>
    <row r="45" ht="15" customHeight="1" s="311">
      <c r="A45" s="145" t="n"/>
      <c r="B45" s="46" t="inlineStr">
        <is>
          <t>Ratios en rojo</t>
        </is>
      </c>
      <c r="C45" s="46" t="n"/>
      <c r="D45" s="64">
        <f>COUNTIF($F$11:$F$37,"🔴")</f>
        <v/>
      </c>
      <c r="E45" s="46" t="n"/>
      <c r="F45" s="46" t="n"/>
      <c r="G45" s="46" t="n"/>
      <c r="H45" s="46" t="n"/>
      <c r="I45" s="145" t="n"/>
      <c r="J45" s="145" t="n"/>
      <c r="K45" s="145" t="n"/>
      <c r="L45" s="145" t="n"/>
      <c r="M45" s="145" t="n"/>
      <c r="N45" s="1" t="n"/>
      <c r="O45" s="1" t="n"/>
      <c r="P45" s="1" t="n"/>
      <c r="Q45" s="1" t="n"/>
      <c r="R45" s="1" t="n"/>
      <c r="S45" s="1" t="n"/>
      <c r="T45" s="1" t="n"/>
      <c r="U45" s="1" t="n"/>
      <c r="V45" s="1" t="n"/>
      <c r="W45" s="1" t="n"/>
      <c r="X45" s="1" t="n"/>
      <c r="Y45" s="1" t="n"/>
      <c r="Z45" s="1" t="n"/>
    </row>
    <row r="46" ht="15.75" customHeight="1" s="311">
      <c r="A46" s="145" t="n"/>
      <c r="B46" s="145" t="n"/>
      <c r="C46" s="145" t="n"/>
      <c r="D46" s="145" t="n"/>
      <c r="E46" s="145" t="n"/>
      <c r="F46" s="145" t="n"/>
      <c r="G46" s="145" t="n"/>
      <c r="H46" s="145" t="n"/>
      <c r="I46" s="145" t="n"/>
      <c r="J46" s="145" t="n"/>
      <c r="K46" s="145" t="n"/>
      <c r="L46" s="145" t="n"/>
      <c r="M46" s="145" t="n"/>
      <c r="N46" s="1" t="n"/>
      <c r="O46" s="1" t="n"/>
      <c r="P46" s="1" t="n"/>
      <c r="Q46" s="1" t="n"/>
      <c r="R46" s="1" t="n"/>
      <c r="S46" s="1" t="n"/>
      <c r="T46" s="1" t="n"/>
      <c r="U46" s="1" t="n"/>
      <c r="V46" s="1" t="n"/>
      <c r="W46" s="1" t="n"/>
      <c r="X46" s="1" t="n"/>
      <c r="Y46" s="1" t="n"/>
      <c r="Z46" s="1" t="n"/>
    </row>
    <row r="47" ht="15" customHeight="1" s="311">
      <c r="A47" s="145" t="n"/>
      <c r="B47" s="38" t="inlineStr">
        <is>
          <t>Puntuación por bloque</t>
        </is>
      </c>
      <c r="C47" s="39" t="n"/>
      <c r="D47" s="39" t="n"/>
      <c r="E47" s="39" t="n"/>
      <c r="F47" s="39" t="n"/>
      <c r="G47" s="39" t="n"/>
      <c r="H47" s="39" t="n"/>
      <c r="I47" s="145" t="n"/>
      <c r="J47" s="145" t="n"/>
      <c r="K47" s="31" t="inlineStr">
        <is>
          <t>Bloque</t>
        </is>
      </c>
      <c r="L47" s="31" t="inlineStr">
        <is>
          <t>Puntos %</t>
        </is>
      </c>
      <c r="M47" s="145" t="n"/>
      <c r="N47" s="1" t="n"/>
      <c r="O47" s="1" t="n"/>
      <c r="P47" s="1" t="n"/>
      <c r="Q47" s="1" t="n"/>
      <c r="R47" s="1" t="n"/>
      <c r="S47" s="1" t="n"/>
      <c r="T47" s="1" t="n"/>
      <c r="U47" s="1" t="n"/>
      <c r="V47" s="1" t="n"/>
      <c r="W47" s="1" t="n"/>
      <c r="X47" s="1" t="n"/>
      <c r="Y47" s="1" t="n"/>
      <c r="Z47" s="1" t="n"/>
    </row>
    <row r="48" ht="15" customHeight="1" s="311">
      <c r="A48" s="145" t="n"/>
      <c r="B48" s="46" t="inlineStr">
        <is>
          <t>Solvencia y estructura</t>
        </is>
      </c>
      <c r="C48" s="145" t="n"/>
      <c r="D48" s="245">
        <f>IFERROR(SUMPRODUCT(($M$11:$M$37="1")*$G$11:$G$37*$H$11:$H$37)/(2*SUMPRODUCT(($M$11:$M$37="1")*$H$11:$H$37))*100,"")</f>
        <v/>
      </c>
      <c r="E48" s="66">
        <f>IF($D48="","",REPT("█",MAX(0,ROUND($D48/5,0))))</f>
        <v/>
      </c>
      <c r="F48" s="145" t="n"/>
      <c r="G48" s="145" t="n"/>
      <c r="H48" s="145" t="n"/>
      <c r="I48" s="145" t="n"/>
      <c r="J48" s="145" t="n"/>
      <c r="K48" s="40" t="inlineStr">
        <is>
          <t>Solvencia y estructura</t>
        </is>
      </c>
      <c r="L48" s="246">
        <f>$D48</f>
        <v/>
      </c>
      <c r="M48" s="145" t="n"/>
      <c r="N48" s="1" t="n"/>
      <c r="O48" s="1" t="n"/>
      <c r="P48" s="1" t="n"/>
      <c r="Q48" s="1" t="n"/>
      <c r="R48" s="1" t="n"/>
      <c r="S48" s="1" t="n"/>
      <c r="T48" s="1" t="n"/>
      <c r="U48" s="1" t="n"/>
      <c r="V48" s="1" t="n"/>
      <c r="W48" s="1" t="n"/>
      <c r="X48" s="1" t="n"/>
      <c r="Y48" s="1" t="n"/>
      <c r="Z48" s="1" t="n"/>
    </row>
    <row r="49" ht="15" customHeight="1" s="311">
      <c r="A49" s="145" t="n"/>
      <c r="B49" s="46" t="inlineStr">
        <is>
          <t>Liquidez</t>
        </is>
      </c>
      <c r="C49" s="145" t="n"/>
      <c r="D49" s="245">
        <f>IFERROR(SUMPRODUCT(($M$11:$M$37="2")*$G$11:$G$37*$H$11:$H$37)/(2*SUMPRODUCT(($M$11:$M$37="2")*$H$11:$H$37))*100,"")</f>
        <v/>
      </c>
      <c r="E49" s="66">
        <f>IF($D49="","",REPT("█",MAX(0,ROUND($D49/5,0))))</f>
        <v/>
      </c>
      <c r="F49" s="145" t="n"/>
      <c r="G49" s="145" t="n"/>
      <c r="H49" s="145" t="n"/>
      <c r="I49" s="145" t="n"/>
      <c r="J49" s="145" t="n"/>
      <c r="K49" s="40" t="inlineStr">
        <is>
          <t>Liquidez</t>
        </is>
      </c>
      <c r="L49" s="246">
        <f>$D49</f>
        <v/>
      </c>
      <c r="M49" s="145" t="n"/>
      <c r="N49" s="1" t="n"/>
      <c r="O49" s="1" t="n"/>
      <c r="P49" s="1" t="n"/>
      <c r="Q49" s="1" t="n"/>
      <c r="R49" s="1" t="n"/>
      <c r="S49" s="1" t="n"/>
      <c r="T49" s="1" t="n"/>
      <c r="U49" s="1" t="n"/>
      <c r="V49" s="1" t="n"/>
      <c r="W49" s="1" t="n"/>
      <c r="X49" s="1" t="n"/>
      <c r="Y49" s="1" t="n"/>
      <c r="Z49" s="1" t="n"/>
    </row>
    <row r="50" ht="15" customHeight="1" s="311">
      <c r="A50" s="145" t="n"/>
      <c r="B50" s="46" t="inlineStr">
        <is>
          <t>Rentabilidad</t>
        </is>
      </c>
      <c r="C50" s="145" t="n"/>
      <c r="D50" s="245">
        <f>IFERROR(SUMPRODUCT(($M$11:$M$37="3")*$G$11:$G$37*$H$11:$H$37)/(2*SUMPRODUCT(($M$11:$M$37="3")*$H$11:$H$37))*100,"")</f>
        <v/>
      </c>
      <c r="E50" s="66">
        <f>IF($D50="","",REPT("█",MAX(0,ROUND($D50/5,0))))</f>
        <v/>
      </c>
      <c r="F50" s="145" t="n"/>
      <c r="G50" s="145" t="n"/>
      <c r="H50" s="145" t="n"/>
      <c r="I50" s="145" t="n"/>
      <c r="J50" s="145" t="n"/>
      <c r="K50" s="40" t="inlineStr">
        <is>
          <t>Rentabilidad</t>
        </is>
      </c>
      <c r="L50" s="246">
        <f>$D50</f>
        <v/>
      </c>
      <c r="M50" s="145" t="n"/>
      <c r="N50" s="1" t="n"/>
      <c r="O50" s="1" t="n"/>
      <c r="P50" s="1" t="n"/>
      <c r="Q50" s="1" t="n"/>
      <c r="R50" s="1" t="n"/>
      <c r="S50" s="1" t="n"/>
      <c r="T50" s="1" t="n"/>
      <c r="U50" s="1" t="n"/>
      <c r="V50" s="1" t="n"/>
      <c r="W50" s="1" t="n"/>
      <c r="X50" s="1" t="n"/>
      <c r="Y50" s="1" t="n"/>
      <c r="Z50" s="1" t="n"/>
    </row>
    <row r="51" ht="15" customHeight="1" s="311">
      <c r="A51" s="145" t="n"/>
      <c r="B51" s="46" t="inlineStr">
        <is>
          <t>Carga de la deuda</t>
        </is>
      </c>
      <c r="C51" s="145" t="n"/>
      <c r="D51" s="245">
        <f>IFERROR(SUMPRODUCT(($M$11:$M$37="4")*$G$11:$G$37*$H$11:$H$37)/(2*SUMPRODUCT(($M$11:$M$37="4")*$H$11:$H$37))*100,"")</f>
        <v/>
      </c>
      <c r="E51" s="66">
        <f>IF($D51="","",REPT("█",MAX(0,ROUND($D51/5,0))))</f>
        <v/>
      </c>
      <c r="F51" s="145" t="n"/>
      <c r="G51" s="145" t="n"/>
      <c r="H51" s="145" t="n"/>
      <c r="I51" s="145" t="n"/>
      <c r="J51" s="145" t="n"/>
      <c r="K51" s="40" t="inlineStr">
        <is>
          <t>Carga de la deuda</t>
        </is>
      </c>
      <c r="L51" s="246">
        <f>$D51</f>
        <v/>
      </c>
      <c r="M51" s="145" t="n"/>
      <c r="N51" s="1" t="n"/>
      <c r="O51" s="1" t="n"/>
      <c r="P51" s="1" t="n"/>
      <c r="Q51" s="1" t="n"/>
      <c r="R51" s="1" t="n"/>
      <c r="S51" s="1" t="n"/>
      <c r="T51" s="1" t="n"/>
      <c r="U51" s="1" t="n"/>
      <c r="V51" s="1" t="n"/>
      <c r="W51" s="1" t="n"/>
      <c r="X51" s="1" t="n"/>
      <c r="Y51" s="1" t="n"/>
      <c r="Z51" s="1" t="n"/>
    </row>
    <row r="52" ht="15.75" customHeight="1" s="311">
      <c r="A52" s="145" t="n"/>
      <c r="B52" s="145" t="n"/>
      <c r="C52" s="145" t="n"/>
      <c r="D52" s="145" t="n"/>
      <c r="E52" s="145" t="n"/>
      <c r="F52" s="145" t="n"/>
      <c r="G52" s="145" t="n"/>
      <c r="H52" s="145" t="n"/>
      <c r="I52" s="145" t="n"/>
      <c r="J52" s="145" t="n"/>
      <c r="K52" s="145" t="n"/>
      <c r="L52" s="145" t="n"/>
      <c r="M52" s="145" t="n"/>
      <c r="N52" s="1" t="n"/>
      <c r="O52" s="1" t="n"/>
      <c r="P52" s="1" t="n"/>
      <c r="Q52" s="1" t="n"/>
      <c r="R52" s="1" t="n"/>
      <c r="S52" s="1" t="n"/>
      <c r="T52" s="1" t="n"/>
      <c r="U52" s="1" t="n"/>
      <c r="V52" s="1" t="n"/>
      <c r="W52" s="1" t="n"/>
      <c r="X52" s="1" t="n"/>
      <c r="Y52" s="1" t="n"/>
      <c r="Z52" s="1" t="n"/>
    </row>
    <row r="53" ht="21.75" customHeight="1" s="311">
      <c r="A53" s="145" t="n"/>
      <c r="B53" s="21" t="inlineStr">
        <is>
          <t>DIAGNÓSTICO</t>
        </is>
      </c>
      <c r="C53" s="22" t="n"/>
      <c r="D53" s="22" t="n"/>
      <c r="E53" s="22" t="n"/>
      <c r="F53" s="22" t="n"/>
      <c r="G53" s="22" t="n"/>
      <c r="H53" s="22" t="n"/>
      <c r="I53" s="22" t="n"/>
      <c r="J53" s="145" t="n"/>
      <c r="K53" s="145" t="n"/>
      <c r="L53" s="145" t="n"/>
      <c r="M53" s="145" t="n"/>
      <c r="N53" s="1" t="n"/>
      <c r="O53" s="1" t="n"/>
      <c r="P53" s="1" t="n"/>
      <c r="Q53" s="1" t="n"/>
      <c r="R53" s="1" t="n"/>
      <c r="S53" s="1" t="n"/>
      <c r="T53" s="1" t="n"/>
      <c r="U53" s="1" t="n"/>
      <c r="V53" s="1" t="n"/>
      <c r="W53" s="1" t="n"/>
      <c r="X53" s="1" t="n"/>
      <c r="Y53" s="1" t="n"/>
      <c r="Z53" s="1" t="n"/>
    </row>
    <row r="54" ht="30" customHeight="1" s="311">
      <c r="A54" s="145" t="n"/>
      <c r="B54" s="247">
        <f>IF(Balance!$E$41&gt;0,"✅ PATRIMONIO. Tu patrimonio neto es de "&amp;TEXT(Balance!$E$41,"#,##0")&amp;" €. Vendiendo todo y pagando todo te quedaría esa cantidad, y el endeudamiento del "&amp;TEXT(Balance!$E$39/Balance!$E$22,"0%")&amp;" está dentro de lo razonable para alguien con hipoteca.","🔴 PATRIMONIO. Tu patrimonio neto es negativo: debes más de lo que tienes.")</f>
        <v/>
      </c>
      <c r="C54" s="313" t="n"/>
      <c r="D54" s="313" t="n"/>
      <c r="E54" s="313" t="n"/>
      <c r="F54" s="313" t="n"/>
      <c r="G54" s="313" t="n"/>
      <c r="H54" s="313" t="n"/>
      <c r="I54" s="313" t="n"/>
      <c r="J54" s="145" t="n"/>
      <c r="K54" s="145" t="n"/>
      <c r="L54" s="145" t="n"/>
      <c r="M54" s="145" t="n"/>
      <c r="N54" s="1" t="n"/>
      <c r="O54" s="1" t="n"/>
      <c r="P54" s="1" t="n"/>
      <c r="Q54" s="1" t="n"/>
      <c r="R54" s="1" t="n"/>
      <c r="S54" s="1" t="n"/>
      <c r="T54" s="1" t="n"/>
      <c r="U54" s="1" t="n"/>
      <c r="V54" s="1" t="n"/>
      <c r="W54" s="1" t="n"/>
      <c r="X54" s="1" t="n"/>
      <c r="Y54" s="1" t="n"/>
      <c r="Z54" s="1" t="n"/>
    </row>
    <row r="55" ht="30" customHeight="1" s="311">
      <c r="A55" s="145" t="n"/>
      <c r="B55" s="247">
        <f>IF(Balance!$E$13/Balance!$E$32&gt;=1,"✅ LIQUIDEZ. Cubres con holgura lo que vence este año.","🔴 LIQUIDEZ. Es tu punto más débil y con diferencia: tienes "&amp;TEXT(Balance!$E$13,"#,##0.00")&amp;" € disponibles frente a "&amp;TEXT(Balance!$E$32,"#,##0.00")&amp;" € que vencen en menos de un año. El fondo de maniobra es de "&amp;TEXT(Balance!$E$13-Balance!$E$32,"#,##0")&amp;" €.")</f>
        <v/>
      </c>
      <c r="C55" s="313" t="n"/>
      <c r="D55" s="313" t="n"/>
      <c r="E55" s="313" t="n"/>
      <c r="F55" s="313" t="n"/>
      <c r="G55" s="313" t="n"/>
      <c r="H55" s="313" t="n"/>
      <c r="I55" s="313" t="n"/>
      <c r="J55" s="145" t="n"/>
      <c r="K55" s="145" t="n"/>
      <c r="L55" s="145" t="n"/>
      <c r="M55" s="145" t="n"/>
      <c r="N55" s="1" t="n"/>
      <c r="O55" s="1" t="n"/>
      <c r="P55" s="1" t="n"/>
      <c r="Q55" s="1" t="n"/>
      <c r="R55" s="1" t="n"/>
      <c r="S55" s="1" t="n"/>
      <c r="T55" s="1" t="n"/>
      <c r="U55" s="1" t="n"/>
      <c r="V55" s="1" t="n"/>
      <c r="W55" s="1" t="n"/>
      <c r="X55" s="1" t="n"/>
      <c r="Y55" s="1" t="n"/>
      <c r="Z55" s="1" t="n"/>
    </row>
    <row r="56" ht="30" customHeight="1" s="311">
      <c r="A56" s="145" t="n"/>
      <c r="B56" s="247">
        <f>IF(Disponibilidad!$G$33/Resultados!$F$41&gt;=3,"✅ COLCHÓN. Tienes fondo de emergencia suficiente.","🔴 COLCHÓN. Aguantarías "&amp;TEXT(Disponibilidad!$G$33/Resultados!$F$41,"0.0")&amp;" meses sin ingresos. Cualquier imprevisto acaba en la tarjeta, y las tuyas ya están al tope.")</f>
        <v/>
      </c>
      <c r="C56" s="313" t="n"/>
      <c r="D56" s="313" t="n"/>
      <c r="E56" s="313" t="n"/>
      <c r="F56" s="313" t="n"/>
      <c r="G56" s="313" t="n"/>
      <c r="H56" s="313" t="n"/>
      <c r="I56" s="313" t="n"/>
      <c r="J56" s="145" t="n"/>
      <c r="K56" s="145" t="n"/>
      <c r="L56" s="145" t="n"/>
      <c r="M56" s="145" t="n"/>
      <c r="N56" s="1" t="n"/>
      <c r="O56" s="1" t="n"/>
      <c r="P56" s="1" t="n"/>
      <c r="Q56" s="1" t="n"/>
      <c r="R56" s="1" t="n"/>
      <c r="S56" s="1" t="n"/>
      <c r="T56" s="1" t="n"/>
      <c r="U56" s="1" t="n"/>
      <c r="V56" s="1" t="n"/>
      <c r="W56" s="1" t="n"/>
      <c r="X56" s="1" t="n"/>
      <c r="Y56" s="1" t="n"/>
      <c r="Z56" s="1" t="n"/>
    </row>
    <row r="57" ht="30" customHeight="1" s="311">
      <c r="A57" s="145" t="n"/>
      <c r="B57" s="247">
        <f>IF(Disponibilidad!$G$27/Disponibilidad!$E$27&lt;0.5,"✅ CRÉDITO. Te queda margen en las líneas de crédito.","🔴 CRÉDITO. Tus líneas están al "&amp;TEXT(Disponibilidad!$G$27/Disponibilidad!$E$27,"0%")&amp;": "&amp;TEXT(Disponibilidad!$E$27-Disponibilidad!$G$27,"#,##0.00")&amp;" € de margen sobre "&amp;TEXT(Disponibilidad!$E$27,"#,##0")&amp;" € de límite. No tienes red de seguridad.")</f>
        <v/>
      </c>
      <c r="C57" s="313" t="n"/>
      <c r="D57" s="313" t="n"/>
      <c r="E57" s="313" t="n"/>
      <c r="F57" s="313" t="n"/>
      <c r="G57" s="313" t="n"/>
      <c r="H57" s="313" t="n"/>
      <c r="I57" s="313" t="n"/>
      <c r="J57" s="145" t="n"/>
      <c r="K57" s="145" t="n"/>
      <c r="L57" s="145" t="n"/>
      <c r="M57" s="145" t="n"/>
      <c r="N57" s="1" t="n"/>
      <c r="O57" s="1" t="n"/>
      <c r="P57" s="1" t="n"/>
      <c r="Q57" s="1" t="n"/>
      <c r="R57" s="1" t="n"/>
      <c r="S57" s="1" t="n"/>
      <c r="T57" s="1" t="n"/>
      <c r="U57" s="1" t="n"/>
      <c r="V57" s="1" t="n"/>
      <c r="W57" s="1" t="n"/>
      <c r="X57" s="1" t="n"/>
      <c r="Y57" s="1" t="n"/>
      <c r="Z57" s="1" t="n"/>
    </row>
    <row r="58" ht="30" customHeight="1" s="311">
      <c r="A58" s="145" t="n"/>
      <c r="B58" s="247">
        <f>IF(Facturas!$AG$24=0,"✅ PAGOS. No arrastras facturas vencidas.","🔴 IMPAGOS. Arrastras "&amp;TEXT(Facturas!$AG$24,"#,##0.00")&amp;" € vencidos, el "&amp;TEXT(Facturas!$AG$24/Facturas!$AG$20,"0%")&amp;" de todo lo que debes en facturas. Eso genera recargos y deteriora tu relación con proveedores y con Hacienda.")</f>
        <v/>
      </c>
      <c r="C58" s="313" t="n"/>
      <c r="D58" s="313" t="n"/>
      <c r="E58" s="313" t="n"/>
      <c r="F58" s="313" t="n"/>
      <c r="G58" s="313" t="n"/>
      <c r="H58" s="313" t="n"/>
      <c r="I58" s="313" t="n"/>
      <c r="J58" s="145" t="n"/>
      <c r="K58" s="145" t="n"/>
      <c r="L58" s="145" t="n"/>
      <c r="M58" s="145" t="n"/>
      <c r="N58" s="1" t="n"/>
      <c r="O58" s="1" t="n"/>
      <c r="P58" s="1" t="n"/>
      <c r="Q58" s="1" t="n"/>
      <c r="R58" s="1" t="n"/>
      <c r="S58" s="1" t="n"/>
      <c r="T58" s="1" t="n"/>
      <c r="U58" s="1" t="n"/>
      <c r="V58" s="1" t="n"/>
      <c r="W58" s="1" t="n"/>
      <c r="X58" s="1" t="n"/>
      <c r="Y58" s="1" t="n"/>
      <c r="Z58" s="1" t="n"/>
    </row>
    <row r="59" ht="30" customHeight="1" s="311">
      <c r="A59" s="145" t="n"/>
      <c r="B59" s="247">
        <f>IF(Resultados!$F$43/Resultados!$F$13&gt;=0.2,"✅ CAPACIDAD DE AHORRO. Ahorras el "&amp;TEXT(Resultados!$F$43/Resultados!$F$13,"0%")&amp;" de lo que entra ("&amp;TEXT(Resultados!$F$43,"#,##0.00")&amp;" €/mes). Es tu mayor fortaleza: el problema no es cuánto ganas, es dónde está colocado.","🟡 CAPACIDAD DE AHORRO. Ahorras el "&amp;TEXT(Resultados!$F$43/Resultados!$F$13,"0%")&amp;" de lo que entra, por debajo del 20% recomendable.")</f>
        <v/>
      </c>
      <c r="C59" s="313" t="n"/>
      <c r="D59" s="313" t="n"/>
      <c r="E59" s="313" t="n"/>
      <c r="F59" s="313" t="n"/>
      <c r="G59" s="313" t="n"/>
      <c r="H59" s="313" t="n"/>
      <c r="I59" s="313" t="n"/>
      <c r="J59" s="145" t="n"/>
      <c r="K59" s="145" t="n"/>
      <c r="L59" s="145" t="n"/>
      <c r="M59" s="145" t="n"/>
      <c r="N59" s="1" t="n"/>
      <c r="O59" s="1" t="n"/>
      <c r="P59" s="1" t="n"/>
      <c r="Q59" s="1" t="n"/>
      <c r="R59" s="1" t="n"/>
      <c r="S59" s="1" t="n"/>
      <c r="T59" s="1" t="n"/>
      <c r="U59" s="1" t="n"/>
      <c r="V59" s="1" t="n"/>
      <c r="W59" s="1" t="n"/>
      <c r="X59" s="1" t="n"/>
      <c r="Y59" s="1" t="n"/>
      <c r="Z59" s="1" t="n"/>
    </row>
    <row r="60" ht="30" customHeight="1" s="311">
      <c r="A60" s="145" t="n"/>
      <c r="B60" s="247">
        <f>IF(Ratios!$D$16&gt;0.15,"🔴 ESTRUCTURA. El "&amp;TEXT(Ratios!$D$16,"0%")&amp;" de tu patrimonio está financiado con deuda con interés, y el "&amp;TEXT(Balance!$E$17/Balance!$E$22,"0%")&amp;" del activo son inmuebles: patrimonio sólido pero prácticamente ilíquido.","✅ ESTRUCTURA. La deuda con interés pesa poco sobre tu patrimonio.")</f>
        <v/>
      </c>
      <c r="C60" s="313" t="n"/>
      <c r="D60" s="313" t="n"/>
      <c r="E60" s="313" t="n"/>
      <c r="F60" s="313" t="n"/>
      <c r="G60" s="313" t="n"/>
      <c r="H60" s="313" t="n"/>
      <c r="I60" s="313" t="n"/>
      <c r="J60" s="145" t="n"/>
      <c r="K60" s="145" t="n"/>
      <c r="L60" s="145" t="n"/>
      <c r="M60" s="145" t="n"/>
      <c r="N60" s="1" t="n"/>
      <c r="O60" s="1" t="n"/>
      <c r="P60" s="1" t="n"/>
      <c r="Q60" s="1" t="n"/>
      <c r="R60" s="1" t="n"/>
      <c r="S60" s="1" t="n"/>
      <c r="T60" s="1" t="n"/>
      <c r="U60" s="1" t="n"/>
      <c r="V60" s="1" t="n"/>
      <c r="W60" s="1" t="n"/>
      <c r="X60" s="1" t="n"/>
      <c r="Y60" s="1" t="n"/>
      <c r="Z60" s="1" t="n"/>
    </row>
    <row r="61" ht="15.75" customHeight="1" s="311">
      <c r="A61" s="145" t="n"/>
      <c r="B61" s="247">
        <f>IF(Balance!$E$30=0,"✅ PARTICULARES. No debes dinero a personas cercanas.","🟠 PRÉSTAMOS DE PARTICULARES. Debes "&amp;TEXT(Balance!$E$30,"#,##0.00")&amp;" € a personas ("&amp;TEXT(Balance!$E$30/Balance!$E$39,"0%")&amp;" de tu pasivo). No tienen recargos ni intereses visibles, pero son la deuda que más cuesta socialmente si se alarga: ponles fecha.")</f>
        <v/>
      </c>
      <c r="C61" s="313" t="n"/>
      <c r="D61" s="313" t="n"/>
      <c r="E61" s="313" t="n"/>
      <c r="F61" s="313" t="n"/>
      <c r="G61" s="313" t="n"/>
      <c r="H61" s="313" t="n"/>
      <c r="I61" s="313" t="n"/>
      <c r="J61" s="145" t="n"/>
      <c r="K61" s="145" t="n"/>
      <c r="L61" s="145" t="n"/>
      <c r="M61" s="145" t="n"/>
      <c r="N61" s="1" t="n"/>
      <c r="O61" s="1" t="n"/>
      <c r="P61" s="1" t="n"/>
      <c r="Q61" s="1" t="n"/>
      <c r="R61" s="1" t="n"/>
      <c r="S61" s="1" t="n"/>
      <c r="T61" s="1" t="n"/>
      <c r="U61" s="1" t="n"/>
      <c r="V61" s="1" t="n"/>
      <c r="W61" s="1" t="n"/>
      <c r="X61" s="1" t="n"/>
      <c r="Y61" s="1" t="n"/>
      <c r="Z61" s="1" t="n"/>
    </row>
    <row r="62" ht="21.75" customHeight="1" s="311">
      <c r="A62" s="145" t="n"/>
      <c r="B62" s="21" t="inlineStr">
        <is>
          <t>PLAN DE ACCIÓN  —  por orden de urgencia</t>
        </is>
      </c>
      <c r="C62" s="22" t="n"/>
      <c r="D62" s="22" t="n"/>
      <c r="E62" s="22" t="n"/>
      <c r="F62" s="22" t="n"/>
      <c r="G62" s="22" t="n"/>
      <c r="H62" s="22" t="n"/>
      <c r="I62" s="22" t="n"/>
      <c r="J62" s="145" t="n"/>
      <c r="K62" s="145" t="n"/>
      <c r="L62" s="145" t="n"/>
      <c r="M62" s="145" t="n"/>
      <c r="N62" s="1" t="n"/>
      <c r="O62" s="1" t="n"/>
      <c r="P62" s="1" t="n"/>
      <c r="Q62" s="1" t="n"/>
      <c r="R62" s="1" t="n"/>
      <c r="S62" s="1" t="n"/>
      <c r="T62" s="1" t="n"/>
      <c r="U62" s="1" t="n"/>
      <c r="V62" s="1" t="n"/>
      <c r="W62" s="1" t="n"/>
      <c r="X62" s="1" t="n"/>
      <c r="Y62" s="1" t="n"/>
      <c r="Z62" s="1" t="n"/>
    </row>
    <row r="63" ht="27.75" customHeight="1" s="311">
      <c r="A63" s="145" t="n"/>
      <c r="B63" s="406">
        <f>"1.  Paga los "&amp;TEXT(Facturas!$AG$24,"#,##0.00")&amp;" € de facturas vencidas. Es lo más barato de arreglar y lo que más rápido se encarece con recargos."</f>
        <v/>
      </c>
      <c r="C63" s="313" t="n"/>
      <c r="D63" s="313" t="n"/>
      <c r="E63" s="313" t="n"/>
      <c r="F63" s="313" t="n"/>
      <c r="G63" s="313" t="n"/>
      <c r="H63" s="313" t="n"/>
      <c r="I63" s="313" t="n"/>
      <c r="J63" s="145" t="n"/>
      <c r="K63" s="145" t="n"/>
      <c r="L63" s="145" t="n"/>
      <c r="M63" s="145" t="n"/>
      <c r="N63" s="1" t="n"/>
      <c r="O63" s="1" t="n"/>
      <c r="P63" s="1" t="n"/>
      <c r="Q63" s="1" t="n"/>
      <c r="R63" s="1" t="n"/>
      <c r="S63" s="1" t="n"/>
      <c r="T63" s="1" t="n"/>
      <c r="U63" s="1" t="n"/>
      <c r="V63" s="1" t="n"/>
      <c r="W63" s="1" t="n"/>
      <c r="X63" s="1" t="n"/>
      <c r="Y63" s="1" t="n"/>
      <c r="Z63" s="1" t="n"/>
    </row>
    <row r="64" ht="27.75" customHeight="1" s="311">
      <c r="A64" s="145" t="n"/>
      <c r="B64" s="406">
        <f>"2.  Levanta un colchón de un mes de gastos: "&amp;TEXT(Resultados!$F$41,"#,##0")&amp;" €. Con "&amp;TEXT(Resultados!$F$43,"#,##0")&amp;" € de superávit mensual lo tienes en "&amp;TEXT(ROUNDUP(Resultados!$F$41/MAX(1,Resultados!$F$43),0),"0")&amp;" mes(es) si lo priorizas por encima de invertir."</f>
        <v/>
      </c>
      <c r="C64" s="313" t="n"/>
      <c r="D64" s="313" t="n"/>
      <c r="E64" s="313" t="n"/>
      <c r="F64" s="313" t="n"/>
      <c r="G64" s="313" t="n"/>
      <c r="H64" s="313" t="n"/>
      <c r="I64" s="313" t="n"/>
      <c r="J64" s="145" t="n"/>
      <c r="K64" s="145" t="n"/>
      <c r="L64" s="145" t="n"/>
      <c r="M64" s="145" t="n"/>
      <c r="N64" s="1" t="n"/>
      <c r="O64" s="1" t="n"/>
      <c r="P64" s="1" t="n"/>
      <c r="Q64" s="1" t="n"/>
      <c r="R64" s="1" t="n"/>
      <c r="S64" s="1" t="n"/>
      <c r="T64" s="1" t="n"/>
      <c r="U64" s="1" t="n"/>
      <c r="V64" s="1" t="n"/>
      <c r="W64" s="1" t="n"/>
      <c r="X64" s="1" t="n"/>
      <c r="Y64" s="1" t="n"/>
      <c r="Z64" s="1" t="n"/>
    </row>
    <row r="65" ht="27.75" customHeight="1" s="311">
      <c r="A65" s="145" t="n"/>
      <c r="B65" s="406">
        <f>"3.  Ataca las tarjetas: "&amp;TEXT(Balance!$E$27,"#,##0.00")&amp;" € al 21-23%. Amortizarlas te renta más que cualquier inversión, porque tu coste medio de deuda es del "&amp;TEXT(Ratios!$D$32,"0.0%")&amp;"."</f>
        <v/>
      </c>
      <c r="C65" s="313" t="n"/>
      <c r="D65" s="313" t="n"/>
      <c r="E65" s="313" t="n"/>
      <c r="F65" s="313" t="n"/>
      <c r="G65" s="313" t="n"/>
      <c r="H65" s="313" t="n"/>
      <c r="I65" s="313" t="n"/>
      <c r="J65" s="145" t="n"/>
      <c r="K65" s="145" t="n"/>
      <c r="L65" s="145" t="n"/>
      <c r="M65" s="145" t="n"/>
      <c r="N65" s="1" t="n"/>
      <c r="O65" s="1" t="n"/>
      <c r="P65" s="1" t="n"/>
      <c r="Q65" s="1" t="n"/>
      <c r="R65" s="1" t="n"/>
      <c r="S65" s="1" t="n"/>
      <c r="T65" s="1" t="n"/>
      <c r="U65" s="1" t="n"/>
      <c r="V65" s="1" t="n"/>
      <c r="W65" s="1" t="n"/>
      <c r="X65" s="1" t="n"/>
      <c r="Y65" s="1" t="n"/>
      <c r="Z65" s="1" t="n"/>
    </row>
    <row r="66" ht="27.75" customHeight="1" s="311">
      <c r="A66" s="145" t="n"/>
      <c r="B66" s="406">
        <f>"4.  Rescata primero el anillo de 6,04 g: es el que más margen deja ("&amp;TEXT(Balance!$F$109,"#,##0.00")&amp;" € por encima de la deuda). Los de 2,10 g y 3,50 g ya valen menos de lo que debes."</f>
        <v/>
      </c>
      <c r="C66" s="313" t="n"/>
      <c r="D66" s="313" t="n"/>
      <c r="E66" s="313" t="n"/>
      <c r="F66" s="313" t="n"/>
      <c r="G66" s="313" t="n"/>
      <c r="H66" s="313" t="n"/>
      <c r="I66" s="313" t="n"/>
      <c r="J66" s="145" t="n"/>
      <c r="K66" s="145" t="n"/>
      <c r="L66" s="145" t="n"/>
      <c r="M66" s="145" t="n"/>
      <c r="N66" s="1" t="n"/>
      <c r="O66" s="1" t="n"/>
      <c r="P66" s="1" t="n"/>
      <c r="Q66" s="1" t="n"/>
      <c r="R66" s="1" t="n"/>
      <c r="S66" s="1" t="n"/>
      <c r="T66" s="1" t="n"/>
      <c r="U66" s="1" t="n"/>
      <c r="V66" s="1" t="n"/>
      <c r="W66" s="1" t="n"/>
      <c r="X66" s="1" t="n"/>
      <c r="Y66" s="1" t="n"/>
      <c r="Z66" s="1" t="n"/>
    </row>
    <row r="67" ht="27.75" customHeight="1" s="311">
      <c r="A67" s="145" t="n"/>
      <c r="B67" s="406">
        <f>"5.  Deja de aportar a inversión hasta tener el colchón. Ahora mismo pones "&amp;TEXT(Resultados!$F$51+Resultados!$F$52,"#,##0")&amp;" €/mes en activos a largo plazo mientras te quedan "&amp;TEXT(Disponibilidad!$G$33,"#,##0.00")&amp;" € en el banco."</f>
        <v/>
      </c>
      <c r="C67" s="313" t="n"/>
      <c r="D67" s="313" t="n"/>
      <c r="E67" s="313" t="n"/>
      <c r="F67" s="313" t="n"/>
      <c r="G67" s="313" t="n"/>
      <c r="H67" s="313" t="n"/>
      <c r="I67" s="313" t="n"/>
      <c r="J67" s="145" t="n"/>
      <c r="K67" s="145" t="n"/>
      <c r="L67" s="145" t="n"/>
      <c r="M67" s="145" t="n"/>
      <c r="N67" s="1" t="n"/>
      <c r="O67" s="1" t="n"/>
      <c r="P67" s="1" t="n"/>
      <c r="Q67" s="1" t="n"/>
      <c r="R67" s="1" t="n"/>
      <c r="S67" s="1" t="n"/>
      <c r="T67" s="1" t="n"/>
      <c r="U67" s="1" t="n"/>
      <c r="V67" s="1" t="n"/>
      <c r="W67" s="1" t="n"/>
      <c r="X67" s="1" t="n"/>
      <c r="Y67" s="1" t="n"/>
      <c r="Z67" s="1" t="n"/>
    </row>
    <row r="68" ht="27.75" customHeight="1" s="311">
      <c r="A68" s="145" t="n"/>
      <c r="B68" s="406">
        <f>"6.  Completa el capital pendiente de Imagin Crédito en el Balance y el precio de compra de tus inversiones: son los dos huecos que quedan para que los ratios sean del todo fiables."</f>
        <v/>
      </c>
      <c r="C68" s="313" t="n"/>
      <c r="D68" s="313" t="n"/>
      <c r="E68" s="313" t="n"/>
      <c r="F68" s="313" t="n"/>
      <c r="G68" s="313" t="n"/>
      <c r="H68" s="313" t="n"/>
      <c r="I68" s="313" t="n"/>
      <c r="J68" s="145" t="n"/>
      <c r="K68" s="145" t="n"/>
      <c r="L68" s="145" t="n"/>
      <c r="M68" s="145" t="n"/>
      <c r="N68" s="1" t="n"/>
      <c r="O68" s="1" t="n"/>
      <c r="P68" s="1" t="n"/>
      <c r="Q68" s="1" t="n"/>
      <c r="R68" s="1" t="n"/>
      <c r="S68" s="1" t="n"/>
      <c r="T68" s="1" t="n"/>
      <c r="U68" s="1" t="n"/>
      <c r="V68" s="1" t="n"/>
      <c r="W68" s="1" t="n"/>
      <c r="X68" s="1" t="n"/>
      <c r="Y68" s="1" t="n"/>
      <c r="Z68" s="1" t="n"/>
    </row>
    <row r="69" ht="15.75" customHeight="1" s="311">
      <c r="A69" s="145" t="n"/>
      <c r="B69" s="145" t="n"/>
      <c r="C69" s="145" t="n"/>
      <c r="D69" s="145" t="n"/>
      <c r="E69" s="145" t="n"/>
      <c r="F69" s="145" t="n"/>
      <c r="G69" s="145" t="n"/>
      <c r="H69" s="145" t="n"/>
      <c r="I69" s="145" t="n"/>
      <c r="J69" s="145" t="n"/>
      <c r="K69" s="145" t="n"/>
      <c r="L69" s="145" t="n"/>
      <c r="M69" s="145" t="n"/>
      <c r="N69" s="1" t="n"/>
      <c r="O69" s="1" t="n"/>
      <c r="P69" s="1" t="n"/>
      <c r="Q69" s="1" t="n"/>
      <c r="R69" s="1" t="n"/>
      <c r="S69" s="1" t="n"/>
      <c r="T69" s="1" t="n"/>
      <c r="U69" s="1" t="n"/>
      <c r="V69" s="1" t="n"/>
      <c r="W69" s="1" t="n"/>
      <c r="X69" s="1" t="n"/>
      <c r="Y69" s="1" t="n"/>
      <c r="Z69" s="1" t="n"/>
    </row>
    <row r="70" ht="27.75" customHeight="1" s="311">
      <c r="A70" s="145" t="n"/>
      <c r="B70" s="20" t="inlineStr">
        <is>
          <t>Los umbrales de referencia se han adaptado a finanzas personales. Un ROE del 25% o un índice de estructura de capital del 15% son exigencias de empresa cotizada: aplicados a alguien cuyo principal activo es la vivienda en la que vive, saldrían en rojo siempre sin que eso signifique nada.</t>
        </is>
      </c>
      <c r="F70" s="145" t="n"/>
      <c r="G70" s="145" t="n"/>
      <c r="H70" s="145" t="n"/>
      <c r="I70" s="145" t="n"/>
      <c r="J70" s="145" t="n"/>
      <c r="K70" s="145" t="n"/>
      <c r="L70" s="145" t="n"/>
      <c r="M70" s="145" t="n"/>
      <c r="N70" s="1" t="n"/>
      <c r="O70" s="1" t="n"/>
      <c r="P70" s="1" t="n"/>
      <c r="Q70" s="1" t="n"/>
      <c r="R70" s="1" t="n"/>
      <c r="S70" s="1" t="n"/>
      <c r="T70" s="1" t="n"/>
      <c r="U70" s="1" t="n"/>
      <c r="V70" s="1" t="n"/>
      <c r="W70" s="1" t="n"/>
      <c r="X70" s="1" t="n"/>
      <c r="Y70" s="1" t="n"/>
      <c r="Z70" s="1" t="n"/>
    </row>
    <row r="71" ht="15.75" customHeight="1" s="311">
      <c r="A71" s="145" t="n"/>
      <c r="F71" s="145" t="n"/>
      <c r="G71" s="145" t="n"/>
      <c r="H71" s="145" t="n"/>
      <c r="I71" s="145" t="n"/>
      <c r="J71" s="145" t="n"/>
      <c r="K71" s="145" t="n"/>
      <c r="L71" s="145" t="n"/>
      <c r="M71" s="145" t="n"/>
      <c r="N71" s="1" t="n"/>
      <c r="O71" s="1" t="n"/>
      <c r="P71" s="1" t="n"/>
      <c r="Q71" s="1" t="n"/>
      <c r="R71" s="1" t="n"/>
      <c r="S71" s="1" t="n"/>
      <c r="T71" s="1" t="n"/>
      <c r="U71" s="1" t="n"/>
      <c r="V71" s="1" t="n"/>
      <c r="W71" s="1" t="n"/>
      <c r="X71" s="1" t="n"/>
      <c r="Y71" s="1" t="n"/>
      <c r="Z71" s="1" t="n"/>
    </row>
    <row r="72" ht="15.75" customHeight="1" s="311">
      <c r="A72" s="145" t="n"/>
      <c r="B72" s="249" t="inlineStr">
        <is>
          <t>6.  SEGUIMIENTO MENSUAL  —  ¿estás mejorando o empeorando?</t>
        </is>
      </c>
      <c r="N72" s="1" t="n"/>
      <c r="O72" s="1" t="n"/>
      <c r="P72" s="1" t="n"/>
      <c r="Q72" s="1" t="n"/>
      <c r="R72" s="1" t="n"/>
      <c r="S72" s="1" t="n"/>
      <c r="T72" s="1" t="n"/>
      <c r="U72" s="1" t="n"/>
      <c r="V72" s="1" t="n"/>
      <c r="W72" s="1" t="n"/>
      <c r="X72" s="1" t="n"/>
      <c r="Y72" s="1" t="n"/>
      <c r="Z72" s="1" t="n"/>
    </row>
    <row r="73" ht="42" customHeight="1" s="311">
      <c r="A73" s="145" t="n"/>
      <c r="B73" s="215" t="inlineStr">
        <is>
          <t>CÓMO SE USA: el último día de cada mes, selecciona la fila "FOTO DE HOY", cópiala y pégala como VALORES (Pegado especial → Solo valores) en la primera fila vacía de la tabla amarilla. Nada más. Con dos cierres la hoja ya empieza a decirte si vas mejor o peor, y con seis te dibuja la trayectoria. Rellena de arriba abajo sin dejar huecos.</t>
        </is>
      </c>
      <c r="N73" s="1" t="n"/>
      <c r="O73" s="1" t="n"/>
      <c r="P73" s="1" t="n"/>
      <c r="Q73" s="1" t="n"/>
      <c r="R73" s="1" t="n"/>
      <c r="S73" s="1" t="n"/>
      <c r="T73" s="1" t="n"/>
      <c r="U73" s="1" t="n"/>
      <c r="V73" s="1" t="n"/>
      <c r="W73" s="1" t="n"/>
      <c r="X73" s="1" t="n"/>
      <c r="Y73" s="1" t="n"/>
      <c r="Z73" s="1" t="n"/>
    </row>
    <row r="74" ht="15.75" customHeight="1" s="311">
      <c r="A74" s="145" t="n"/>
      <c r="B74" s="145" t="n"/>
      <c r="C74" s="145" t="n"/>
      <c r="D74" s="145" t="n"/>
      <c r="E74" s="145" t="n"/>
      <c r="F74" s="145" t="n"/>
      <c r="G74" s="145" t="n"/>
      <c r="H74" s="145" t="n"/>
      <c r="I74" s="145" t="n"/>
      <c r="J74" s="145" t="n"/>
      <c r="K74" s="145" t="n"/>
      <c r="L74" s="145" t="n"/>
      <c r="M74" s="145" t="n"/>
      <c r="N74" s="1" t="n"/>
      <c r="O74" s="1" t="n"/>
      <c r="P74" s="1" t="n"/>
      <c r="Q74" s="1" t="n"/>
      <c r="R74" s="1" t="n"/>
      <c r="S74" s="1" t="n"/>
      <c r="T74" s="1" t="n"/>
      <c r="U74" s="1" t="n"/>
      <c r="V74" s="1" t="n"/>
      <c r="W74" s="1" t="n"/>
      <c r="X74" s="1" t="n"/>
      <c r="Y74" s="1" t="n"/>
      <c r="Z74" s="1" t="n"/>
    </row>
    <row r="75" ht="33.75" customHeight="1" s="311">
      <c r="A75" s="145" t="n"/>
      <c r="B75" s="11" t="inlineStr">
        <is>
          <t>Mes</t>
        </is>
      </c>
      <c r="C75" s="11" t="inlineStr">
        <is>
          <t>Puntuación
global (0-100)</t>
        </is>
      </c>
      <c r="D75" s="11" t="inlineStr">
        <is>
          <t>Patrimonio
neto (€)</t>
        </is>
      </c>
      <c r="E75" s="11" t="inlineStr">
        <is>
          <t>Deuda
total (€)</t>
        </is>
      </c>
      <c r="F75" s="11" t="inlineStr">
        <is>
          <t>Disponible
inmediato (€)</t>
        </is>
      </c>
      <c r="G75" s="11" t="inlineStr">
        <is>
          <t>Colchón
(meses)</t>
        </is>
      </c>
      <c r="H75" s="11" t="inlineStr">
        <is>
          <t>Tasa de
ahorro</t>
        </is>
      </c>
      <c r="I75" s="11" t="inlineStr">
        <is>
          <t>Facturas
vencidas (€)</t>
        </is>
      </c>
      <c r="J75" s="11" t="inlineStr">
        <is>
          <t>Uso del
crédito</t>
        </is>
      </c>
      <c r="K75" s="11" t="inlineStr">
        <is>
          <t>Ratio de
liquidez</t>
        </is>
      </c>
      <c r="L75" s="145" t="n"/>
      <c r="M75" s="145" t="n"/>
      <c r="N75" s="1" t="n"/>
      <c r="O75" s="1" t="n"/>
      <c r="P75" s="1" t="n"/>
      <c r="Q75" s="1" t="n"/>
      <c r="R75" s="1" t="n"/>
      <c r="S75" s="1" t="n"/>
      <c r="T75" s="1" t="n"/>
      <c r="U75" s="1" t="n"/>
      <c r="V75" s="1" t="n"/>
      <c r="W75" s="1" t="n"/>
      <c r="X75" s="1" t="n"/>
      <c r="Y75" s="1" t="n"/>
      <c r="Z75" s="1" t="n"/>
    </row>
    <row r="76" ht="15.75" customHeight="1" s="311">
      <c r="A76" s="145" t="n"/>
      <c r="B76" s="216">
        <f>TEXT(TODAY(),"YYYY-MM")&amp;"  ← FOTO DE HOY"</f>
        <v/>
      </c>
      <c r="C76" s="224">
        <f>IFERROR($D$40,"")</f>
        <v/>
      </c>
      <c r="D76" s="47">
        <f>Balance!$E$41</f>
        <v/>
      </c>
      <c r="E76" s="47">
        <f>Balance!$E$39</f>
        <v/>
      </c>
      <c r="F76" s="47">
        <f>Disponibilidad!$G$33</f>
        <v/>
      </c>
      <c r="G76" s="224">
        <f>IFERROR($D$22,"")</f>
        <v/>
      </c>
      <c r="H76" s="250">
        <f>IFERROR($D$26,"")</f>
        <v/>
      </c>
      <c r="I76" s="47">
        <f>Facturas!$AG$24</f>
        <v/>
      </c>
      <c r="J76" s="250">
        <f>IFERROR($D$23,"")</f>
        <v/>
      </c>
      <c r="K76" s="251">
        <f>IFERROR($D$20,"")</f>
        <v/>
      </c>
      <c r="L76" s="145" t="n"/>
      <c r="M76" s="145" t="n"/>
      <c r="N76" s="1" t="n"/>
      <c r="O76" s="1" t="n"/>
      <c r="P76" s="1" t="n"/>
      <c r="Q76" s="1" t="n"/>
      <c r="R76" s="1" t="n"/>
      <c r="S76" s="1" t="n"/>
      <c r="T76" s="1" t="n"/>
      <c r="U76" s="1" t="n"/>
      <c r="V76" s="1" t="n"/>
      <c r="W76" s="1" t="n"/>
      <c r="X76" s="1" t="n"/>
      <c r="Y76" s="1" t="n"/>
      <c r="Z76" s="1" t="n"/>
    </row>
    <row r="77" ht="15.75" customHeight="1" s="311">
      <c r="A77" s="145" t="n"/>
      <c r="B77" s="252" t="inlineStr">
        <is>
          <t>⬇  CIERRES GUARDADOS  (pega aquí como valores, uno por mes, sin dejar filas vacías)</t>
        </is>
      </c>
      <c r="N77" s="1" t="n"/>
      <c r="O77" s="1" t="n"/>
      <c r="P77" s="1" t="n"/>
      <c r="Q77" s="1" t="n"/>
      <c r="R77" s="1" t="n"/>
      <c r="S77" s="1" t="n"/>
      <c r="T77" s="1" t="n"/>
      <c r="U77" s="1" t="n"/>
      <c r="V77" s="1" t="n"/>
      <c r="W77" s="1" t="n"/>
      <c r="X77" s="1" t="n"/>
      <c r="Y77" s="1" t="n"/>
      <c r="Z77" s="1" t="n"/>
    </row>
    <row r="78" ht="15.75" customHeight="1" s="311">
      <c r="A78" s="145" t="n"/>
      <c r="B78" s="208" t="n"/>
      <c r="C78" s="227" t="n"/>
      <c r="D78" s="12" t="n"/>
      <c r="E78" s="12" t="n"/>
      <c r="F78" s="12" t="n"/>
      <c r="G78" s="227" t="n"/>
      <c r="H78" s="253" t="n"/>
      <c r="I78" s="12" t="n"/>
      <c r="J78" s="253" t="n"/>
      <c r="K78" s="254" t="n"/>
      <c r="L78" s="145" t="n"/>
      <c r="M78" s="145" t="n"/>
      <c r="N78" s="1" t="n"/>
      <c r="O78" s="1" t="n"/>
      <c r="P78" s="1" t="n"/>
      <c r="Q78" s="1" t="n"/>
      <c r="R78" s="1" t="n"/>
      <c r="S78" s="1" t="n"/>
      <c r="T78" s="1" t="n"/>
      <c r="U78" s="1" t="n"/>
      <c r="V78" s="1" t="n"/>
      <c r="W78" s="1" t="n"/>
      <c r="X78" s="1" t="n"/>
      <c r="Y78" s="1" t="n"/>
      <c r="Z78" s="1" t="n"/>
    </row>
    <row r="79" ht="15.75" customHeight="1" s="311">
      <c r="A79" s="145" t="n"/>
      <c r="B79" s="208" t="n"/>
      <c r="C79" s="227" t="n"/>
      <c r="D79" s="12" t="n"/>
      <c r="E79" s="12" t="n"/>
      <c r="F79" s="12" t="n"/>
      <c r="G79" s="227" t="n"/>
      <c r="H79" s="253" t="n"/>
      <c r="I79" s="12" t="n"/>
      <c r="J79" s="253" t="n"/>
      <c r="K79" s="254" t="n"/>
      <c r="L79" s="145" t="n"/>
      <c r="M79" s="145" t="n"/>
      <c r="N79" s="1" t="n"/>
      <c r="O79" s="1" t="n"/>
      <c r="P79" s="1" t="n"/>
      <c r="Q79" s="1" t="n"/>
      <c r="R79" s="1" t="n"/>
      <c r="S79" s="1" t="n"/>
      <c r="T79" s="1" t="n"/>
      <c r="U79" s="1" t="n"/>
      <c r="V79" s="1" t="n"/>
      <c r="W79" s="1" t="n"/>
      <c r="X79" s="1" t="n"/>
      <c r="Y79" s="1" t="n"/>
      <c r="Z79" s="1" t="n"/>
    </row>
    <row r="80" ht="15.75" customHeight="1" s="311">
      <c r="A80" s="145" t="n"/>
      <c r="B80" s="208" t="n"/>
      <c r="C80" s="227" t="n"/>
      <c r="D80" s="12" t="n"/>
      <c r="E80" s="12" t="n"/>
      <c r="F80" s="12" t="n"/>
      <c r="G80" s="227" t="n"/>
      <c r="H80" s="253" t="n"/>
      <c r="I80" s="12" t="n"/>
      <c r="J80" s="253" t="n"/>
      <c r="K80" s="254" t="n"/>
      <c r="L80" s="145" t="n"/>
      <c r="M80" s="145" t="n"/>
      <c r="N80" s="1" t="n"/>
      <c r="O80" s="1" t="n"/>
      <c r="P80" s="1" t="n"/>
      <c r="Q80" s="1" t="n"/>
      <c r="R80" s="1" t="n"/>
      <c r="S80" s="1" t="n"/>
      <c r="T80" s="1" t="n"/>
      <c r="U80" s="1" t="n"/>
      <c r="V80" s="1" t="n"/>
      <c r="W80" s="1" t="n"/>
      <c r="X80" s="1" t="n"/>
      <c r="Y80" s="1" t="n"/>
      <c r="Z80" s="1" t="n"/>
    </row>
    <row r="81" ht="15.75" customHeight="1" s="311">
      <c r="A81" s="145" t="n"/>
      <c r="B81" s="208" t="n"/>
      <c r="C81" s="227" t="n"/>
      <c r="D81" s="12" t="n"/>
      <c r="E81" s="12" t="n"/>
      <c r="F81" s="12" t="n"/>
      <c r="G81" s="227" t="n"/>
      <c r="H81" s="253" t="n"/>
      <c r="I81" s="12" t="n"/>
      <c r="J81" s="253" t="n"/>
      <c r="K81" s="254" t="n"/>
      <c r="L81" s="145" t="n"/>
      <c r="M81" s="145" t="n"/>
      <c r="N81" s="1" t="n"/>
      <c r="O81" s="1" t="n"/>
      <c r="P81" s="1" t="n"/>
      <c r="Q81" s="1" t="n"/>
      <c r="R81" s="1" t="n"/>
      <c r="S81" s="1" t="n"/>
      <c r="T81" s="1" t="n"/>
      <c r="U81" s="1" t="n"/>
      <c r="V81" s="1" t="n"/>
      <c r="W81" s="1" t="n"/>
      <c r="X81" s="1" t="n"/>
      <c r="Y81" s="1" t="n"/>
      <c r="Z81" s="1" t="n"/>
    </row>
    <row r="82" ht="15.75" customHeight="1" s="311">
      <c r="A82" s="145" t="n"/>
      <c r="B82" s="208" t="n"/>
      <c r="C82" s="227" t="n"/>
      <c r="D82" s="12" t="n"/>
      <c r="E82" s="12" t="n"/>
      <c r="F82" s="12" t="n"/>
      <c r="G82" s="227" t="n"/>
      <c r="H82" s="253" t="n"/>
      <c r="I82" s="12" t="n"/>
      <c r="J82" s="253" t="n"/>
      <c r="K82" s="254" t="n"/>
      <c r="L82" s="145" t="n"/>
      <c r="M82" s="145" t="n"/>
      <c r="N82" s="1" t="n"/>
      <c r="O82" s="1" t="n"/>
      <c r="P82" s="1" t="n"/>
      <c r="Q82" s="1" t="n"/>
      <c r="R82" s="1" t="n"/>
      <c r="S82" s="1" t="n"/>
      <c r="T82" s="1" t="n"/>
      <c r="U82" s="1" t="n"/>
      <c r="V82" s="1" t="n"/>
      <c r="W82" s="1" t="n"/>
      <c r="X82" s="1" t="n"/>
      <c r="Y82" s="1" t="n"/>
      <c r="Z82" s="1" t="n"/>
    </row>
    <row r="83" ht="15.75" customHeight="1" s="311">
      <c r="A83" s="145" t="n"/>
      <c r="B83" s="208" t="n"/>
      <c r="C83" s="227" t="n"/>
      <c r="D83" s="12" t="n"/>
      <c r="E83" s="12" t="n"/>
      <c r="F83" s="12" t="n"/>
      <c r="G83" s="227" t="n"/>
      <c r="H83" s="253" t="n"/>
      <c r="I83" s="12" t="n"/>
      <c r="J83" s="253" t="n"/>
      <c r="K83" s="254" t="n"/>
      <c r="L83" s="145" t="n"/>
      <c r="M83" s="145" t="n"/>
      <c r="N83" s="1" t="n"/>
      <c r="O83" s="1" t="n"/>
      <c r="P83" s="1" t="n"/>
      <c r="Q83" s="1" t="n"/>
      <c r="R83" s="1" t="n"/>
      <c r="S83" s="1" t="n"/>
      <c r="T83" s="1" t="n"/>
      <c r="U83" s="1" t="n"/>
      <c r="V83" s="1" t="n"/>
      <c r="W83" s="1" t="n"/>
      <c r="X83" s="1" t="n"/>
      <c r="Y83" s="1" t="n"/>
      <c r="Z83" s="1" t="n"/>
    </row>
    <row r="84" ht="15.75" customHeight="1" s="311">
      <c r="A84" s="145" t="n"/>
      <c r="B84" s="208" t="n"/>
      <c r="C84" s="227" t="n"/>
      <c r="D84" s="12" t="n"/>
      <c r="E84" s="12" t="n"/>
      <c r="F84" s="12" t="n"/>
      <c r="G84" s="227" t="n"/>
      <c r="H84" s="253" t="n"/>
      <c r="I84" s="12" t="n"/>
      <c r="J84" s="253" t="n"/>
      <c r="K84" s="254" t="n"/>
      <c r="L84" s="145" t="n"/>
      <c r="M84" s="145" t="n"/>
      <c r="N84" s="1" t="n"/>
      <c r="O84" s="1" t="n"/>
      <c r="P84" s="1" t="n"/>
      <c r="Q84" s="1" t="n"/>
      <c r="R84" s="1" t="n"/>
      <c r="S84" s="1" t="n"/>
      <c r="T84" s="1" t="n"/>
      <c r="U84" s="1" t="n"/>
      <c r="V84" s="1" t="n"/>
      <c r="W84" s="1" t="n"/>
      <c r="X84" s="1" t="n"/>
      <c r="Y84" s="1" t="n"/>
      <c r="Z84" s="1" t="n"/>
    </row>
    <row r="85" ht="15.75" customHeight="1" s="311">
      <c r="A85" s="145" t="n"/>
      <c r="B85" s="208" t="n"/>
      <c r="C85" s="227" t="n"/>
      <c r="D85" s="12" t="n"/>
      <c r="E85" s="12" t="n"/>
      <c r="F85" s="12" t="n"/>
      <c r="G85" s="227" t="n"/>
      <c r="H85" s="253" t="n"/>
      <c r="I85" s="12" t="n"/>
      <c r="J85" s="253" t="n"/>
      <c r="K85" s="254" t="n"/>
      <c r="L85" s="145" t="n"/>
      <c r="M85" s="145" t="n"/>
      <c r="N85" s="1" t="n"/>
      <c r="O85" s="1" t="n"/>
      <c r="P85" s="1" t="n"/>
      <c r="Q85" s="1" t="n"/>
      <c r="R85" s="1" t="n"/>
      <c r="S85" s="1" t="n"/>
      <c r="T85" s="1" t="n"/>
      <c r="U85" s="1" t="n"/>
      <c r="V85" s="1" t="n"/>
      <c r="W85" s="1" t="n"/>
      <c r="X85" s="1" t="n"/>
      <c r="Y85" s="1" t="n"/>
      <c r="Z85" s="1" t="n"/>
    </row>
    <row r="86" ht="15.75" customHeight="1" s="311">
      <c r="A86" s="145" t="n"/>
      <c r="B86" s="208" t="n"/>
      <c r="C86" s="227" t="n"/>
      <c r="D86" s="12" t="n"/>
      <c r="E86" s="12" t="n"/>
      <c r="F86" s="12" t="n"/>
      <c r="G86" s="227" t="n"/>
      <c r="H86" s="253" t="n"/>
      <c r="I86" s="12" t="n"/>
      <c r="J86" s="253" t="n"/>
      <c r="K86" s="254" t="n"/>
      <c r="L86" s="145" t="n"/>
      <c r="M86" s="145" t="n"/>
      <c r="N86" s="1" t="n"/>
      <c r="O86" s="1" t="n"/>
      <c r="P86" s="1" t="n"/>
      <c r="Q86" s="1" t="n"/>
      <c r="R86" s="1" t="n"/>
      <c r="S86" s="1" t="n"/>
      <c r="T86" s="1" t="n"/>
      <c r="U86" s="1" t="n"/>
      <c r="V86" s="1" t="n"/>
      <c r="W86" s="1" t="n"/>
      <c r="X86" s="1" t="n"/>
      <c r="Y86" s="1" t="n"/>
      <c r="Z86" s="1" t="n"/>
    </row>
    <row r="87" ht="15.75" customHeight="1" s="311">
      <c r="A87" s="145" t="n"/>
      <c r="B87" s="208" t="n"/>
      <c r="C87" s="227" t="n"/>
      <c r="D87" s="12" t="n"/>
      <c r="E87" s="12" t="n"/>
      <c r="F87" s="12" t="n"/>
      <c r="G87" s="227" t="n"/>
      <c r="H87" s="253" t="n"/>
      <c r="I87" s="12" t="n"/>
      <c r="J87" s="253" t="n"/>
      <c r="K87" s="254" t="n"/>
      <c r="L87" s="145" t="n"/>
      <c r="M87" s="145" t="n"/>
      <c r="N87" s="1" t="n"/>
      <c r="O87" s="1" t="n"/>
      <c r="P87" s="1" t="n"/>
      <c r="Q87" s="1" t="n"/>
      <c r="R87" s="1" t="n"/>
      <c r="S87" s="1" t="n"/>
      <c r="T87" s="1" t="n"/>
      <c r="U87" s="1" t="n"/>
      <c r="V87" s="1" t="n"/>
      <c r="W87" s="1" t="n"/>
      <c r="X87" s="1" t="n"/>
      <c r="Y87" s="1" t="n"/>
      <c r="Z87" s="1" t="n"/>
    </row>
    <row r="88" ht="15.75" customHeight="1" s="311">
      <c r="A88" s="145" t="n"/>
      <c r="B88" s="208" t="n"/>
      <c r="C88" s="227" t="n"/>
      <c r="D88" s="12" t="n"/>
      <c r="E88" s="12" t="n"/>
      <c r="F88" s="12" t="n"/>
      <c r="G88" s="227" t="n"/>
      <c r="H88" s="253" t="n"/>
      <c r="I88" s="12" t="n"/>
      <c r="J88" s="253" t="n"/>
      <c r="K88" s="254" t="n"/>
      <c r="L88" s="145" t="n"/>
      <c r="M88" s="145" t="n"/>
      <c r="N88" s="1" t="n"/>
      <c r="O88" s="1" t="n"/>
      <c r="P88" s="1" t="n"/>
      <c r="Q88" s="1" t="n"/>
      <c r="R88" s="1" t="n"/>
      <c r="S88" s="1" t="n"/>
      <c r="T88" s="1" t="n"/>
      <c r="U88" s="1" t="n"/>
      <c r="V88" s="1" t="n"/>
      <c r="W88" s="1" t="n"/>
      <c r="X88" s="1" t="n"/>
      <c r="Y88" s="1" t="n"/>
      <c r="Z88" s="1" t="n"/>
    </row>
    <row r="89" ht="15.75" customHeight="1" s="311">
      <c r="A89" s="145" t="n"/>
      <c r="B89" s="208" t="n"/>
      <c r="C89" s="227" t="n"/>
      <c r="D89" s="12" t="n"/>
      <c r="E89" s="12" t="n"/>
      <c r="F89" s="12" t="n"/>
      <c r="G89" s="227" t="n"/>
      <c r="H89" s="253" t="n"/>
      <c r="I89" s="12" t="n"/>
      <c r="J89" s="253" t="n"/>
      <c r="K89" s="254" t="n"/>
      <c r="L89" s="145" t="n"/>
      <c r="M89" s="145" t="n"/>
      <c r="N89" s="1" t="n"/>
      <c r="O89" s="1" t="n"/>
      <c r="P89" s="1" t="n"/>
      <c r="Q89" s="1" t="n"/>
      <c r="R89" s="1" t="n"/>
      <c r="S89" s="1" t="n"/>
      <c r="T89" s="1" t="n"/>
      <c r="U89" s="1" t="n"/>
      <c r="V89" s="1" t="n"/>
      <c r="W89" s="1" t="n"/>
      <c r="X89" s="1" t="n"/>
      <c r="Y89" s="1" t="n"/>
      <c r="Z89" s="1" t="n"/>
    </row>
    <row r="90" ht="15.75" customHeight="1" s="311">
      <c r="A90" s="145" t="n"/>
      <c r="B90" s="208" t="n"/>
      <c r="C90" s="227" t="n"/>
      <c r="D90" s="12" t="n"/>
      <c r="E90" s="12" t="n"/>
      <c r="F90" s="12" t="n"/>
      <c r="G90" s="227" t="n"/>
      <c r="H90" s="253" t="n"/>
      <c r="I90" s="12" t="n"/>
      <c r="J90" s="253" t="n"/>
      <c r="K90" s="254" t="n"/>
      <c r="L90" s="145" t="n"/>
      <c r="M90" s="145" t="n"/>
      <c r="N90" s="1" t="n"/>
      <c r="O90" s="1" t="n"/>
      <c r="P90" s="1" t="n"/>
      <c r="Q90" s="1" t="n"/>
      <c r="R90" s="1" t="n"/>
      <c r="S90" s="1" t="n"/>
      <c r="T90" s="1" t="n"/>
      <c r="U90" s="1" t="n"/>
      <c r="V90" s="1" t="n"/>
      <c r="W90" s="1" t="n"/>
      <c r="X90" s="1" t="n"/>
      <c r="Y90" s="1" t="n"/>
      <c r="Z90" s="1" t="n"/>
    </row>
    <row r="91" ht="15.75" customHeight="1" s="311">
      <c r="A91" s="145" t="n"/>
      <c r="B91" s="208" t="n"/>
      <c r="C91" s="227" t="n"/>
      <c r="D91" s="12" t="n"/>
      <c r="E91" s="12" t="n"/>
      <c r="F91" s="12" t="n"/>
      <c r="G91" s="227" t="n"/>
      <c r="H91" s="253" t="n"/>
      <c r="I91" s="12" t="n"/>
      <c r="J91" s="253" t="n"/>
      <c r="K91" s="254" t="n"/>
      <c r="L91" s="145" t="n"/>
      <c r="M91" s="145" t="n"/>
      <c r="N91" s="1" t="n"/>
      <c r="O91" s="1" t="n"/>
      <c r="P91" s="1" t="n"/>
      <c r="Q91" s="1" t="n"/>
      <c r="R91" s="1" t="n"/>
      <c r="S91" s="1" t="n"/>
      <c r="T91" s="1" t="n"/>
      <c r="U91" s="1" t="n"/>
      <c r="V91" s="1" t="n"/>
      <c r="W91" s="1" t="n"/>
      <c r="X91" s="1" t="n"/>
      <c r="Y91" s="1" t="n"/>
      <c r="Z91" s="1" t="n"/>
    </row>
    <row r="92" ht="15.75" customHeight="1" s="311">
      <c r="A92" s="145" t="n"/>
      <c r="B92" s="208" t="n"/>
      <c r="C92" s="227" t="n"/>
      <c r="D92" s="12" t="n"/>
      <c r="E92" s="12" t="n"/>
      <c r="F92" s="12" t="n"/>
      <c r="G92" s="227" t="n"/>
      <c r="H92" s="253" t="n"/>
      <c r="I92" s="12" t="n"/>
      <c r="J92" s="253" t="n"/>
      <c r="K92" s="254" t="n"/>
      <c r="L92" s="145" t="n"/>
      <c r="M92" s="145" t="n"/>
      <c r="N92" s="1" t="n"/>
      <c r="O92" s="1" t="n"/>
      <c r="P92" s="1" t="n"/>
      <c r="Q92" s="1" t="n"/>
      <c r="R92" s="1" t="n"/>
      <c r="S92" s="1" t="n"/>
      <c r="T92" s="1" t="n"/>
      <c r="U92" s="1" t="n"/>
      <c r="V92" s="1" t="n"/>
      <c r="W92" s="1" t="n"/>
      <c r="X92" s="1" t="n"/>
      <c r="Y92" s="1" t="n"/>
      <c r="Z92" s="1" t="n"/>
    </row>
    <row r="93" ht="15.75" customHeight="1" s="311">
      <c r="A93" s="145" t="n"/>
      <c r="B93" s="208" t="n"/>
      <c r="C93" s="227" t="n"/>
      <c r="D93" s="12" t="n"/>
      <c r="E93" s="12" t="n"/>
      <c r="F93" s="12" t="n"/>
      <c r="G93" s="227" t="n"/>
      <c r="H93" s="253" t="n"/>
      <c r="I93" s="12" t="n"/>
      <c r="J93" s="253" t="n"/>
      <c r="K93" s="254" t="n"/>
      <c r="L93" s="145" t="n"/>
      <c r="M93" s="145" t="n"/>
      <c r="N93" s="1" t="n"/>
      <c r="O93" s="1" t="n"/>
      <c r="P93" s="1" t="n"/>
      <c r="Q93" s="1" t="n"/>
      <c r="R93" s="1" t="n"/>
      <c r="S93" s="1" t="n"/>
      <c r="T93" s="1" t="n"/>
      <c r="U93" s="1" t="n"/>
      <c r="V93" s="1" t="n"/>
      <c r="W93" s="1" t="n"/>
      <c r="X93" s="1" t="n"/>
      <c r="Y93" s="1" t="n"/>
      <c r="Z93" s="1" t="n"/>
    </row>
    <row r="94" ht="15.75" customHeight="1" s="311">
      <c r="A94" s="145" t="n"/>
      <c r="B94" s="208" t="n"/>
      <c r="C94" s="227" t="n"/>
      <c r="D94" s="12" t="n"/>
      <c r="E94" s="12" t="n"/>
      <c r="F94" s="12" t="n"/>
      <c r="G94" s="227" t="n"/>
      <c r="H94" s="253" t="n"/>
      <c r="I94" s="12" t="n"/>
      <c r="J94" s="253" t="n"/>
      <c r="K94" s="254" t="n"/>
      <c r="L94" s="145" t="n"/>
      <c r="M94" s="145" t="n"/>
      <c r="N94" s="1" t="n"/>
      <c r="O94" s="1" t="n"/>
      <c r="P94" s="1" t="n"/>
      <c r="Q94" s="1" t="n"/>
      <c r="R94" s="1" t="n"/>
      <c r="S94" s="1" t="n"/>
      <c r="T94" s="1" t="n"/>
      <c r="U94" s="1" t="n"/>
      <c r="V94" s="1" t="n"/>
      <c r="W94" s="1" t="n"/>
      <c r="X94" s="1" t="n"/>
      <c r="Y94" s="1" t="n"/>
      <c r="Z94" s="1" t="n"/>
    </row>
    <row r="95" ht="15.75" customHeight="1" s="311">
      <c r="A95" s="145" t="n"/>
      <c r="B95" s="208" t="n"/>
      <c r="C95" s="227" t="n"/>
      <c r="D95" s="12" t="n"/>
      <c r="E95" s="12" t="n"/>
      <c r="F95" s="12" t="n"/>
      <c r="G95" s="227" t="n"/>
      <c r="H95" s="253" t="n"/>
      <c r="I95" s="12" t="n"/>
      <c r="J95" s="253" t="n"/>
      <c r="K95" s="254" t="n"/>
      <c r="L95" s="145" t="n"/>
      <c r="M95" s="145" t="n"/>
      <c r="N95" s="1" t="n"/>
      <c r="O95" s="1" t="n"/>
      <c r="P95" s="1" t="n"/>
      <c r="Q95" s="1" t="n"/>
      <c r="R95" s="1" t="n"/>
      <c r="S95" s="1" t="n"/>
      <c r="T95" s="1" t="n"/>
      <c r="U95" s="1" t="n"/>
      <c r="V95" s="1" t="n"/>
      <c r="W95" s="1" t="n"/>
      <c r="X95" s="1" t="n"/>
      <c r="Y95" s="1" t="n"/>
      <c r="Z95" s="1" t="n"/>
    </row>
    <row r="96" ht="15.75" customHeight="1" s="311">
      <c r="A96" s="145" t="n"/>
      <c r="B96" s="208" t="n"/>
      <c r="C96" s="227" t="n"/>
      <c r="D96" s="12" t="n"/>
      <c r="E96" s="12" t="n"/>
      <c r="F96" s="12" t="n"/>
      <c r="G96" s="227" t="n"/>
      <c r="H96" s="253" t="n"/>
      <c r="I96" s="12" t="n"/>
      <c r="J96" s="253" t="n"/>
      <c r="K96" s="254" t="n"/>
      <c r="L96" s="145" t="n"/>
      <c r="M96" s="145" t="n"/>
      <c r="N96" s="1" t="n"/>
      <c r="O96" s="1" t="n"/>
      <c r="P96" s="1" t="n"/>
      <c r="Q96" s="1" t="n"/>
      <c r="R96" s="1" t="n"/>
      <c r="S96" s="1" t="n"/>
      <c r="T96" s="1" t="n"/>
      <c r="U96" s="1" t="n"/>
      <c r="V96" s="1" t="n"/>
      <c r="W96" s="1" t="n"/>
      <c r="X96" s="1" t="n"/>
      <c r="Y96" s="1" t="n"/>
      <c r="Z96" s="1" t="n"/>
    </row>
    <row r="97" ht="15.75" customHeight="1" s="311">
      <c r="A97" s="145" t="n"/>
      <c r="B97" s="208" t="n"/>
      <c r="C97" s="227" t="n"/>
      <c r="D97" s="12" t="n"/>
      <c r="E97" s="12" t="n"/>
      <c r="F97" s="12" t="n"/>
      <c r="G97" s="227" t="n"/>
      <c r="H97" s="253" t="n"/>
      <c r="I97" s="12" t="n"/>
      <c r="J97" s="253" t="n"/>
      <c r="K97" s="254" t="n"/>
      <c r="L97" s="145" t="n"/>
      <c r="M97" s="145" t="n"/>
      <c r="N97" s="1" t="n"/>
      <c r="O97" s="1" t="n"/>
      <c r="P97" s="1" t="n"/>
      <c r="Q97" s="1" t="n"/>
      <c r="R97" s="1" t="n"/>
      <c r="S97" s="1" t="n"/>
      <c r="T97" s="1" t="n"/>
      <c r="U97" s="1" t="n"/>
      <c r="V97" s="1" t="n"/>
      <c r="W97" s="1" t="n"/>
      <c r="X97" s="1" t="n"/>
      <c r="Y97" s="1" t="n"/>
      <c r="Z97" s="1" t="n"/>
    </row>
    <row r="98" ht="15.75" customHeight="1" s="311">
      <c r="A98" s="145" t="n"/>
      <c r="B98" s="208" t="n"/>
      <c r="C98" s="227" t="n"/>
      <c r="D98" s="12" t="n"/>
      <c r="E98" s="12" t="n"/>
      <c r="F98" s="12" t="n"/>
      <c r="G98" s="227" t="n"/>
      <c r="H98" s="253" t="n"/>
      <c r="I98" s="12" t="n"/>
      <c r="J98" s="253" t="n"/>
      <c r="K98" s="254" t="n"/>
      <c r="L98" s="145" t="n"/>
      <c r="M98" s="145" t="n"/>
      <c r="N98" s="1" t="n"/>
      <c r="O98" s="1" t="n"/>
      <c r="P98" s="1" t="n"/>
      <c r="Q98" s="1" t="n"/>
      <c r="R98" s="1" t="n"/>
      <c r="S98" s="1" t="n"/>
      <c r="T98" s="1" t="n"/>
      <c r="U98" s="1" t="n"/>
      <c r="V98" s="1" t="n"/>
      <c r="W98" s="1" t="n"/>
      <c r="X98" s="1" t="n"/>
      <c r="Y98" s="1" t="n"/>
      <c r="Z98" s="1" t="n"/>
    </row>
    <row r="99" ht="15.75" customHeight="1" s="311">
      <c r="A99" s="145" t="n"/>
      <c r="B99" s="208" t="n"/>
      <c r="C99" s="227" t="n"/>
      <c r="D99" s="12" t="n"/>
      <c r="E99" s="12" t="n"/>
      <c r="F99" s="12" t="n"/>
      <c r="G99" s="227" t="n"/>
      <c r="H99" s="253" t="n"/>
      <c r="I99" s="12" t="n"/>
      <c r="J99" s="253" t="n"/>
      <c r="K99" s="254" t="n"/>
      <c r="L99" s="145" t="n"/>
      <c r="M99" s="145" t="n"/>
      <c r="N99" s="1" t="n"/>
      <c r="O99" s="1" t="n"/>
      <c r="P99" s="1" t="n"/>
      <c r="Q99" s="1" t="n"/>
      <c r="R99" s="1" t="n"/>
      <c r="S99" s="1" t="n"/>
      <c r="T99" s="1" t="n"/>
      <c r="U99" s="1" t="n"/>
      <c r="V99" s="1" t="n"/>
      <c r="W99" s="1" t="n"/>
      <c r="X99" s="1" t="n"/>
      <c r="Y99" s="1" t="n"/>
      <c r="Z99" s="1" t="n"/>
    </row>
    <row r="100" ht="15.75" customHeight="1" s="311">
      <c r="A100" s="145" t="n"/>
      <c r="B100" s="208" t="n"/>
      <c r="C100" s="227" t="n"/>
      <c r="D100" s="12" t="n"/>
      <c r="E100" s="12" t="n"/>
      <c r="F100" s="12" t="n"/>
      <c r="G100" s="227" t="n"/>
      <c r="H100" s="253" t="n"/>
      <c r="I100" s="12" t="n"/>
      <c r="J100" s="253" t="n"/>
      <c r="K100" s="254" t="n"/>
      <c r="L100" s="145" t="n"/>
      <c r="M100" s="145" t="n"/>
      <c r="N100" s="1" t="n"/>
      <c r="O100" s="1" t="n"/>
      <c r="P100" s="1" t="n"/>
      <c r="Q100" s="1" t="n"/>
      <c r="R100" s="1" t="n"/>
      <c r="S100" s="1" t="n"/>
      <c r="T100" s="1" t="n"/>
      <c r="U100" s="1" t="n"/>
      <c r="V100" s="1" t="n"/>
      <c r="W100" s="1" t="n"/>
      <c r="X100" s="1" t="n"/>
      <c r="Y100" s="1" t="n"/>
      <c r="Z100" s="1" t="n"/>
    </row>
    <row r="101" ht="15.75" customHeight="1" s="311">
      <c r="A101" s="145" t="n"/>
      <c r="B101" s="208" t="n"/>
      <c r="C101" s="227" t="n"/>
      <c r="D101" s="12" t="n"/>
      <c r="E101" s="12" t="n"/>
      <c r="F101" s="12" t="n"/>
      <c r="G101" s="227" t="n"/>
      <c r="H101" s="253" t="n"/>
      <c r="I101" s="12" t="n"/>
      <c r="J101" s="253" t="n"/>
      <c r="K101" s="254" t="n"/>
      <c r="L101" s="145" t="n"/>
      <c r="M101" s="145" t="n"/>
      <c r="N101" s="1" t="n"/>
      <c r="O101" s="1" t="n"/>
      <c r="P101" s="1" t="n"/>
      <c r="Q101" s="1" t="n"/>
      <c r="R101" s="1" t="n"/>
      <c r="S101" s="1" t="n"/>
      <c r="T101" s="1" t="n"/>
      <c r="U101" s="1" t="n"/>
      <c r="V101" s="1" t="n"/>
      <c r="W101" s="1" t="n"/>
      <c r="X101" s="1" t="n"/>
      <c r="Y101" s="1" t="n"/>
      <c r="Z101" s="1" t="n"/>
    </row>
    <row r="102" ht="15.75" customHeight="1" s="311">
      <c r="A102" s="145" t="n"/>
      <c r="B102" s="145" t="n"/>
      <c r="C102" s="145" t="n"/>
      <c r="D102" s="145" t="n"/>
      <c r="E102" s="145" t="n"/>
      <c r="F102" s="145" t="n"/>
      <c r="G102" s="145" t="n"/>
      <c r="H102" s="145" t="n"/>
      <c r="I102" s="145" t="n"/>
      <c r="J102" s="145" t="n"/>
      <c r="K102" s="145" t="n"/>
      <c r="L102" s="145" t="n"/>
      <c r="M102" s="145" t="n"/>
      <c r="N102" s="1" t="n"/>
      <c r="O102" s="1" t="n"/>
      <c r="P102" s="1" t="n"/>
      <c r="Q102" s="1" t="n"/>
      <c r="R102" s="1" t="n"/>
      <c r="S102" s="1" t="n"/>
      <c r="T102" s="1" t="n"/>
      <c r="U102" s="1" t="n"/>
      <c r="V102" s="1" t="n"/>
      <c r="W102" s="1" t="n"/>
      <c r="X102" s="1" t="n"/>
      <c r="Y102" s="1" t="n"/>
      <c r="Z102" s="1" t="n"/>
    </row>
    <row r="103" ht="15.75" customHeight="1" s="311">
      <c r="A103" s="145" t="n"/>
      <c r="B103" s="249" t="inlineStr">
        <is>
          <t>LECTURA DE LA TENDENCIA  —  se compara el último cierre con el anterior</t>
        </is>
      </c>
      <c r="N103" s="1" t="n"/>
      <c r="O103" s="1" t="n"/>
      <c r="P103" s="1" t="n"/>
      <c r="Q103" s="1" t="n"/>
      <c r="R103" s="1" t="n"/>
      <c r="S103" s="1" t="n"/>
      <c r="T103" s="1" t="n"/>
      <c r="U103" s="1" t="n"/>
      <c r="V103" s="1" t="n"/>
      <c r="W103" s="1" t="n"/>
      <c r="X103" s="1" t="n"/>
      <c r="Y103" s="1" t="n"/>
      <c r="Z103" s="1" t="n"/>
    </row>
    <row r="104" ht="15.75" customHeight="1" s="311">
      <c r="A104" s="145" t="n"/>
      <c r="B104" s="4" t="inlineStr">
        <is>
          <t>Cierres registrados</t>
        </is>
      </c>
      <c r="C104" s="145" t="n"/>
      <c r="D104" s="219">
        <f>COUNT($C$78:$C$101)</f>
        <v/>
      </c>
      <c r="E104" s="229">
        <f t="array" ref="E104">IF($D$104=0,"🕐 Aún no has guardado ningún cierre",IF($D$104=1,"🕐 Un solo cierre: guarda el del mes que viene y empezará a comparar","📈 Comparando "&amp;INDEX($B$78:$B$101,$D$104)&amp;" contra "&amp;INDEX($B$78:$B$101,$D$104-1)))</f>
        <v/>
      </c>
      <c r="N104" s="1" t="n"/>
      <c r="O104" s="1" t="n"/>
      <c r="P104" s="1" t="n"/>
      <c r="Q104" s="1" t="n"/>
      <c r="R104" s="1" t="n"/>
      <c r="S104" s="1" t="n"/>
      <c r="T104" s="1" t="n"/>
      <c r="U104" s="1" t="n"/>
      <c r="V104" s="1" t="n"/>
      <c r="W104" s="1" t="n"/>
      <c r="X104" s="1" t="n"/>
      <c r="Y104" s="1" t="n"/>
      <c r="Z104" s="1" t="n"/>
    </row>
    <row r="105" ht="15.75" customHeight="1" s="311">
      <c r="A105" s="145" t="n"/>
      <c r="B105" s="145" t="n"/>
      <c r="C105" s="145" t="n"/>
      <c r="D105" s="145" t="n"/>
      <c r="E105" s="145" t="n"/>
      <c r="F105" s="145" t="n"/>
      <c r="G105" s="145" t="n"/>
      <c r="H105" s="145" t="n"/>
      <c r="I105" s="145" t="n"/>
      <c r="J105" s="145" t="n"/>
      <c r="K105" s="145" t="n"/>
      <c r="L105" s="145" t="n"/>
      <c r="M105" s="145" t="n"/>
      <c r="N105" s="1" t="n"/>
      <c r="O105" s="1" t="n"/>
      <c r="P105" s="1" t="n"/>
      <c r="Q105" s="1" t="n"/>
      <c r="R105" s="1" t="n"/>
      <c r="S105" s="1" t="n"/>
      <c r="T105" s="1" t="n"/>
      <c r="U105" s="1" t="n"/>
      <c r="V105" s="1" t="n"/>
      <c r="W105" s="1" t="n"/>
      <c r="X105" s="1" t="n"/>
      <c r="Y105" s="1" t="n"/>
      <c r="Z105" s="1" t="n"/>
    </row>
    <row r="106" ht="25.5" customHeight="1" s="311">
      <c r="A106" s="145" t="n"/>
      <c r="B106" s="11" t="inlineStr">
        <is>
          <t>Indicador</t>
        </is>
      </c>
      <c r="C106" s="11" t="inlineStr">
        <is>
          <t>Primer cierre</t>
        </is>
      </c>
      <c r="D106" s="11" t="inlineStr">
        <is>
          <t>Cierre anterior</t>
        </is>
      </c>
      <c r="E106" s="11" t="inlineStr">
        <is>
          <t>Último cierre</t>
        </is>
      </c>
      <c r="F106" s="11" t="inlineStr">
        <is>
          <t>Variación</t>
        </is>
      </c>
      <c r="G106" s="11" t="inlineStr">
        <is>
          <t>Tendencia</t>
        </is>
      </c>
      <c r="H106" s="11" t="inlineStr">
        <is>
          <t>Qué te está diciendo</t>
        </is>
      </c>
      <c r="I106" s="403" t="n"/>
      <c r="J106" s="403" t="n"/>
      <c r="K106" s="403" t="n"/>
      <c r="L106" s="403" t="n"/>
      <c r="M106" s="395" t="n"/>
      <c r="N106" s="1" t="n"/>
      <c r="O106" s="1" t="n"/>
      <c r="P106" s="1" t="n"/>
      <c r="Q106" s="1" t="n"/>
      <c r="R106" s="1" t="n"/>
      <c r="S106" s="1" t="n"/>
      <c r="T106" s="1" t="n"/>
      <c r="U106" s="1" t="n"/>
      <c r="V106" s="1" t="n"/>
      <c r="W106" s="1" t="n"/>
      <c r="X106" s="1" t="n"/>
      <c r="Y106" s="1" t="n"/>
      <c r="Z106" s="1" t="n"/>
    </row>
    <row r="107" ht="21.75" customHeight="1" s="311">
      <c r="A107" s="145" t="n"/>
      <c r="B107" s="4" t="inlineStr">
        <is>
          <t>Puntuación global</t>
        </is>
      </c>
      <c r="C107" s="230">
        <f t="array" ref="C107">IF($D$104=0,"",INDEX(C$78:C$101,1))</f>
        <v/>
      </c>
      <c r="D107" s="230">
        <f t="array" ref="D107">IF($D$104&lt;2,"",INDEX(C$78:C$101,$D$104-1))</f>
        <v/>
      </c>
      <c r="E107" s="230">
        <f t="array" ref="E107">IF($D$104=0,"",INDEX(C$78:C$101,$D$104))</f>
        <v/>
      </c>
      <c r="F107" s="230">
        <f>IF($D$104&lt;2,"",N($E107)-N($D107))</f>
        <v/>
      </c>
      <c r="G107" s="15">
        <f>IF($D$104&lt;2,"🕐 Faltan cierres",IF(ROUND(N($F107),4)=0,"➡️ Estable",IF(N($F107)*1&gt;0,"▲ MEJORA","▼ EMPEORA")))</f>
        <v/>
      </c>
      <c r="H107" s="215" t="inlineStr">
        <is>
          <t>Es el resumen de los 27 ratios. Si sube, todo lo demás está tirando en la buena dirección.</t>
        </is>
      </c>
      <c r="N107" s="1" t="n"/>
      <c r="O107" s="1" t="n"/>
      <c r="P107" s="1" t="n"/>
      <c r="Q107" s="1" t="n"/>
      <c r="R107" s="1" t="n"/>
      <c r="S107" s="1" t="n"/>
      <c r="T107" s="1" t="n"/>
      <c r="U107" s="1" t="n"/>
      <c r="V107" s="1" t="n"/>
      <c r="W107" s="1" t="n"/>
      <c r="X107" s="1" t="n"/>
      <c r="Y107" s="1" t="n"/>
      <c r="Z107" s="1" t="n"/>
    </row>
    <row r="108" ht="21.75" customHeight="1" s="311">
      <c r="A108" s="145" t="n"/>
      <c r="B108" s="4" t="inlineStr">
        <is>
          <t>Patrimonio neto</t>
        </is>
      </c>
      <c r="C108" s="13">
        <f t="array" ref="C108">IF($D$104=0,"",INDEX(D$78:D$101,1))</f>
        <v/>
      </c>
      <c r="D108" s="13">
        <f t="array" ref="D108">IF($D$104&lt;2,"",INDEX(D$78:D$101,$D$104-1))</f>
        <v/>
      </c>
      <c r="E108" s="13">
        <f t="array" ref="E108">IF($D$104=0,"",INDEX(D$78:D$101,$D$104))</f>
        <v/>
      </c>
      <c r="F108" s="13">
        <f>IF($D$104&lt;2,"",N($E108)-N($D108))</f>
        <v/>
      </c>
      <c r="G108" s="15">
        <f>IF($D$104&lt;2,"🕐 Faltan cierres",IF(ROUND(N($F108),4)=0,"➡️ Estable",IF(N($F108)*1&gt;0,"▲ MEJORA","▼ EMPEORA")))</f>
        <v/>
      </c>
      <c r="H108" s="215" t="inlineStr">
        <is>
          <t>El marcador final. Debería subir todos los meses al menos por lo que ahorras y por lo que amortizas de hipoteca.</t>
        </is>
      </c>
      <c r="N108" s="1" t="n"/>
      <c r="O108" s="1" t="n"/>
      <c r="P108" s="1" t="n"/>
      <c r="Q108" s="1" t="n"/>
      <c r="R108" s="1" t="n"/>
      <c r="S108" s="1" t="n"/>
      <c r="T108" s="1" t="n"/>
      <c r="U108" s="1" t="n"/>
      <c r="V108" s="1" t="n"/>
      <c r="W108" s="1" t="n"/>
      <c r="X108" s="1" t="n"/>
      <c r="Y108" s="1" t="n"/>
      <c r="Z108" s="1" t="n"/>
    </row>
    <row r="109" ht="21.75" customHeight="1" s="311">
      <c r="A109" s="145" t="n"/>
      <c r="B109" s="4" t="inlineStr">
        <is>
          <t>Deuda total</t>
        </is>
      </c>
      <c r="C109" s="13">
        <f t="array" ref="C109">IF($D$104=0,"",INDEX(E$78:E$101,1))</f>
        <v/>
      </c>
      <c r="D109" s="13">
        <f t="array" ref="D109">IF($D$104&lt;2,"",INDEX(E$78:E$101,$D$104-1))</f>
        <v/>
      </c>
      <c r="E109" s="13">
        <f t="array" ref="E109">IF($D$104=0,"",INDEX(E$78:E$101,$D$104))</f>
        <v/>
      </c>
      <c r="F109" s="13">
        <f>IF($D$104&lt;2,"",N($E109)-N($D109))</f>
        <v/>
      </c>
      <c r="G109" s="15">
        <f>IF($D$104&lt;2,"🕐 Faltan cierres",IF(ROUND(N($F109),4)=0,"➡️ Estable",IF(N($F109)*-1&gt;0,"▲ MEJORA","▼ EMPEORA")))</f>
        <v/>
      </c>
      <c r="H109" s="215" t="inlineStr">
        <is>
          <t>Bajar aquí es ganar. Si sube sin que suba el activo, estás financiando gasto corriente con deuda.</t>
        </is>
      </c>
      <c r="N109" s="1" t="n"/>
      <c r="O109" s="1" t="n"/>
      <c r="P109" s="1" t="n"/>
      <c r="Q109" s="1" t="n"/>
      <c r="R109" s="1" t="n"/>
      <c r="S109" s="1" t="n"/>
      <c r="T109" s="1" t="n"/>
      <c r="U109" s="1" t="n"/>
      <c r="V109" s="1" t="n"/>
      <c r="W109" s="1" t="n"/>
      <c r="X109" s="1" t="n"/>
      <c r="Y109" s="1" t="n"/>
      <c r="Z109" s="1" t="n"/>
    </row>
    <row r="110" ht="21.75" customHeight="1" s="311">
      <c r="A110" s="145" t="n"/>
      <c r="B110" s="4" t="inlineStr">
        <is>
          <t>Disponible inmediato</t>
        </is>
      </c>
      <c r="C110" s="13">
        <f t="array" ref="C110">IF($D$104=0,"",INDEX(F$78:F$101,1))</f>
        <v/>
      </c>
      <c r="D110" s="13">
        <f t="array" ref="D110">IF($D$104&lt;2,"",INDEX(F$78:F$101,$D$104-1))</f>
        <v/>
      </c>
      <c r="E110" s="13">
        <f t="array" ref="E110">IF($D$104=0,"",INDEX(F$78:F$101,$D$104))</f>
        <v/>
      </c>
      <c r="F110" s="13">
        <f>IF($D$104&lt;2,"",N($E110)-N($D110))</f>
        <v/>
      </c>
      <c r="G110" s="15">
        <f>IF($D$104&lt;2,"🕐 Faltan cierres",IF(ROUND(N($F110),4)=0,"➡️ Estable",IF(N($F110)*1&gt;0,"▲ MEJORA","▼ EMPEORA")))</f>
        <v/>
      </c>
      <c r="H110" s="215" t="inlineStr">
        <is>
          <t>El dinero con el que puedes decidir hoy. Es lo primero que hay que reconstruir.</t>
        </is>
      </c>
      <c r="N110" s="1" t="n"/>
      <c r="O110" s="1" t="n"/>
      <c r="P110" s="1" t="n"/>
      <c r="Q110" s="1" t="n"/>
      <c r="R110" s="1" t="n"/>
      <c r="S110" s="1" t="n"/>
      <c r="T110" s="1" t="n"/>
      <c r="U110" s="1" t="n"/>
      <c r="V110" s="1" t="n"/>
      <c r="W110" s="1" t="n"/>
      <c r="X110" s="1" t="n"/>
      <c r="Y110" s="1" t="n"/>
      <c r="Z110" s="1" t="n"/>
    </row>
    <row r="111" ht="21.75" customHeight="1" s="311">
      <c r="A111" s="145" t="n"/>
      <c r="B111" s="4" t="inlineStr">
        <is>
          <t>Colchón (meses de gasto)</t>
        </is>
      </c>
      <c r="C111" s="230">
        <f t="array" ref="C111">IF($D$104=0,"",INDEX(G$78:G$101,1))</f>
        <v/>
      </c>
      <c r="D111" s="230">
        <f t="array" ref="D111">IF($D$104&lt;2,"",INDEX(G$78:G$101,$D$104-1))</f>
        <v/>
      </c>
      <c r="E111" s="230">
        <f t="array" ref="E111">IF($D$104=0,"",INDEX(G$78:G$101,$D$104))</f>
        <v/>
      </c>
      <c r="F111" s="230">
        <f>IF($D$104&lt;2,"",N($E111)-N($D111))</f>
        <v/>
      </c>
      <c r="G111" s="15">
        <f>IF($D$104&lt;2,"🕐 Faltan cierres",IF(ROUND(N($F111),4)=0,"➡️ Estable",IF(N($F111)*1&gt;0,"▲ MEJORA","▼ EMPEORA")))</f>
        <v/>
      </c>
      <c r="H111" s="215" t="inlineStr">
        <is>
          <t>Meses que aguantarías sin ingresos. Hasta llegar a 1 mes, es la prioridad absoluta.</t>
        </is>
      </c>
      <c r="N111" s="1" t="n"/>
      <c r="O111" s="1" t="n"/>
      <c r="P111" s="1" t="n"/>
      <c r="Q111" s="1" t="n"/>
      <c r="R111" s="1" t="n"/>
      <c r="S111" s="1" t="n"/>
      <c r="T111" s="1" t="n"/>
      <c r="U111" s="1" t="n"/>
      <c r="V111" s="1" t="n"/>
      <c r="W111" s="1" t="n"/>
      <c r="X111" s="1" t="n"/>
      <c r="Y111" s="1" t="n"/>
      <c r="Z111" s="1" t="n"/>
    </row>
    <row r="112" ht="21.75" customHeight="1" s="311">
      <c r="A112" s="145" t="n"/>
      <c r="B112" s="4" t="inlineStr">
        <is>
          <t>Tasa de ahorro</t>
        </is>
      </c>
      <c r="C112" s="255">
        <f t="array" ref="C112">IF($D$104=0,"",INDEX(H$78:H$101,1))</f>
        <v/>
      </c>
      <c r="D112" s="255">
        <f t="array" ref="D112">IF($D$104&lt;2,"",INDEX(H$78:H$101,$D$104-1))</f>
        <v/>
      </c>
      <c r="E112" s="255">
        <f t="array" ref="E112">IF($D$104=0,"",INDEX(H$78:H$101,$D$104))</f>
        <v/>
      </c>
      <c r="F112" s="255">
        <f>IF($D$104&lt;2,"",N($E112)-N($D112))</f>
        <v/>
      </c>
      <c r="G112" s="15">
        <f>IF($D$104&lt;2,"🕐 Faltan cierres",IF(ROUND(N($F112),4)=0,"➡️ Estable",IF(N($F112)*1&gt;0,"▲ MEJORA","▼ EMPEORA")))</f>
        <v/>
      </c>
      <c r="H112" s="215" t="inlineStr">
        <is>
          <t>Qué parte de lo que entra no te gastas. Es la palanca que mueve todas las demás.</t>
        </is>
      </c>
      <c r="N112" s="1" t="n"/>
      <c r="O112" s="1" t="n"/>
      <c r="P112" s="1" t="n"/>
      <c r="Q112" s="1" t="n"/>
      <c r="R112" s="1" t="n"/>
      <c r="S112" s="1" t="n"/>
      <c r="T112" s="1" t="n"/>
      <c r="U112" s="1" t="n"/>
      <c r="V112" s="1" t="n"/>
      <c r="W112" s="1" t="n"/>
      <c r="X112" s="1" t="n"/>
      <c r="Y112" s="1" t="n"/>
      <c r="Z112" s="1" t="n"/>
    </row>
    <row r="113" ht="21.75" customHeight="1" s="311">
      <c r="A113" s="145" t="n"/>
      <c r="B113" s="4" t="inlineStr">
        <is>
          <t>Facturas vencidas</t>
        </is>
      </c>
      <c r="C113" s="13">
        <f t="array" ref="C113">IF($D$104=0,"",INDEX(I$78:I$101,1))</f>
        <v/>
      </c>
      <c r="D113" s="13">
        <f t="array" ref="D113">IF($D$104&lt;2,"",INDEX(I$78:I$101,$D$104-1))</f>
        <v/>
      </c>
      <c r="E113" s="13">
        <f t="array" ref="E113">IF($D$104=0,"",INDEX(I$78:I$101,$D$104))</f>
        <v/>
      </c>
      <c r="F113" s="13">
        <f>IF($D$104&lt;2,"",N($E113)-N($D113))</f>
        <v/>
      </c>
      <c r="G113" s="15">
        <f>IF($D$104&lt;2,"🕐 Faltan cierres",IF(ROUND(N($F113),4)=0,"➡️ Estable",IF(N($F113)*-1&gt;0,"▲ MEJORA","▼ EMPEORA")))</f>
        <v/>
      </c>
      <c r="H113" s="215" t="inlineStr">
        <is>
          <t>Debería estar siempre en cero. Cualquier cifra distinta encarece la deuda con recargos.</t>
        </is>
      </c>
      <c r="N113" s="1" t="n"/>
      <c r="O113" s="1" t="n"/>
      <c r="P113" s="1" t="n"/>
      <c r="Q113" s="1" t="n"/>
      <c r="R113" s="1" t="n"/>
      <c r="S113" s="1" t="n"/>
      <c r="T113" s="1" t="n"/>
      <c r="U113" s="1" t="n"/>
      <c r="V113" s="1" t="n"/>
      <c r="W113" s="1" t="n"/>
      <c r="X113" s="1" t="n"/>
      <c r="Y113" s="1" t="n"/>
      <c r="Z113" s="1" t="n"/>
    </row>
    <row r="114" ht="21.75" customHeight="1" s="311">
      <c r="A114" s="145" t="n"/>
      <c r="B114" s="4" t="inlineStr">
        <is>
          <t>Uso del crédito</t>
        </is>
      </c>
      <c r="C114" s="255">
        <f t="array" ref="C114">IF($D$104=0,"",INDEX(J$78:J$101,1))</f>
        <v/>
      </c>
      <c r="D114" s="255">
        <f t="array" ref="D114">IF($D$104&lt;2,"",INDEX(J$78:J$101,$D$104-1))</f>
        <v/>
      </c>
      <c r="E114" s="255">
        <f t="array" ref="E114">IF($D$104=0,"",INDEX(J$78:J$101,$D$104))</f>
        <v/>
      </c>
      <c r="F114" s="255">
        <f>IF($D$104&lt;2,"",N($E114)-N($D114))</f>
        <v/>
      </c>
      <c r="G114" s="15">
        <f>IF($D$104&lt;2,"🕐 Faltan cierres",IF(ROUND(N($F114),4)=0,"➡️ Estable",IF(N($F114)*-1&gt;0,"▲ MEJORA","▼ EMPEORA")))</f>
        <v/>
      </c>
      <c r="H114" s="215" t="inlineStr">
        <is>
          <t>Por encima del 30% daña tu perfil crediticio. Al 100% te has quedado sin red.</t>
        </is>
      </c>
      <c r="N114" s="1" t="n"/>
      <c r="O114" s="1" t="n"/>
      <c r="P114" s="1" t="n"/>
      <c r="Q114" s="1" t="n"/>
      <c r="R114" s="1" t="n"/>
      <c r="S114" s="1" t="n"/>
      <c r="T114" s="1" t="n"/>
      <c r="U114" s="1" t="n"/>
      <c r="V114" s="1" t="n"/>
      <c r="W114" s="1" t="n"/>
      <c r="X114" s="1" t="n"/>
      <c r="Y114" s="1" t="n"/>
      <c r="Z114" s="1" t="n"/>
    </row>
    <row r="115" ht="21.75" customHeight="1" s="311">
      <c r="A115" s="145" t="n"/>
      <c r="B115" s="4" t="inlineStr">
        <is>
          <t>Ratio de liquidez</t>
        </is>
      </c>
      <c r="C115" s="256">
        <f t="array" ref="C115">IF($D$104=0,"",INDEX(K$78:K$101,1))</f>
        <v/>
      </c>
      <c r="D115" s="256">
        <f t="array" ref="D115">IF($D$104&lt;2,"",INDEX(K$78:K$101,$D$104-1))</f>
        <v/>
      </c>
      <c r="E115" s="256">
        <f t="array" ref="E115">IF($D$104=0,"",INDEX(K$78:K$101,$D$104))</f>
        <v/>
      </c>
      <c r="F115" s="256">
        <f>IF($D$104&lt;2,"",N($E115)-N($D115))</f>
        <v/>
      </c>
      <c r="G115" s="15">
        <f>IF($D$104&lt;2,"🕐 Faltan cierres",IF(ROUND(N($F115),4)=0,"➡️ Estable",IF(N($F115)*1&gt;0,"▲ MEJORA","▼ EMPEORA")))</f>
        <v/>
      </c>
      <c r="H115" s="215" t="inlineStr">
        <is>
          <t>Veces que cubres lo que vence este año con lo que puedes convertir en dinero.</t>
        </is>
      </c>
      <c r="N115" s="1" t="n"/>
      <c r="O115" s="1" t="n"/>
      <c r="P115" s="1" t="n"/>
      <c r="Q115" s="1" t="n"/>
      <c r="R115" s="1" t="n"/>
      <c r="S115" s="1" t="n"/>
      <c r="T115" s="1" t="n"/>
      <c r="U115" s="1" t="n"/>
      <c r="V115" s="1" t="n"/>
      <c r="W115" s="1" t="n"/>
      <c r="X115" s="1" t="n"/>
      <c r="Y115" s="1" t="n"/>
      <c r="Z115" s="1" t="n"/>
    </row>
    <row r="116" ht="15.75" customHeight="1" s="311">
      <c r="A116" s="145" t="n"/>
      <c r="B116" s="145" t="n"/>
      <c r="C116" s="145" t="n"/>
      <c r="D116" s="145" t="n"/>
      <c r="E116" s="145" t="n"/>
      <c r="F116" s="145" t="n"/>
      <c r="G116" s="145" t="n"/>
      <c r="H116" s="145" t="n"/>
      <c r="I116" s="145" t="n"/>
      <c r="J116" s="145" t="n"/>
      <c r="K116" s="145" t="n"/>
      <c r="L116" s="145" t="n"/>
      <c r="M116" s="145" t="n"/>
      <c r="N116" s="1" t="n"/>
      <c r="O116" s="1" t="n"/>
      <c r="P116" s="1" t="n"/>
      <c r="Q116" s="1" t="n"/>
      <c r="R116" s="1" t="n"/>
      <c r="S116" s="1" t="n"/>
      <c r="T116" s="1" t="n"/>
      <c r="U116" s="1" t="n"/>
      <c r="V116" s="1" t="n"/>
      <c r="W116" s="1" t="n"/>
      <c r="X116" s="1" t="n"/>
      <c r="Y116" s="1" t="n"/>
      <c r="Z116" s="1" t="n"/>
    </row>
    <row r="117" ht="15.75" customHeight="1" s="311">
      <c r="A117" s="145" t="n"/>
      <c r="B117" s="249" t="inlineStr">
        <is>
          <t>VEREDICTO DEL MES</t>
        </is>
      </c>
      <c r="N117" s="1" t="n"/>
      <c r="O117" s="1" t="n"/>
      <c r="P117" s="1" t="n"/>
      <c r="Q117" s="1" t="n"/>
      <c r="R117" s="1" t="n"/>
      <c r="S117" s="1" t="n"/>
      <c r="T117" s="1" t="n"/>
      <c r="U117" s="1" t="n"/>
      <c r="V117" s="1" t="n"/>
      <c r="W117" s="1" t="n"/>
      <c r="X117" s="1" t="n"/>
      <c r="Y117" s="1" t="n"/>
      <c r="Z117" s="1" t="n"/>
    </row>
    <row r="118" ht="15.75" customHeight="1" s="311">
      <c r="A118" s="145" t="n"/>
      <c r="B118" s="4" t="inlineStr">
        <is>
          <t>Indicadores que mejoran</t>
        </is>
      </c>
      <c r="C118" s="145" t="n"/>
      <c r="D118" s="257">
        <f>COUNTIF($G$107:$G$115,"▲ MEJORA")</f>
        <v/>
      </c>
      <c r="E118" s="145" t="n"/>
      <c r="F118" s="145" t="n"/>
      <c r="G118" s="145" t="n"/>
      <c r="H118" s="145" t="n"/>
      <c r="I118" s="145" t="n"/>
      <c r="J118" s="145" t="n"/>
      <c r="K118" s="145" t="n"/>
      <c r="L118" s="145" t="n"/>
      <c r="M118" s="145" t="n"/>
      <c r="N118" s="1" t="n"/>
      <c r="O118" s="1" t="n"/>
      <c r="P118" s="1" t="n"/>
      <c r="Q118" s="1" t="n"/>
      <c r="R118" s="1" t="n"/>
      <c r="S118" s="1" t="n"/>
      <c r="T118" s="1" t="n"/>
      <c r="U118" s="1" t="n"/>
      <c r="V118" s="1" t="n"/>
      <c r="W118" s="1" t="n"/>
      <c r="X118" s="1" t="n"/>
      <c r="Y118" s="1" t="n"/>
      <c r="Z118" s="1" t="n"/>
    </row>
    <row r="119" ht="15.75" customHeight="1" s="311">
      <c r="A119" s="145" t="n"/>
      <c r="B119" s="4" t="inlineStr">
        <is>
          <t>Indicadores que empeoran</t>
        </is>
      </c>
      <c r="C119" s="145" t="n"/>
      <c r="D119" s="257">
        <f>COUNTIF($G$107:$G$115,"▼ EMPEORA")</f>
        <v/>
      </c>
      <c r="E119" s="145" t="n"/>
      <c r="F119" s="145" t="n"/>
      <c r="G119" s="145" t="n"/>
      <c r="H119" s="145" t="n"/>
      <c r="I119" s="145" t="n"/>
      <c r="J119" s="145" t="n"/>
      <c r="K119" s="145" t="n"/>
      <c r="L119" s="145" t="n"/>
      <c r="M119" s="145" t="n"/>
      <c r="N119" s="1" t="n"/>
      <c r="O119" s="1" t="n"/>
      <c r="P119" s="1" t="n"/>
      <c r="Q119" s="1" t="n"/>
      <c r="R119" s="1" t="n"/>
      <c r="S119" s="1" t="n"/>
      <c r="T119" s="1" t="n"/>
      <c r="U119" s="1" t="n"/>
      <c r="V119" s="1" t="n"/>
      <c r="W119" s="1" t="n"/>
      <c r="X119" s="1" t="n"/>
      <c r="Y119" s="1" t="n"/>
      <c r="Z119" s="1" t="n"/>
    </row>
    <row r="120" ht="15.75" customHeight="1" s="311">
      <c r="A120" s="145" t="n"/>
      <c r="B120" s="4" t="inlineStr">
        <is>
          <t>Variación del patrimonio neto en el mes</t>
        </is>
      </c>
      <c r="C120" s="145" t="n"/>
      <c r="D120" s="212">
        <f>IF($D$104&lt;2,"",N($E108)-N($D108))</f>
        <v/>
      </c>
      <c r="E120" s="145" t="n"/>
      <c r="F120" s="145" t="n"/>
      <c r="G120" s="145" t="n"/>
      <c r="H120" s="145" t="n"/>
      <c r="I120" s="145" t="n"/>
      <c r="J120" s="145" t="n"/>
      <c r="K120" s="145" t="n"/>
      <c r="L120" s="145" t="n"/>
      <c r="M120" s="145" t="n"/>
      <c r="N120" s="1" t="n"/>
      <c r="O120" s="1" t="n"/>
      <c r="P120" s="1" t="n"/>
      <c r="Q120" s="1" t="n"/>
      <c r="R120" s="1" t="n"/>
      <c r="S120" s="1" t="n"/>
      <c r="T120" s="1" t="n"/>
      <c r="U120" s="1" t="n"/>
      <c r="V120" s="1" t="n"/>
      <c r="W120" s="1" t="n"/>
      <c r="X120" s="1" t="n"/>
      <c r="Y120" s="1" t="n"/>
      <c r="Z120" s="1" t="n"/>
    </row>
    <row r="121" ht="15.75" customHeight="1" s="311">
      <c r="A121" s="145" t="n"/>
      <c r="B121" s="4" t="inlineStr">
        <is>
          <t>Variación de la puntuación global</t>
        </is>
      </c>
      <c r="C121" s="145" t="n"/>
      <c r="D121" s="258">
        <f>IF($D$104&lt;2,"",N($E107)-N($D107))</f>
        <v/>
      </c>
      <c r="E121" s="145" t="n"/>
      <c r="F121" s="145" t="n"/>
      <c r="G121" s="145" t="n"/>
      <c r="H121" s="145" t="n"/>
      <c r="I121" s="145" t="n"/>
      <c r="J121" s="145" t="n"/>
      <c r="K121" s="145" t="n"/>
      <c r="L121" s="145" t="n"/>
      <c r="M121" s="145" t="n"/>
      <c r="N121" s="1" t="n"/>
      <c r="O121" s="1" t="n"/>
      <c r="P121" s="1" t="n"/>
      <c r="Q121" s="1" t="n"/>
      <c r="R121" s="1" t="n"/>
      <c r="S121" s="1" t="n"/>
      <c r="T121" s="1" t="n"/>
      <c r="U121" s="1" t="n"/>
      <c r="V121" s="1" t="n"/>
      <c r="W121" s="1" t="n"/>
      <c r="X121" s="1" t="n"/>
      <c r="Y121" s="1" t="n"/>
      <c r="Z121" s="1" t="n"/>
    </row>
    <row r="122" ht="15.75" customHeight="1" s="311">
      <c r="A122" s="145" t="n"/>
      <c r="B122" s="145" t="n"/>
      <c r="C122" s="145" t="n"/>
      <c r="D122" s="145" t="n"/>
      <c r="E122" s="145" t="n"/>
      <c r="F122" s="145" t="n"/>
      <c r="G122" s="145" t="n"/>
      <c r="H122" s="145" t="n"/>
      <c r="I122" s="145" t="n"/>
      <c r="J122" s="145" t="n"/>
      <c r="K122" s="145" t="n"/>
      <c r="L122" s="145" t="n"/>
      <c r="M122" s="145" t="n"/>
      <c r="N122" s="1" t="n"/>
      <c r="O122" s="1" t="n"/>
      <c r="P122" s="1" t="n"/>
      <c r="Q122" s="1" t="n"/>
      <c r="R122" s="1" t="n"/>
      <c r="S122" s="1" t="n"/>
      <c r="T122" s="1" t="n"/>
      <c r="U122" s="1" t="n"/>
      <c r="V122" s="1" t="n"/>
      <c r="W122" s="1" t="n"/>
      <c r="X122" s="1" t="n"/>
      <c r="Y122" s="1" t="n"/>
      <c r="Z122" s="1" t="n"/>
    </row>
    <row r="123" ht="45.75" customHeight="1" s="311">
      <c r="A123" s="145" t="n"/>
      <c r="B123" s="99">
        <f>IF($D$104&lt;2,"🕐 Guarda al menos dos cierres mensuales y aquí aparecerá el veredicto.",IF(AND(N($D$121)&gt;0,N($D$118)&gt;=N($D$119)),"✅ VAS MEJOR. La puntuación sube "&amp;TEXT(ABS($D$121),"0.0")&amp;" puntos y "&amp;$D$118&amp;" de 9 indicadores mejoran. Mantén exactamente lo que estás haciendo: el patrimonio se mueve "&amp;TEXT($D$120,"+#,##0.00 €;-#,##0.00 €")&amp;" en el mes.",IF(AND(N($D$121)&lt;0,N($D$119)&gt;N($D$118)),"🔴 VAS PEOR. La puntuación cae "&amp;TEXT(ABS($D$121),"0.0")&amp;" puntos y "&amp;$D$119&amp;" de 9 indicadores empeoran. Mira cuáles están en rojo arriba: casi siempre el origen es que entró deuda nueva o que se acumularon facturas vencidas.","🟡 MES MIXTO. "&amp;$D$118&amp;" indicadores mejoran y "&amp;$D$119&amp;" empeoran. No hay deterioro general, pero tampoco avance claro: elige UNA sola cosa del plan de acción y llévala hasta el final este mes.")))</f>
        <v/>
      </c>
      <c r="N123" s="1" t="n"/>
      <c r="O123" s="1" t="n"/>
      <c r="P123" s="1" t="n"/>
      <c r="Q123" s="1" t="n"/>
      <c r="R123" s="1" t="n"/>
      <c r="S123" s="1" t="n"/>
      <c r="T123" s="1" t="n"/>
      <c r="U123" s="1" t="n"/>
      <c r="V123" s="1" t="n"/>
      <c r="W123" s="1" t="n"/>
      <c r="X123" s="1" t="n"/>
      <c r="Y123" s="1" t="n"/>
      <c r="Z123" s="1" t="n"/>
    </row>
    <row r="124" ht="15.75" customHeight="1" s="311">
      <c r="A124" s="145" t="n"/>
      <c r="B124" s="145" t="n"/>
      <c r="C124" s="145" t="n"/>
      <c r="D124" s="145" t="n"/>
      <c r="E124" s="145" t="n"/>
      <c r="F124" s="145" t="n"/>
      <c r="G124" s="145" t="n"/>
      <c r="H124" s="145" t="n"/>
      <c r="I124" s="145" t="n"/>
      <c r="J124" s="145" t="n"/>
      <c r="K124" s="145" t="n"/>
      <c r="L124" s="145" t="n"/>
      <c r="M124" s="145" t="n"/>
      <c r="N124" s="1" t="n"/>
      <c r="O124" s="1" t="n"/>
      <c r="P124" s="1" t="n"/>
      <c r="Q124" s="1" t="n"/>
      <c r="R124" s="1" t="n"/>
      <c r="S124" s="1" t="n"/>
      <c r="T124" s="1" t="n"/>
      <c r="U124" s="1" t="n"/>
      <c r="V124" s="1" t="n"/>
      <c r="W124" s="1" t="n"/>
      <c r="X124" s="1" t="n"/>
      <c r="Y124" s="1" t="n"/>
      <c r="Z124" s="1" t="n"/>
    </row>
    <row r="125" ht="31.5" customHeight="1" s="311">
      <c r="A125" s="145" t="n"/>
      <c r="B125" s="259">
        <f t="array" ref="B125">IF($D$104&lt;3,"","📊 DESDE EL PRIMER CIERRE ("&amp;INDEX($B$78:$B$101,1)&amp;"): el patrimonio neto ha pasado de "&amp;TEXT(INDEX($D$78:$D$101,1),"#,##0 €")&amp;" a "&amp;TEXT(INDEX($D$78:$D$101,$D$104),"#,##0 €")&amp;", la deuda de "&amp;TEXT(INDEX($E$78:$E$101,1),"#,##0 €")&amp;" a "&amp;TEXT(INDEX($E$78:$E$101,$D$104),"#,##0 €")&amp;" y el colchón de "&amp;TEXT(INDEX($G$78:$G$101,1),"0.0")&amp;" a "&amp;TEXT(INDEX($G$78:$G$101,$D$104),"0.0")&amp;" meses de gasto.")</f>
        <v/>
      </c>
      <c r="N125" s="1" t="n"/>
      <c r="O125" s="1" t="n"/>
      <c r="P125" s="1" t="n"/>
      <c r="Q125" s="1" t="n"/>
      <c r="R125" s="1" t="n"/>
      <c r="S125" s="1" t="n"/>
      <c r="T125" s="1" t="n"/>
      <c r="U125" s="1" t="n"/>
      <c r="V125" s="1" t="n"/>
      <c r="W125" s="1" t="n"/>
      <c r="X125" s="1" t="n"/>
      <c r="Y125" s="1" t="n"/>
      <c r="Z125" s="1" t="n"/>
    </row>
    <row r="126" ht="15.75" customHeight="1" s="311">
      <c r="A126" s="145" t="n"/>
      <c r="B126" s="145" t="n"/>
      <c r="C126" s="145" t="n"/>
      <c r="D126" s="145" t="n"/>
      <c r="E126" s="145" t="n"/>
      <c r="F126" s="145" t="n"/>
      <c r="G126" s="145" t="n"/>
      <c r="H126" s="145" t="n"/>
      <c r="I126" s="145" t="n"/>
      <c r="J126" s="145" t="n"/>
      <c r="K126" s="145" t="n"/>
      <c r="L126" s="145" t="n"/>
      <c r="M126" s="145" t="n"/>
      <c r="N126" s="1" t="n"/>
      <c r="O126" s="1" t="n"/>
      <c r="P126" s="1" t="n"/>
      <c r="Q126" s="1" t="n"/>
      <c r="R126" s="1" t="n"/>
      <c r="S126" s="1" t="n"/>
      <c r="T126" s="1" t="n"/>
      <c r="U126" s="1" t="n"/>
      <c r="V126" s="1" t="n"/>
      <c r="W126" s="1" t="n"/>
      <c r="X126" s="1" t="n"/>
      <c r="Y126" s="1" t="n"/>
      <c r="Z126" s="1" t="n"/>
    </row>
    <row r="127" ht="33.75" customHeight="1" s="311">
      <c r="A127" s="145" t="n"/>
      <c r="B127" s="260" t="inlineStr">
        <is>
          <t>El veredicto pesa por igual los nueve indicadores, pero no todos valen lo mismo en la vida real: mientras el colchón esté por debajo de un mes de gasto y haya facturas vencidas, esos dos mandan sobre todo lo demás. Un mes en el que suba el patrimonio pero también las facturas vencidas NO es un buen mes.</t>
        </is>
      </c>
      <c r="N127" s="1" t="n"/>
      <c r="O127" s="1" t="n"/>
      <c r="P127" s="1" t="n"/>
      <c r="Q127" s="1" t="n"/>
      <c r="R127" s="1" t="n"/>
      <c r="S127" s="1" t="n"/>
      <c r="T127" s="1" t="n"/>
      <c r="U127" s="1" t="n"/>
      <c r="V127" s="1" t="n"/>
      <c r="W127" s="1" t="n"/>
      <c r="X127" s="1" t="n"/>
      <c r="Y127" s="1" t="n"/>
      <c r="Z127" s="1" t="n"/>
    </row>
    <row r="128" ht="15.75" customHeight="1" s="311">
      <c r="A128" s="145" t="n"/>
      <c r="B128" s="145" t="n"/>
      <c r="C128" s="145" t="n"/>
      <c r="D128" s="145" t="n"/>
      <c r="E128" s="145" t="n"/>
      <c r="F128" s="145" t="n"/>
      <c r="G128" s="145" t="n"/>
      <c r="H128" s="145" t="n"/>
      <c r="I128" s="145" t="n"/>
      <c r="J128" s="145" t="n"/>
      <c r="K128" s="145" t="n"/>
      <c r="L128" s="145" t="n"/>
      <c r="M128" s="145" t="n"/>
      <c r="N128" s="1" t="n"/>
      <c r="O128" s="1" t="n"/>
      <c r="P128" s="1" t="n"/>
      <c r="Q128" s="1" t="n"/>
      <c r="R128" s="1" t="n"/>
      <c r="S128" s="1" t="n"/>
      <c r="T128" s="1" t="n"/>
      <c r="U128" s="1" t="n"/>
      <c r="V128" s="1" t="n"/>
      <c r="W128" s="1" t="n"/>
      <c r="X128" s="1" t="n"/>
      <c r="Y128" s="1" t="n"/>
      <c r="Z128" s="1" t="n"/>
    </row>
    <row r="129" ht="15.75" customHeight="1" s="311">
      <c r="A129" s="145" t="n"/>
      <c r="B129" s="145" t="n"/>
      <c r="C129" s="145" t="n"/>
      <c r="D129" s="145" t="n"/>
      <c r="E129" s="145" t="n"/>
      <c r="F129" s="145" t="n"/>
      <c r="G129" s="145" t="n"/>
      <c r="H129" s="145" t="n"/>
      <c r="I129" s="145" t="n"/>
      <c r="J129" s="145" t="n"/>
      <c r="K129" s="145" t="n"/>
      <c r="L129" s="145" t="n"/>
      <c r="M129" s="145" t="n"/>
      <c r="N129" s="1" t="n"/>
      <c r="O129" s="1" t="n"/>
      <c r="P129" s="1" t="n"/>
      <c r="Q129" s="1" t="n"/>
      <c r="R129" s="1" t="n"/>
      <c r="S129" s="1" t="n"/>
      <c r="T129" s="1" t="n"/>
      <c r="U129" s="1" t="n"/>
      <c r="V129" s="1" t="n"/>
      <c r="W129" s="1" t="n"/>
      <c r="X129" s="1" t="n"/>
      <c r="Y129" s="1" t="n"/>
      <c r="Z129" s="1" t="n"/>
    </row>
    <row r="130" ht="15.75" customHeight="1" s="311">
      <c r="A130" s="145" t="n"/>
      <c r="B130" s="145" t="n"/>
      <c r="C130" s="145" t="n"/>
      <c r="D130" s="145" t="n"/>
      <c r="E130" s="145" t="n"/>
      <c r="F130" s="145" t="n"/>
      <c r="G130" s="145" t="n"/>
      <c r="H130" s="145" t="n"/>
      <c r="I130" s="145" t="n"/>
      <c r="J130" s="145" t="n"/>
      <c r="K130" s="145" t="n"/>
      <c r="L130" s="145" t="n"/>
      <c r="M130" s="145" t="n"/>
      <c r="N130" s="1" t="n"/>
      <c r="O130" s="1" t="n"/>
      <c r="P130" s="1" t="n"/>
      <c r="Q130" s="1" t="n"/>
      <c r="R130" s="1" t="n"/>
      <c r="S130" s="1" t="n"/>
      <c r="T130" s="1" t="n"/>
      <c r="U130" s="1" t="n"/>
      <c r="V130" s="1" t="n"/>
      <c r="W130" s="1" t="n"/>
      <c r="X130" s="1" t="n"/>
      <c r="Y130" s="1" t="n"/>
      <c r="Z130" s="1" t="n"/>
    </row>
    <row r="131" ht="15.75" customHeight="1" s="311">
      <c r="A131" s="145" t="n"/>
      <c r="B131" s="145" t="n"/>
      <c r="C131" s="145" t="n"/>
      <c r="D131" s="145" t="n"/>
      <c r="E131" s="145" t="n"/>
      <c r="F131" s="145" t="n"/>
      <c r="G131" s="145" t="n"/>
      <c r="H131" s="145" t="n"/>
      <c r="I131" s="145" t="n"/>
      <c r="J131" s="145" t="n"/>
      <c r="K131" s="145" t="n"/>
      <c r="L131" s="145" t="n"/>
      <c r="M131" s="145" t="n"/>
      <c r="N131" s="1" t="n"/>
      <c r="O131" s="1" t="n"/>
      <c r="P131" s="1" t="n"/>
      <c r="Q131" s="1" t="n"/>
      <c r="R131" s="1" t="n"/>
      <c r="S131" s="1" t="n"/>
      <c r="T131" s="1" t="n"/>
      <c r="U131" s="1" t="n"/>
      <c r="V131" s="1" t="n"/>
      <c r="W131" s="1" t="n"/>
      <c r="X131" s="1" t="n"/>
      <c r="Y131" s="1" t="n"/>
      <c r="Z131" s="1" t="n"/>
    </row>
    <row r="132" ht="15.75" customHeight="1" s="311">
      <c r="A132" s="145" t="n"/>
      <c r="B132" s="145" t="n"/>
      <c r="C132" s="145" t="n"/>
      <c r="D132" s="145" t="n"/>
      <c r="E132" s="145" t="n"/>
      <c r="F132" s="145" t="n"/>
      <c r="G132" s="145" t="n"/>
      <c r="H132" s="145" t="n"/>
      <c r="I132" s="145" t="n"/>
      <c r="J132" s="145" t="n"/>
      <c r="K132" s="145" t="n"/>
      <c r="L132" s="145" t="n"/>
      <c r="M132" s="145" t="n"/>
      <c r="N132" s="1" t="n"/>
      <c r="O132" s="1" t="n"/>
      <c r="P132" s="1" t="n"/>
      <c r="Q132" s="1" t="n"/>
      <c r="R132" s="1" t="n"/>
      <c r="S132" s="1" t="n"/>
      <c r="T132" s="1" t="n"/>
      <c r="U132" s="1" t="n"/>
      <c r="V132" s="1" t="n"/>
      <c r="W132" s="1" t="n"/>
      <c r="X132" s="1" t="n"/>
      <c r="Y132" s="1" t="n"/>
      <c r="Z132" s="1" t="n"/>
    </row>
    <row r="133" ht="15.75" customHeight="1" s="311">
      <c r="A133" s="145" t="n"/>
      <c r="B133" s="145" t="n"/>
      <c r="C133" s="145" t="n"/>
      <c r="D133" s="145" t="n"/>
      <c r="E133" s="145" t="n"/>
      <c r="F133" s="145" t="n"/>
      <c r="G133" s="145" t="n"/>
      <c r="H133" s="145" t="n"/>
      <c r="I133" s="145" t="n"/>
      <c r="J133" s="145" t="n"/>
      <c r="K133" s="145" t="n"/>
      <c r="L133" s="145" t="n"/>
      <c r="M133" s="145" t="n"/>
      <c r="N133" s="1" t="n"/>
      <c r="O133" s="1" t="n"/>
      <c r="P133" s="1" t="n"/>
      <c r="Q133" s="1" t="n"/>
      <c r="R133" s="1" t="n"/>
      <c r="S133" s="1" t="n"/>
      <c r="T133" s="1" t="n"/>
      <c r="U133" s="1" t="n"/>
      <c r="V133" s="1" t="n"/>
      <c r="W133" s="1" t="n"/>
      <c r="X133" s="1" t="n"/>
      <c r="Y133" s="1" t="n"/>
      <c r="Z133" s="1" t="n"/>
    </row>
    <row r="134" ht="15.75" customHeight="1" s="311">
      <c r="A134" s="145" t="n"/>
      <c r="B134" s="145" t="n"/>
      <c r="C134" s="145" t="n"/>
      <c r="D134" s="145" t="n"/>
      <c r="E134" s="145" t="n"/>
      <c r="F134" s="145" t="n"/>
      <c r="G134" s="145" t="n"/>
      <c r="H134" s="145" t="n"/>
      <c r="I134" s="145" t="n"/>
      <c r="J134" s="145" t="n"/>
      <c r="K134" s="145" t="n"/>
      <c r="L134" s="145" t="n"/>
      <c r="M134" s="145" t="n"/>
      <c r="N134" s="1" t="n"/>
      <c r="O134" s="1" t="n"/>
      <c r="P134" s="1" t="n"/>
      <c r="Q134" s="1" t="n"/>
      <c r="R134" s="1" t="n"/>
      <c r="S134" s="1" t="n"/>
      <c r="T134" s="1" t="n"/>
      <c r="U134" s="1" t="n"/>
      <c r="V134" s="1" t="n"/>
      <c r="W134" s="1" t="n"/>
      <c r="X134" s="1" t="n"/>
      <c r="Y134" s="1" t="n"/>
      <c r="Z134" s="1" t="n"/>
    </row>
    <row r="135" ht="15.75" customHeight="1" s="311">
      <c r="A135" s="145" t="n"/>
      <c r="B135" s="145" t="n"/>
      <c r="C135" s="145" t="n"/>
      <c r="D135" s="145" t="n"/>
      <c r="E135" s="145" t="n"/>
      <c r="F135" s="145" t="n"/>
      <c r="G135" s="145" t="n"/>
      <c r="H135" s="145" t="n"/>
      <c r="I135" s="145" t="n"/>
      <c r="J135" s="145" t="n"/>
      <c r="K135" s="145" t="n"/>
      <c r="L135" s="145" t="n"/>
      <c r="M135" s="145" t="n"/>
      <c r="N135" s="1" t="n"/>
      <c r="O135" s="1" t="n"/>
      <c r="P135" s="1" t="n"/>
      <c r="Q135" s="1" t="n"/>
      <c r="R135" s="1" t="n"/>
      <c r="S135" s="1" t="n"/>
      <c r="T135" s="1" t="n"/>
      <c r="U135" s="1" t="n"/>
      <c r="V135" s="1" t="n"/>
      <c r="W135" s="1" t="n"/>
      <c r="X135" s="1" t="n"/>
      <c r="Y135" s="1" t="n"/>
      <c r="Z135" s="1" t="n"/>
    </row>
    <row r="136" ht="15.75" customHeight="1" s="311">
      <c r="A136" s="145" t="n"/>
      <c r="B136" s="145" t="n"/>
      <c r="C136" s="145" t="n"/>
      <c r="D136" s="145" t="n"/>
      <c r="E136" s="145" t="n"/>
      <c r="F136" s="145" t="n"/>
      <c r="G136" s="145" t="n"/>
      <c r="H136" s="145" t="n"/>
      <c r="I136" s="145" t="n"/>
      <c r="J136" s="145" t="n"/>
      <c r="K136" s="145" t="n"/>
      <c r="L136" s="145" t="n"/>
      <c r="M136" s="145" t="n"/>
      <c r="N136" s="1" t="n"/>
      <c r="O136" s="1" t="n"/>
      <c r="P136" s="1" t="n"/>
      <c r="Q136" s="1" t="n"/>
      <c r="R136" s="1" t="n"/>
      <c r="S136" s="1" t="n"/>
      <c r="T136" s="1" t="n"/>
      <c r="U136" s="1" t="n"/>
      <c r="V136" s="1" t="n"/>
      <c r="W136" s="1" t="n"/>
      <c r="X136" s="1" t="n"/>
      <c r="Y136" s="1" t="n"/>
      <c r="Z136" s="1" t="n"/>
    </row>
    <row r="137" ht="15.75" customHeight="1" s="311">
      <c r="A137" s="145" t="n"/>
      <c r="B137" s="145" t="n"/>
      <c r="C137" s="145" t="n"/>
      <c r="D137" s="145" t="n"/>
      <c r="E137" s="145" t="n"/>
      <c r="F137" s="145" t="n"/>
      <c r="G137" s="145" t="n"/>
      <c r="H137" s="145" t="n"/>
      <c r="I137" s="145" t="n"/>
      <c r="J137" s="145" t="n"/>
      <c r="K137" s="145" t="n"/>
      <c r="L137" s="145" t="n"/>
      <c r="M137" s="145" t="n"/>
      <c r="N137" s="1" t="n"/>
      <c r="O137" s="1" t="n"/>
      <c r="P137" s="1" t="n"/>
      <c r="Q137" s="1" t="n"/>
      <c r="R137" s="1" t="n"/>
      <c r="S137" s="1" t="n"/>
      <c r="T137" s="1" t="n"/>
      <c r="U137" s="1" t="n"/>
      <c r="V137" s="1" t="n"/>
      <c r="W137" s="1" t="n"/>
      <c r="X137" s="1" t="n"/>
      <c r="Y137" s="1" t="n"/>
      <c r="Z137" s="1" t="n"/>
    </row>
    <row r="138" ht="15.75" customHeight="1" s="311">
      <c r="A138" s="145" t="n"/>
      <c r="B138" s="145" t="n"/>
      <c r="C138" s="145" t="n"/>
      <c r="D138" s="145" t="n"/>
      <c r="E138" s="145" t="n"/>
      <c r="F138" s="145" t="n"/>
      <c r="G138" s="145" t="n"/>
      <c r="H138" s="145" t="n"/>
      <c r="I138" s="145" t="n"/>
      <c r="J138" s="145" t="n"/>
      <c r="K138" s="145" t="n"/>
      <c r="L138" s="145" t="n"/>
      <c r="M138" s="145" t="n"/>
      <c r="N138" s="1" t="n"/>
      <c r="O138" s="1" t="n"/>
      <c r="P138" s="1" t="n"/>
      <c r="Q138" s="1" t="n"/>
      <c r="R138" s="1" t="n"/>
      <c r="S138" s="1" t="n"/>
      <c r="T138" s="1" t="n"/>
      <c r="U138" s="1" t="n"/>
      <c r="V138" s="1" t="n"/>
      <c r="W138" s="1" t="n"/>
      <c r="X138" s="1" t="n"/>
      <c r="Y138" s="1" t="n"/>
      <c r="Z138" s="1" t="n"/>
    </row>
    <row r="139" ht="15.75" customHeight="1" s="311">
      <c r="A139" s="145" t="n"/>
      <c r="B139" s="145" t="n"/>
      <c r="C139" s="145" t="n"/>
      <c r="D139" s="145" t="n"/>
      <c r="E139" s="145" t="n"/>
      <c r="F139" s="145" t="n"/>
      <c r="G139" s="145" t="n"/>
      <c r="H139" s="145" t="n"/>
      <c r="I139" s="145" t="n"/>
      <c r="J139" s="145" t="n"/>
      <c r="K139" s="145" t="n"/>
      <c r="L139" s="145" t="n"/>
      <c r="M139" s="145" t="n"/>
      <c r="N139" s="1" t="n"/>
      <c r="O139" s="1" t="n"/>
      <c r="P139" s="1" t="n"/>
      <c r="Q139" s="1" t="n"/>
      <c r="R139" s="1" t="n"/>
      <c r="S139" s="1" t="n"/>
      <c r="T139" s="1" t="n"/>
      <c r="U139" s="1" t="n"/>
      <c r="V139" s="1" t="n"/>
      <c r="W139" s="1" t="n"/>
      <c r="X139" s="1" t="n"/>
      <c r="Y139" s="1" t="n"/>
      <c r="Z139" s="1" t="n"/>
    </row>
    <row r="140" ht="15.75" customHeight="1" s="311">
      <c r="A140" s="145" t="n"/>
      <c r="B140" s="145" t="n"/>
      <c r="C140" s="145" t="n"/>
      <c r="D140" s="145" t="n"/>
      <c r="E140" s="145" t="n"/>
      <c r="F140" s="145" t="n"/>
      <c r="G140" s="145" t="n"/>
      <c r="H140" s="145" t="n"/>
      <c r="I140" s="145" t="n"/>
      <c r="J140" s="145" t="n"/>
      <c r="K140" s="145" t="n"/>
      <c r="L140" s="145" t="n"/>
      <c r="M140" s="145" t="n"/>
      <c r="N140" s="1" t="n"/>
      <c r="O140" s="1" t="n"/>
      <c r="P140" s="1" t="n"/>
      <c r="Q140" s="1" t="n"/>
      <c r="R140" s="1" t="n"/>
      <c r="S140" s="1" t="n"/>
      <c r="T140" s="1" t="n"/>
      <c r="U140" s="1" t="n"/>
      <c r="V140" s="1" t="n"/>
      <c r="W140" s="1" t="n"/>
      <c r="X140" s="1" t="n"/>
      <c r="Y140" s="1" t="n"/>
      <c r="Z140" s="1" t="n"/>
    </row>
    <row r="141" ht="15.75" customHeight="1" s="311">
      <c r="A141" s="145" t="n"/>
      <c r="B141" s="145" t="n"/>
      <c r="C141" s="145" t="n"/>
      <c r="D141" s="145" t="n"/>
      <c r="E141" s="145" t="n"/>
      <c r="F141" s="145" t="n"/>
      <c r="G141" s="145" t="n"/>
      <c r="H141" s="145" t="n"/>
      <c r="I141" s="145" t="n"/>
      <c r="J141" s="145" t="n"/>
      <c r="K141" s="145" t="n"/>
      <c r="L141" s="145" t="n"/>
      <c r="M141" s="145" t="n"/>
      <c r="N141" s="1" t="n"/>
      <c r="O141" s="1" t="n"/>
      <c r="P141" s="1" t="n"/>
      <c r="Q141" s="1" t="n"/>
      <c r="R141" s="1" t="n"/>
      <c r="S141" s="1" t="n"/>
      <c r="T141" s="1" t="n"/>
      <c r="U141" s="1" t="n"/>
      <c r="V141" s="1" t="n"/>
      <c r="W141" s="1" t="n"/>
      <c r="X141" s="1" t="n"/>
      <c r="Y141" s="1" t="n"/>
      <c r="Z141" s="1" t="n"/>
    </row>
    <row r="142" ht="15.75" customHeight="1" s="311">
      <c r="A142" s="145" t="n"/>
      <c r="B142" s="145" t="n"/>
      <c r="C142" s="145" t="n"/>
      <c r="D142" s="145" t="n"/>
      <c r="E142" s="145" t="n"/>
      <c r="F142" s="145" t="n"/>
      <c r="G142" s="145" t="n"/>
      <c r="H142" s="145" t="n"/>
      <c r="I142" s="145" t="n"/>
      <c r="J142" s="145" t="n"/>
      <c r="K142" s="145" t="n"/>
      <c r="L142" s="145" t="n"/>
      <c r="M142" s="145" t="n"/>
      <c r="N142" s="1" t="n"/>
      <c r="O142" s="1" t="n"/>
      <c r="P142" s="1" t="n"/>
      <c r="Q142" s="1" t="n"/>
      <c r="R142" s="1" t="n"/>
      <c r="S142" s="1" t="n"/>
      <c r="T142" s="1" t="n"/>
      <c r="U142" s="1" t="n"/>
      <c r="V142" s="1" t="n"/>
      <c r="W142" s="1" t="n"/>
      <c r="X142" s="1" t="n"/>
      <c r="Y142" s="1" t="n"/>
      <c r="Z142" s="1" t="n"/>
    </row>
    <row r="143" ht="15.75" customHeight="1" s="311">
      <c r="A143" s="145" t="n"/>
      <c r="B143" s="145" t="n"/>
      <c r="C143" s="145" t="n"/>
      <c r="D143" s="145" t="n"/>
      <c r="E143" s="145" t="n"/>
      <c r="F143" s="145" t="n"/>
      <c r="G143" s="145" t="n"/>
      <c r="H143" s="145" t="n"/>
      <c r="I143" s="145" t="n"/>
      <c r="J143" s="145" t="n"/>
      <c r="K143" s="145" t="n"/>
      <c r="L143" s="145" t="n"/>
      <c r="M143" s="145" t="n"/>
      <c r="N143" s="1" t="n"/>
      <c r="O143" s="1" t="n"/>
      <c r="P143" s="1" t="n"/>
      <c r="Q143" s="1" t="n"/>
      <c r="R143" s="1" t="n"/>
      <c r="S143" s="1" t="n"/>
      <c r="T143" s="1" t="n"/>
      <c r="U143" s="1" t="n"/>
      <c r="V143" s="1" t="n"/>
      <c r="W143" s="1" t="n"/>
      <c r="X143" s="1" t="n"/>
      <c r="Y143" s="1" t="n"/>
      <c r="Z143" s="1" t="n"/>
    </row>
    <row r="144" ht="15.75" customHeight="1" s="311">
      <c r="A144" s="145" t="n"/>
      <c r="B144" s="145" t="n"/>
      <c r="C144" s="145" t="n"/>
      <c r="D144" s="145" t="n"/>
      <c r="E144" s="145" t="n"/>
      <c r="F144" s="145" t="n"/>
      <c r="G144" s="145" t="n"/>
      <c r="H144" s="145" t="n"/>
      <c r="I144" s="145" t="n"/>
      <c r="J144" s="145" t="n"/>
      <c r="K144" s="145" t="n"/>
      <c r="L144" s="145" t="n"/>
      <c r="M144" s="145" t="n"/>
      <c r="N144" s="1" t="n"/>
      <c r="O144" s="1" t="n"/>
      <c r="P144" s="1" t="n"/>
      <c r="Q144" s="1" t="n"/>
      <c r="R144" s="1" t="n"/>
      <c r="S144" s="1" t="n"/>
      <c r="T144" s="1" t="n"/>
      <c r="U144" s="1" t="n"/>
      <c r="V144" s="1" t="n"/>
      <c r="W144" s="1" t="n"/>
      <c r="X144" s="1" t="n"/>
      <c r="Y144" s="1" t="n"/>
      <c r="Z144" s="1" t="n"/>
    </row>
    <row r="145" ht="15.75" customHeight="1" s="311">
      <c r="A145" s="145" t="n"/>
      <c r="B145" s="145" t="n"/>
      <c r="C145" s="145" t="n"/>
      <c r="D145" s="145" t="n"/>
      <c r="E145" s="145" t="n"/>
      <c r="F145" s="145" t="n"/>
      <c r="G145" s="145" t="n"/>
      <c r="H145" s="145" t="n"/>
      <c r="I145" s="145" t="n"/>
      <c r="J145" s="145" t="n"/>
      <c r="K145" s="145" t="n"/>
      <c r="L145" s="145" t="n"/>
      <c r="M145" s="145" t="n"/>
      <c r="N145" s="1" t="n"/>
      <c r="O145" s="1" t="n"/>
      <c r="P145" s="1" t="n"/>
      <c r="Q145" s="1" t="n"/>
      <c r="R145" s="1" t="n"/>
      <c r="S145" s="1" t="n"/>
      <c r="T145" s="1" t="n"/>
      <c r="U145" s="1" t="n"/>
      <c r="V145" s="1" t="n"/>
      <c r="W145" s="1" t="n"/>
      <c r="X145" s="1" t="n"/>
      <c r="Y145" s="1" t="n"/>
      <c r="Z145" s="1" t="n"/>
    </row>
    <row r="146" ht="15.75" customHeight="1" s="311">
      <c r="A146" s="145" t="n"/>
      <c r="B146" s="145" t="n"/>
      <c r="C146" s="145" t="n"/>
      <c r="D146" s="145" t="n"/>
      <c r="E146" s="145" t="n"/>
      <c r="F146" s="145" t="n"/>
      <c r="G146" s="145" t="n"/>
      <c r="H146" s="145" t="n"/>
      <c r="I146" s="145" t="n"/>
      <c r="J146" s="145" t="n"/>
      <c r="K146" s="145" t="n"/>
      <c r="L146" s="145" t="n"/>
      <c r="M146" s="145" t="n"/>
      <c r="N146" s="1" t="n"/>
      <c r="O146" s="1" t="n"/>
      <c r="P146" s="1" t="n"/>
      <c r="Q146" s="1" t="n"/>
      <c r="R146" s="1" t="n"/>
      <c r="S146" s="1" t="n"/>
      <c r="T146" s="1" t="n"/>
      <c r="U146" s="1" t="n"/>
      <c r="V146" s="1" t="n"/>
      <c r="W146" s="1" t="n"/>
      <c r="X146" s="1" t="n"/>
      <c r="Y146" s="1" t="n"/>
      <c r="Z146" s="1" t="n"/>
    </row>
    <row r="147" ht="15.75" customHeight="1" s="311">
      <c r="A147" s="145" t="n"/>
      <c r="B147" s="145" t="n"/>
      <c r="C147" s="145" t="n"/>
      <c r="D147" s="145" t="n"/>
      <c r="E147" s="145" t="n"/>
      <c r="F147" s="145" t="n"/>
      <c r="G147" s="145" t="n"/>
      <c r="H147" s="145" t="n"/>
      <c r="I147" s="145" t="n"/>
      <c r="J147" s="145" t="n"/>
      <c r="K147" s="145" t="n"/>
      <c r="L147" s="145" t="n"/>
      <c r="M147" s="145" t="n"/>
      <c r="N147" s="1" t="n"/>
      <c r="O147" s="1" t="n"/>
      <c r="P147" s="1" t="n"/>
      <c r="Q147" s="1" t="n"/>
      <c r="R147" s="1" t="n"/>
      <c r="S147" s="1" t="n"/>
      <c r="T147" s="1" t="n"/>
      <c r="U147" s="1" t="n"/>
      <c r="V147" s="1" t="n"/>
      <c r="W147" s="1" t="n"/>
      <c r="X147" s="1" t="n"/>
      <c r="Y147" s="1" t="n"/>
      <c r="Z147" s="1" t="n"/>
    </row>
    <row r="148" ht="15.75" customHeight="1" s="311">
      <c r="A148" s="145" t="n"/>
      <c r="B148" s="145" t="n"/>
      <c r="C148" s="145" t="n"/>
      <c r="D148" s="145" t="n"/>
      <c r="E148" s="145" t="n"/>
      <c r="F148" s="145" t="n"/>
      <c r="G148" s="145" t="n"/>
      <c r="H148" s="145" t="n"/>
      <c r="I148" s="145" t="n"/>
      <c r="J148" s="145" t="n"/>
      <c r="K148" s="145" t="n"/>
      <c r="L148" s="145" t="n"/>
      <c r="M148" s="145" t="n"/>
      <c r="N148" s="1" t="n"/>
      <c r="O148" s="1" t="n"/>
      <c r="P148" s="1" t="n"/>
      <c r="Q148" s="1" t="n"/>
      <c r="R148" s="1" t="n"/>
      <c r="S148" s="1" t="n"/>
      <c r="T148" s="1" t="n"/>
      <c r="U148" s="1" t="n"/>
      <c r="V148" s="1" t="n"/>
      <c r="W148" s="1" t="n"/>
      <c r="X148" s="1" t="n"/>
      <c r="Y148" s="1" t="n"/>
      <c r="Z148" s="1" t="n"/>
    </row>
    <row r="149" ht="15.75" customHeight="1" s="311">
      <c r="A149" s="145" t="n"/>
      <c r="B149" s="145" t="n"/>
      <c r="C149" s="145" t="n"/>
      <c r="D149" s="145" t="n"/>
      <c r="E149" s="145" t="n"/>
      <c r="F149" s="145" t="n"/>
      <c r="G149" s="145" t="n"/>
      <c r="H149" s="145" t="n"/>
      <c r="I149" s="145" t="n"/>
      <c r="J149" s="145" t="n"/>
      <c r="K149" s="145" t="n"/>
      <c r="L149" s="145" t="n"/>
      <c r="M149" s="145" t="n"/>
      <c r="N149" s="1" t="n"/>
      <c r="O149" s="1" t="n"/>
      <c r="P149" s="1" t="n"/>
      <c r="Q149" s="1" t="n"/>
      <c r="R149" s="1" t="n"/>
      <c r="S149" s="1" t="n"/>
      <c r="T149" s="1" t="n"/>
      <c r="U149" s="1" t="n"/>
      <c r="V149" s="1" t="n"/>
      <c r="W149" s="1" t="n"/>
      <c r="X149" s="1" t="n"/>
      <c r="Y149" s="1" t="n"/>
      <c r="Z149" s="1" t="n"/>
    </row>
    <row r="150" ht="15.75" customHeight="1" s="311">
      <c r="A150" s="145" t="n"/>
      <c r="B150" s="145" t="n"/>
      <c r="C150" s="145" t="n"/>
      <c r="D150" s="145" t="n"/>
      <c r="E150" s="145" t="n"/>
      <c r="F150" s="145" t="n"/>
      <c r="G150" s="145" t="n"/>
      <c r="H150" s="145" t="n"/>
      <c r="I150" s="145" t="n"/>
      <c r="J150" s="145" t="n"/>
      <c r="K150" s="145" t="n"/>
      <c r="L150" s="145" t="n"/>
      <c r="M150" s="145" t="n"/>
      <c r="N150" s="1" t="n"/>
      <c r="O150" s="1" t="n"/>
      <c r="P150" s="1" t="n"/>
      <c r="Q150" s="1" t="n"/>
      <c r="R150" s="1" t="n"/>
      <c r="S150" s="1" t="n"/>
      <c r="T150" s="1" t="n"/>
      <c r="U150" s="1" t="n"/>
      <c r="V150" s="1" t="n"/>
      <c r="W150" s="1" t="n"/>
      <c r="X150" s="1" t="n"/>
      <c r="Y150" s="1" t="n"/>
      <c r="Z150" s="1" t="n"/>
    </row>
    <row r="151" ht="15.75" customHeight="1" s="311">
      <c r="A151" s="145" t="n"/>
      <c r="B151" s="145" t="n"/>
      <c r="C151" s="145" t="n"/>
      <c r="D151" s="145" t="n"/>
      <c r="E151" s="145" t="n"/>
      <c r="F151" s="145" t="n"/>
      <c r="G151" s="145" t="n"/>
      <c r="H151" s="145" t="n"/>
      <c r="I151" s="145" t="n"/>
      <c r="J151" s="145" t="n"/>
      <c r="K151" s="145" t="n"/>
      <c r="L151" s="145" t="n"/>
      <c r="M151" s="145" t="n"/>
      <c r="N151" s="1" t="n"/>
      <c r="O151" s="1" t="n"/>
      <c r="P151" s="1" t="n"/>
      <c r="Q151" s="1" t="n"/>
      <c r="R151" s="1" t="n"/>
      <c r="S151" s="1" t="n"/>
      <c r="T151" s="1" t="n"/>
      <c r="U151" s="1" t="n"/>
      <c r="V151" s="1" t="n"/>
      <c r="W151" s="1" t="n"/>
      <c r="X151" s="1" t="n"/>
      <c r="Y151" s="1" t="n"/>
      <c r="Z151" s="1" t="n"/>
    </row>
    <row r="152" ht="15.75" customHeight="1" s="311">
      <c r="A152" s="145" t="n"/>
      <c r="B152" s="145" t="n"/>
      <c r="C152" s="145" t="n"/>
      <c r="D152" s="145" t="n"/>
      <c r="E152" s="145" t="n"/>
      <c r="F152" s="145" t="n"/>
      <c r="G152" s="145" t="n"/>
      <c r="H152" s="145" t="n"/>
      <c r="I152" s="145" t="n"/>
      <c r="J152" s="145" t="n"/>
      <c r="K152" s="145" t="n"/>
      <c r="L152" s="145" t="n"/>
      <c r="M152" s="145" t="n"/>
      <c r="N152" s="1" t="n"/>
      <c r="O152" s="1" t="n"/>
      <c r="P152" s="1" t="n"/>
      <c r="Q152" s="1" t="n"/>
      <c r="R152" s="1" t="n"/>
      <c r="S152" s="1" t="n"/>
      <c r="T152" s="1" t="n"/>
      <c r="U152" s="1" t="n"/>
      <c r="V152" s="1" t="n"/>
      <c r="W152" s="1" t="n"/>
      <c r="X152" s="1" t="n"/>
      <c r="Y152" s="1" t="n"/>
      <c r="Z152" s="1" t="n"/>
    </row>
    <row r="153" ht="15.75" customHeight="1" s="311">
      <c r="A153" s="145" t="n"/>
      <c r="B153" s="145" t="n"/>
      <c r="C153" s="145" t="n"/>
      <c r="D153" s="145" t="n"/>
      <c r="E153" s="145" t="n"/>
      <c r="F153" s="145" t="n"/>
      <c r="G153" s="145" t="n"/>
      <c r="H153" s="145" t="n"/>
      <c r="I153" s="145" t="n"/>
      <c r="J153" s="145" t="n"/>
      <c r="K153" s="145" t="n"/>
      <c r="L153" s="145" t="n"/>
      <c r="M153" s="145" t="n"/>
      <c r="N153" s="1" t="n"/>
      <c r="O153" s="1" t="n"/>
      <c r="P153" s="1" t="n"/>
      <c r="Q153" s="1" t="n"/>
      <c r="R153" s="1" t="n"/>
      <c r="S153" s="1" t="n"/>
      <c r="T153" s="1" t="n"/>
      <c r="U153" s="1" t="n"/>
      <c r="V153" s="1" t="n"/>
      <c r="W153" s="1" t="n"/>
      <c r="X153" s="1" t="n"/>
      <c r="Y153" s="1" t="n"/>
      <c r="Z153" s="1" t="n"/>
    </row>
    <row r="154" ht="15.75" customHeight="1" s="311">
      <c r="A154" s="145" t="n"/>
      <c r="B154" s="145" t="n"/>
      <c r="C154" s="145" t="n"/>
      <c r="D154" s="145" t="n"/>
      <c r="E154" s="145" t="n"/>
      <c r="F154" s="145" t="n"/>
      <c r="G154" s="145" t="n"/>
      <c r="H154" s="145" t="n"/>
      <c r="I154" s="145" t="n"/>
      <c r="J154" s="145" t="n"/>
      <c r="K154" s="145" t="n"/>
      <c r="L154" s="145" t="n"/>
      <c r="M154" s="145" t="n"/>
      <c r="N154" s="1" t="n"/>
      <c r="O154" s="1" t="n"/>
      <c r="P154" s="1" t="n"/>
      <c r="Q154" s="1" t="n"/>
      <c r="R154" s="1" t="n"/>
      <c r="S154" s="1" t="n"/>
      <c r="T154" s="1" t="n"/>
      <c r="U154" s="1" t="n"/>
      <c r="V154" s="1" t="n"/>
      <c r="W154" s="1" t="n"/>
      <c r="X154" s="1" t="n"/>
      <c r="Y154" s="1" t="n"/>
      <c r="Z154" s="1" t="n"/>
    </row>
    <row r="155" ht="15.75" customHeight="1" s="311">
      <c r="A155" s="145" t="n"/>
      <c r="B155" s="145" t="n"/>
      <c r="C155" s="145" t="n"/>
      <c r="D155" s="145" t="n"/>
      <c r="E155" s="145" t="n"/>
      <c r="F155" s="145" t="n"/>
      <c r="G155" s="145" t="n"/>
      <c r="H155" s="145" t="n"/>
      <c r="I155" s="145" t="n"/>
      <c r="J155" s="145" t="n"/>
      <c r="K155" s="145" t="n"/>
      <c r="L155" s="145" t="n"/>
      <c r="M155" s="145" t="n"/>
      <c r="N155" s="1" t="n"/>
      <c r="O155" s="1" t="n"/>
      <c r="P155" s="1" t="n"/>
      <c r="Q155" s="1" t="n"/>
      <c r="R155" s="1" t="n"/>
      <c r="S155" s="1" t="n"/>
      <c r="T155" s="1" t="n"/>
      <c r="U155" s="1" t="n"/>
      <c r="V155" s="1" t="n"/>
      <c r="W155" s="1" t="n"/>
      <c r="X155" s="1" t="n"/>
      <c r="Y155" s="1" t="n"/>
      <c r="Z155" s="1" t="n"/>
    </row>
    <row r="156" ht="15.75" customHeight="1" s="311">
      <c r="A156" s="145" t="n"/>
      <c r="B156" s="145" t="n"/>
      <c r="C156" s="145" t="n"/>
      <c r="D156" s="145" t="n"/>
      <c r="E156" s="145" t="n"/>
      <c r="F156" s="145" t="n"/>
      <c r="G156" s="145" t="n"/>
      <c r="H156" s="145" t="n"/>
      <c r="I156" s="145" t="n"/>
      <c r="J156" s="145" t="n"/>
      <c r="K156" s="145" t="n"/>
      <c r="L156" s="145" t="n"/>
      <c r="M156" s="145" t="n"/>
      <c r="N156" s="1" t="n"/>
      <c r="O156" s="1" t="n"/>
      <c r="P156" s="1" t="n"/>
      <c r="Q156" s="1" t="n"/>
      <c r="R156" s="1" t="n"/>
      <c r="S156" s="1" t="n"/>
      <c r="T156" s="1" t="n"/>
      <c r="U156" s="1" t="n"/>
      <c r="V156" s="1" t="n"/>
      <c r="W156" s="1" t="n"/>
      <c r="X156" s="1" t="n"/>
      <c r="Y156" s="1" t="n"/>
      <c r="Z156" s="1" t="n"/>
    </row>
    <row r="157" ht="15.75" customHeight="1" s="311">
      <c r="A157" s="145" t="n"/>
      <c r="B157" s="145" t="n"/>
      <c r="C157" s="145" t="n"/>
      <c r="D157" s="145" t="n"/>
      <c r="E157" s="145" t="n"/>
      <c r="F157" s="145" t="n"/>
      <c r="G157" s="145" t="n"/>
      <c r="H157" s="145" t="n"/>
      <c r="I157" s="145" t="n"/>
      <c r="J157" s="145" t="n"/>
      <c r="K157" s="145" t="n"/>
      <c r="L157" s="145" t="n"/>
      <c r="M157" s="145" t="n"/>
      <c r="N157" s="1" t="n"/>
      <c r="O157" s="1" t="n"/>
      <c r="P157" s="1" t="n"/>
      <c r="Q157" s="1" t="n"/>
      <c r="R157" s="1" t="n"/>
      <c r="S157" s="1" t="n"/>
      <c r="T157" s="1" t="n"/>
      <c r="U157" s="1" t="n"/>
      <c r="V157" s="1" t="n"/>
      <c r="W157" s="1" t="n"/>
      <c r="X157" s="1" t="n"/>
      <c r="Y157" s="1" t="n"/>
      <c r="Z157" s="1" t="n"/>
    </row>
    <row r="158" ht="15.75" customHeight="1" s="311">
      <c r="A158" s="145" t="n"/>
      <c r="B158" s="145" t="n"/>
      <c r="C158" s="145" t="n"/>
      <c r="D158" s="145" t="n"/>
      <c r="E158" s="145" t="n"/>
      <c r="F158" s="145" t="n"/>
      <c r="G158" s="145" t="n"/>
      <c r="H158" s="145" t="n"/>
      <c r="I158" s="145" t="n"/>
      <c r="J158" s="145" t="n"/>
      <c r="K158" s="145" t="n"/>
      <c r="L158" s="145" t="n"/>
      <c r="M158" s="145" t="n"/>
      <c r="N158" s="1" t="n"/>
      <c r="O158" s="1" t="n"/>
      <c r="P158" s="1" t="n"/>
      <c r="Q158" s="1" t="n"/>
      <c r="R158" s="1" t="n"/>
      <c r="S158" s="1" t="n"/>
      <c r="T158" s="1" t="n"/>
      <c r="U158" s="1" t="n"/>
      <c r="V158" s="1" t="n"/>
      <c r="W158" s="1" t="n"/>
      <c r="X158" s="1" t="n"/>
      <c r="Y158" s="1" t="n"/>
      <c r="Z158" s="1" t="n"/>
    </row>
    <row r="159" ht="15.75" customHeight="1" s="311">
      <c r="A159" s="145" t="n"/>
      <c r="B159" s="145" t="n"/>
      <c r="C159" s="145" t="n"/>
      <c r="D159" s="145" t="n"/>
      <c r="E159" s="145" t="n"/>
      <c r="F159" s="145" t="n"/>
      <c r="G159" s="145" t="n"/>
      <c r="H159" s="145" t="n"/>
      <c r="I159" s="145" t="n"/>
      <c r="J159" s="145" t="n"/>
      <c r="K159" s="145" t="n"/>
      <c r="L159" s="145" t="n"/>
      <c r="M159" s="145" t="n"/>
      <c r="N159" s="1" t="n"/>
      <c r="O159" s="1" t="n"/>
      <c r="P159" s="1" t="n"/>
      <c r="Q159" s="1" t="n"/>
      <c r="R159" s="1" t="n"/>
      <c r="S159" s="1" t="n"/>
      <c r="T159" s="1" t="n"/>
      <c r="U159" s="1" t="n"/>
      <c r="V159" s="1" t="n"/>
      <c r="W159" s="1" t="n"/>
      <c r="X159" s="1" t="n"/>
      <c r="Y159" s="1" t="n"/>
      <c r="Z159" s="1" t="n"/>
    </row>
    <row r="160" ht="15.75" customHeight="1" s="311">
      <c r="A160" s="145" t="n"/>
      <c r="B160" s="145" t="n"/>
      <c r="C160" s="145" t="n"/>
      <c r="D160" s="145" t="n"/>
      <c r="E160" s="145" t="n"/>
      <c r="F160" s="145" t="n"/>
      <c r="G160" s="145" t="n"/>
      <c r="H160" s="145" t="n"/>
      <c r="I160" s="145" t="n"/>
      <c r="J160" s="145" t="n"/>
      <c r="K160" s="145" t="n"/>
      <c r="L160" s="145" t="n"/>
      <c r="M160" s="145" t="n"/>
      <c r="N160" s="1" t="n"/>
      <c r="O160" s="1" t="n"/>
      <c r="P160" s="1" t="n"/>
      <c r="Q160" s="1" t="n"/>
      <c r="R160" s="1" t="n"/>
      <c r="S160" s="1" t="n"/>
      <c r="T160" s="1" t="n"/>
      <c r="U160" s="1" t="n"/>
      <c r="V160" s="1" t="n"/>
      <c r="W160" s="1" t="n"/>
      <c r="X160" s="1" t="n"/>
      <c r="Y160" s="1" t="n"/>
      <c r="Z160" s="1" t="n"/>
    </row>
    <row r="161" ht="15.75" customHeight="1" s="311">
      <c r="A161" s="145" t="n"/>
      <c r="B161" s="145" t="n"/>
      <c r="C161" s="145" t="n"/>
      <c r="D161" s="145" t="n"/>
      <c r="E161" s="145" t="n"/>
      <c r="F161" s="145" t="n"/>
      <c r="G161" s="145" t="n"/>
      <c r="H161" s="145" t="n"/>
      <c r="I161" s="145" t="n"/>
      <c r="J161" s="145" t="n"/>
      <c r="K161" s="145" t="n"/>
      <c r="L161" s="145" t="n"/>
      <c r="M161" s="145" t="n"/>
      <c r="N161" s="1" t="n"/>
      <c r="O161" s="1" t="n"/>
      <c r="P161" s="1" t="n"/>
      <c r="Q161" s="1" t="n"/>
      <c r="R161" s="1" t="n"/>
      <c r="S161" s="1" t="n"/>
      <c r="T161" s="1" t="n"/>
      <c r="U161" s="1" t="n"/>
      <c r="V161" s="1" t="n"/>
      <c r="W161" s="1" t="n"/>
      <c r="X161" s="1" t="n"/>
      <c r="Y161" s="1" t="n"/>
      <c r="Z161" s="1" t="n"/>
    </row>
    <row r="162" ht="15.75" customHeight="1" s="311">
      <c r="A162" s="145" t="n"/>
      <c r="B162" s="145" t="n"/>
      <c r="C162" s="145" t="n"/>
      <c r="D162" s="145" t="n"/>
      <c r="E162" s="145" t="n"/>
      <c r="F162" s="145" t="n"/>
      <c r="G162" s="145" t="n"/>
      <c r="H162" s="145" t="n"/>
      <c r="I162" s="145" t="n"/>
      <c r="J162" s="145" t="n"/>
      <c r="K162" s="145" t="n"/>
      <c r="L162" s="145" t="n"/>
      <c r="M162" s="145" t="n"/>
      <c r="N162" s="1" t="n"/>
      <c r="O162" s="1" t="n"/>
      <c r="P162" s="1" t="n"/>
      <c r="Q162" s="1" t="n"/>
      <c r="R162" s="1" t="n"/>
      <c r="S162" s="1" t="n"/>
      <c r="T162" s="1" t="n"/>
      <c r="U162" s="1" t="n"/>
      <c r="V162" s="1" t="n"/>
      <c r="W162" s="1" t="n"/>
      <c r="X162" s="1" t="n"/>
      <c r="Y162" s="1" t="n"/>
      <c r="Z162" s="1" t="n"/>
    </row>
    <row r="163" ht="15.75" customHeight="1" s="311">
      <c r="A163" s="145" t="n"/>
      <c r="B163" s="145" t="n"/>
      <c r="C163" s="145" t="n"/>
      <c r="D163" s="145" t="n"/>
      <c r="E163" s="145" t="n"/>
      <c r="F163" s="145" t="n"/>
      <c r="G163" s="145" t="n"/>
      <c r="H163" s="145" t="n"/>
      <c r="I163" s="145" t="n"/>
      <c r="J163" s="145" t="n"/>
      <c r="K163" s="145" t="n"/>
      <c r="L163" s="145" t="n"/>
      <c r="M163" s="145" t="n"/>
      <c r="N163" s="1" t="n"/>
      <c r="O163" s="1" t="n"/>
      <c r="P163" s="1" t="n"/>
      <c r="Q163" s="1" t="n"/>
      <c r="R163" s="1" t="n"/>
      <c r="S163" s="1" t="n"/>
      <c r="T163" s="1" t="n"/>
      <c r="U163" s="1" t="n"/>
      <c r="V163" s="1" t="n"/>
      <c r="W163" s="1" t="n"/>
      <c r="X163" s="1" t="n"/>
      <c r="Y163" s="1" t="n"/>
      <c r="Z163" s="1" t="n"/>
    </row>
    <row r="164" ht="15.75" customHeight="1" s="311">
      <c r="A164" s="145" t="n"/>
      <c r="B164" s="145" t="n"/>
      <c r="C164" s="145" t="n"/>
      <c r="D164" s="145" t="n"/>
      <c r="E164" s="145" t="n"/>
      <c r="F164" s="145" t="n"/>
      <c r="G164" s="145" t="n"/>
      <c r="H164" s="145" t="n"/>
      <c r="I164" s="145" t="n"/>
      <c r="J164" s="145" t="n"/>
      <c r="K164" s="145" t="n"/>
      <c r="L164" s="145" t="n"/>
      <c r="M164" s="145" t="n"/>
      <c r="N164" s="1" t="n"/>
      <c r="O164" s="1" t="n"/>
      <c r="P164" s="1" t="n"/>
      <c r="Q164" s="1" t="n"/>
      <c r="R164" s="1" t="n"/>
      <c r="S164" s="1" t="n"/>
      <c r="T164" s="1" t="n"/>
      <c r="U164" s="1" t="n"/>
      <c r="V164" s="1" t="n"/>
      <c r="W164" s="1" t="n"/>
      <c r="X164" s="1" t="n"/>
      <c r="Y164" s="1" t="n"/>
      <c r="Z164" s="1" t="n"/>
    </row>
    <row r="165" ht="15.75" customHeight="1" s="311">
      <c r="A165" s="145" t="n"/>
      <c r="B165" s="145" t="n"/>
      <c r="C165" s="145" t="n"/>
      <c r="D165" s="145" t="n"/>
      <c r="E165" s="145" t="n"/>
      <c r="F165" s="145" t="n"/>
      <c r="G165" s="145" t="n"/>
      <c r="H165" s="145" t="n"/>
      <c r="I165" s="145" t="n"/>
      <c r="J165" s="145" t="n"/>
      <c r="K165" s="145" t="n"/>
      <c r="L165" s="145" t="n"/>
      <c r="M165" s="145" t="n"/>
      <c r="N165" s="1" t="n"/>
      <c r="O165" s="1" t="n"/>
      <c r="P165" s="1" t="n"/>
      <c r="Q165" s="1" t="n"/>
      <c r="R165" s="1" t="n"/>
      <c r="S165" s="1" t="n"/>
      <c r="T165" s="1" t="n"/>
      <c r="U165" s="1" t="n"/>
      <c r="V165" s="1" t="n"/>
      <c r="W165" s="1" t="n"/>
      <c r="X165" s="1" t="n"/>
      <c r="Y165" s="1" t="n"/>
      <c r="Z165" s="1" t="n"/>
    </row>
    <row r="166" ht="15.75" customHeight="1" s="311">
      <c r="A166" s="145" t="n"/>
      <c r="B166" s="145" t="n"/>
      <c r="C166" s="145" t="n"/>
      <c r="D166" s="145" t="n"/>
      <c r="E166" s="145" t="n"/>
      <c r="F166" s="145" t="n"/>
      <c r="G166" s="145" t="n"/>
      <c r="H166" s="145" t="n"/>
      <c r="I166" s="145" t="n"/>
      <c r="J166" s="145" t="n"/>
      <c r="K166" s="145" t="n"/>
      <c r="L166" s="145" t="n"/>
      <c r="M166" s="145" t="n"/>
      <c r="N166" s="1" t="n"/>
      <c r="O166" s="1" t="n"/>
      <c r="P166" s="1" t="n"/>
      <c r="Q166" s="1" t="n"/>
      <c r="R166" s="1" t="n"/>
      <c r="S166" s="1" t="n"/>
      <c r="T166" s="1" t="n"/>
      <c r="U166" s="1" t="n"/>
      <c r="V166" s="1" t="n"/>
      <c r="W166" s="1" t="n"/>
      <c r="X166" s="1" t="n"/>
      <c r="Y166" s="1" t="n"/>
      <c r="Z166" s="1" t="n"/>
    </row>
    <row r="167" ht="15.75" customHeight="1" s="311">
      <c r="A167" s="145" t="n"/>
      <c r="B167" s="145" t="n"/>
      <c r="C167" s="145" t="n"/>
      <c r="D167" s="145" t="n"/>
      <c r="E167" s="145" t="n"/>
      <c r="F167" s="145" t="n"/>
      <c r="G167" s="145" t="n"/>
      <c r="H167" s="145" t="n"/>
      <c r="I167" s="145" t="n"/>
      <c r="J167" s="145" t="n"/>
      <c r="K167" s="145" t="n"/>
      <c r="L167" s="145" t="n"/>
      <c r="M167" s="145" t="n"/>
      <c r="N167" s="1" t="n"/>
      <c r="O167" s="1" t="n"/>
      <c r="P167" s="1" t="n"/>
      <c r="Q167" s="1" t="n"/>
      <c r="R167" s="1" t="n"/>
      <c r="S167" s="1" t="n"/>
      <c r="T167" s="1" t="n"/>
      <c r="U167" s="1" t="n"/>
      <c r="V167" s="1" t="n"/>
      <c r="W167" s="1" t="n"/>
      <c r="X167" s="1" t="n"/>
      <c r="Y167" s="1" t="n"/>
      <c r="Z167" s="1" t="n"/>
    </row>
    <row r="168" ht="15.75" customHeight="1" s="311">
      <c r="A168" s="145" t="n"/>
      <c r="B168" s="145" t="n"/>
      <c r="C168" s="145" t="n"/>
      <c r="D168" s="145" t="n"/>
      <c r="E168" s="145" t="n"/>
      <c r="F168" s="145" t="n"/>
      <c r="G168" s="145" t="n"/>
      <c r="H168" s="145" t="n"/>
      <c r="I168" s="145" t="n"/>
      <c r="J168" s="145" t="n"/>
      <c r="K168" s="145" t="n"/>
      <c r="L168" s="145" t="n"/>
      <c r="M168" s="145" t="n"/>
      <c r="N168" s="1" t="n"/>
      <c r="O168" s="1" t="n"/>
      <c r="P168" s="1" t="n"/>
      <c r="Q168" s="1" t="n"/>
      <c r="R168" s="1" t="n"/>
      <c r="S168" s="1" t="n"/>
      <c r="T168" s="1" t="n"/>
      <c r="U168" s="1" t="n"/>
      <c r="V168" s="1" t="n"/>
      <c r="W168" s="1" t="n"/>
      <c r="X168" s="1" t="n"/>
      <c r="Y168" s="1" t="n"/>
      <c r="Z168" s="1" t="n"/>
    </row>
    <row r="169" ht="15.75" customHeight="1" s="311">
      <c r="A169" s="145" t="n"/>
      <c r="B169" s="145" t="n"/>
      <c r="C169" s="145" t="n"/>
      <c r="D169" s="145" t="n"/>
      <c r="E169" s="145" t="n"/>
      <c r="F169" s="145" t="n"/>
      <c r="G169" s="145" t="n"/>
      <c r="H169" s="145" t="n"/>
      <c r="I169" s="145" t="n"/>
      <c r="J169" s="145" t="n"/>
      <c r="K169" s="145" t="n"/>
      <c r="L169" s="145" t="n"/>
      <c r="M169" s="145" t="n"/>
      <c r="N169" s="1" t="n"/>
      <c r="O169" s="1" t="n"/>
      <c r="P169" s="1" t="n"/>
      <c r="Q169" s="1" t="n"/>
      <c r="R169" s="1" t="n"/>
      <c r="S169" s="1" t="n"/>
      <c r="T169" s="1" t="n"/>
      <c r="U169" s="1" t="n"/>
      <c r="V169" s="1" t="n"/>
      <c r="W169" s="1" t="n"/>
      <c r="X169" s="1" t="n"/>
      <c r="Y169" s="1" t="n"/>
      <c r="Z169" s="1" t="n"/>
    </row>
    <row r="170" ht="15.75" customHeight="1" s="311">
      <c r="A170" s="145" t="n"/>
      <c r="B170" s="145" t="n"/>
      <c r="C170" s="145" t="n"/>
      <c r="D170" s="145" t="n"/>
      <c r="E170" s="145" t="n"/>
      <c r="F170" s="145" t="n"/>
      <c r="G170" s="145" t="n"/>
      <c r="H170" s="145" t="n"/>
      <c r="I170" s="145" t="n"/>
      <c r="J170" s="145" t="n"/>
      <c r="K170" s="145" t="n"/>
      <c r="L170" s="145" t="n"/>
      <c r="M170" s="145" t="n"/>
      <c r="N170" s="1" t="n"/>
      <c r="O170" s="1" t="n"/>
      <c r="P170" s="1" t="n"/>
      <c r="Q170" s="1" t="n"/>
      <c r="R170" s="1" t="n"/>
      <c r="S170" s="1" t="n"/>
      <c r="T170" s="1" t="n"/>
      <c r="U170" s="1" t="n"/>
      <c r="V170" s="1" t="n"/>
      <c r="W170" s="1" t="n"/>
      <c r="X170" s="1" t="n"/>
      <c r="Y170" s="1" t="n"/>
      <c r="Z170" s="1" t="n"/>
    </row>
    <row r="171" ht="15.75" customHeight="1" s="311">
      <c r="A171" s="145" t="n"/>
      <c r="B171" s="145" t="n"/>
      <c r="C171" s="145" t="n"/>
      <c r="D171" s="145" t="n"/>
      <c r="E171" s="145" t="n"/>
      <c r="F171" s="145" t="n"/>
      <c r="G171" s="145" t="n"/>
      <c r="H171" s="145" t="n"/>
      <c r="I171" s="145" t="n"/>
      <c r="J171" s="145" t="n"/>
      <c r="K171" s="145" t="n"/>
      <c r="L171" s="145" t="n"/>
      <c r="M171" s="145" t="n"/>
      <c r="N171" s="1" t="n"/>
      <c r="O171" s="1" t="n"/>
      <c r="P171" s="1" t="n"/>
      <c r="Q171" s="1" t="n"/>
      <c r="R171" s="1" t="n"/>
      <c r="S171" s="1" t="n"/>
      <c r="T171" s="1" t="n"/>
      <c r="U171" s="1" t="n"/>
      <c r="V171" s="1" t="n"/>
      <c r="W171" s="1" t="n"/>
      <c r="X171" s="1" t="n"/>
      <c r="Y171" s="1" t="n"/>
      <c r="Z171" s="1" t="n"/>
    </row>
    <row r="172" ht="15.75" customHeight="1" s="311">
      <c r="A172" s="145" t="n"/>
      <c r="B172" s="145" t="n"/>
      <c r="C172" s="145" t="n"/>
      <c r="D172" s="145" t="n"/>
      <c r="E172" s="145" t="n"/>
      <c r="F172" s="145" t="n"/>
      <c r="G172" s="145" t="n"/>
      <c r="H172" s="145" t="n"/>
      <c r="I172" s="145" t="n"/>
      <c r="J172" s="145" t="n"/>
      <c r="K172" s="145" t="n"/>
      <c r="L172" s="145" t="n"/>
      <c r="M172" s="145" t="n"/>
      <c r="N172" s="1" t="n"/>
      <c r="O172" s="1" t="n"/>
      <c r="P172" s="1" t="n"/>
      <c r="Q172" s="1" t="n"/>
      <c r="R172" s="1" t="n"/>
      <c r="S172" s="1" t="n"/>
      <c r="T172" s="1" t="n"/>
      <c r="U172" s="1" t="n"/>
      <c r="V172" s="1" t="n"/>
      <c r="W172" s="1" t="n"/>
      <c r="X172" s="1" t="n"/>
      <c r="Y172" s="1" t="n"/>
      <c r="Z172" s="1" t="n"/>
    </row>
    <row r="173" ht="15.75" customHeight="1" s="311">
      <c r="A173" s="145" t="n"/>
      <c r="B173" s="145" t="n"/>
      <c r="C173" s="145" t="n"/>
      <c r="D173" s="145" t="n"/>
      <c r="E173" s="145" t="n"/>
      <c r="F173" s="145" t="n"/>
      <c r="G173" s="145" t="n"/>
      <c r="H173" s="145" t="n"/>
      <c r="I173" s="145" t="n"/>
      <c r="J173" s="145" t="n"/>
      <c r="K173" s="145" t="n"/>
      <c r="L173" s="145" t="n"/>
      <c r="M173" s="145" t="n"/>
      <c r="N173" s="1" t="n"/>
      <c r="O173" s="1" t="n"/>
      <c r="P173" s="1" t="n"/>
      <c r="Q173" s="1" t="n"/>
      <c r="R173" s="1" t="n"/>
      <c r="S173" s="1" t="n"/>
      <c r="T173" s="1" t="n"/>
      <c r="U173" s="1" t="n"/>
      <c r="V173" s="1" t="n"/>
      <c r="W173" s="1" t="n"/>
      <c r="X173" s="1" t="n"/>
      <c r="Y173" s="1" t="n"/>
      <c r="Z173" s="1" t="n"/>
    </row>
    <row r="174" ht="15.75" customHeight="1" s="311">
      <c r="A174" s="145" t="n"/>
      <c r="B174" s="145" t="n"/>
      <c r="C174" s="145" t="n"/>
      <c r="D174" s="145" t="n"/>
      <c r="E174" s="145" t="n"/>
      <c r="F174" s="145" t="n"/>
      <c r="G174" s="145" t="n"/>
      <c r="H174" s="145" t="n"/>
      <c r="I174" s="145" t="n"/>
      <c r="J174" s="145" t="n"/>
      <c r="K174" s="145" t="n"/>
      <c r="L174" s="145" t="n"/>
      <c r="M174" s="145" t="n"/>
      <c r="N174" s="1" t="n"/>
      <c r="O174" s="1" t="n"/>
      <c r="P174" s="1" t="n"/>
      <c r="Q174" s="1" t="n"/>
      <c r="R174" s="1" t="n"/>
      <c r="S174" s="1" t="n"/>
      <c r="T174" s="1" t="n"/>
      <c r="U174" s="1" t="n"/>
      <c r="V174" s="1" t="n"/>
      <c r="W174" s="1" t="n"/>
      <c r="X174" s="1" t="n"/>
      <c r="Y174" s="1" t="n"/>
      <c r="Z174" s="1" t="n"/>
    </row>
    <row r="175" ht="15.75" customHeight="1" s="311">
      <c r="A175" s="145" t="n"/>
      <c r="B175" s="145" t="n"/>
      <c r="C175" s="145" t="n"/>
      <c r="D175" s="145" t="n"/>
      <c r="E175" s="145" t="n"/>
      <c r="F175" s="145" t="n"/>
      <c r="G175" s="145" t="n"/>
      <c r="H175" s="145" t="n"/>
      <c r="I175" s="145" t="n"/>
      <c r="J175" s="145" t="n"/>
      <c r="K175" s="145" t="n"/>
      <c r="L175" s="145" t="n"/>
      <c r="M175" s="145" t="n"/>
      <c r="N175" s="1" t="n"/>
      <c r="O175" s="1" t="n"/>
      <c r="P175" s="1" t="n"/>
      <c r="Q175" s="1" t="n"/>
      <c r="R175" s="1" t="n"/>
      <c r="S175" s="1" t="n"/>
      <c r="T175" s="1" t="n"/>
      <c r="U175" s="1" t="n"/>
      <c r="V175" s="1" t="n"/>
      <c r="W175" s="1" t="n"/>
      <c r="X175" s="1" t="n"/>
      <c r="Y175" s="1" t="n"/>
      <c r="Z175" s="1" t="n"/>
    </row>
    <row r="176" ht="15.75" customHeight="1" s="311">
      <c r="A176" s="145" t="n"/>
      <c r="B176" s="145" t="n"/>
      <c r="C176" s="145" t="n"/>
      <c r="D176" s="145" t="n"/>
      <c r="E176" s="145" t="n"/>
      <c r="F176" s="145" t="n"/>
      <c r="G176" s="145" t="n"/>
      <c r="H176" s="145" t="n"/>
      <c r="I176" s="145" t="n"/>
      <c r="J176" s="145" t="n"/>
      <c r="K176" s="145" t="n"/>
      <c r="L176" s="145" t="n"/>
      <c r="M176" s="145" t="n"/>
      <c r="N176" s="1" t="n"/>
      <c r="O176" s="1" t="n"/>
      <c r="P176" s="1" t="n"/>
      <c r="Q176" s="1" t="n"/>
      <c r="R176" s="1" t="n"/>
      <c r="S176" s="1" t="n"/>
      <c r="T176" s="1" t="n"/>
      <c r="U176" s="1" t="n"/>
      <c r="V176" s="1" t="n"/>
      <c r="W176" s="1" t="n"/>
      <c r="X176" s="1" t="n"/>
      <c r="Y176" s="1" t="n"/>
      <c r="Z176" s="1" t="n"/>
    </row>
    <row r="177" ht="15.75" customHeight="1" s="311">
      <c r="A177" s="145" t="n"/>
      <c r="B177" s="145" t="n"/>
      <c r="C177" s="145" t="n"/>
      <c r="D177" s="145" t="n"/>
      <c r="E177" s="145" t="n"/>
      <c r="F177" s="145" t="n"/>
      <c r="G177" s="145" t="n"/>
      <c r="H177" s="145" t="n"/>
      <c r="I177" s="145" t="n"/>
      <c r="J177" s="145" t="n"/>
      <c r="K177" s="145" t="n"/>
      <c r="L177" s="145" t="n"/>
      <c r="M177" s="145" t="n"/>
      <c r="N177" s="1" t="n"/>
      <c r="O177" s="1" t="n"/>
      <c r="P177" s="1" t="n"/>
      <c r="Q177" s="1" t="n"/>
      <c r="R177" s="1" t="n"/>
      <c r="S177" s="1" t="n"/>
      <c r="T177" s="1" t="n"/>
      <c r="U177" s="1" t="n"/>
      <c r="V177" s="1" t="n"/>
      <c r="W177" s="1" t="n"/>
      <c r="X177" s="1" t="n"/>
      <c r="Y177" s="1" t="n"/>
      <c r="Z177" s="1" t="n"/>
    </row>
    <row r="178" ht="15.75" customHeight="1" s="311">
      <c r="A178" s="145" t="n"/>
      <c r="B178" s="145" t="n"/>
      <c r="C178" s="145" t="n"/>
      <c r="D178" s="145" t="n"/>
      <c r="E178" s="145" t="n"/>
      <c r="F178" s="145" t="n"/>
      <c r="G178" s="145" t="n"/>
      <c r="H178" s="145" t="n"/>
      <c r="I178" s="145" t="n"/>
      <c r="J178" s="145" t="n"/>
      <c r="K178" s="145" t="n"/>
      <c r="L178" s="145" t="n"/>
      <c r="M178" s="145" t="n"/>
      <c r="N178" s="1" t="n"/>
      <c r="O178" s="1" t="n"/>
      <c r="P178" s="1" t="n"/>
      <c r="Q178" s="1" t="n"/>
      <c r="R178" s="1" t="n"/>
      <c r="S178" s="1" t="n"/>
      <c r="T178" s="1" t="n"/>
      <c r="U178" s="1" t="n"/>
      <c r="V178" s="1" t="n"/>
      <c r="W178" s="1" t="n"/>
      <c r="X178" s="1" t="n"/>
      <c r="Y178" s="1" t="n"/>
      <c r="Z178" s="1" t="n"/>
    </row>
    <row r="179" ht="15.75" customHeight="1" s="311">
      <c r="A179" s="145" t="n"/>
      <c r="B179" s="145" t="n"/>
      <c r="C179" s="145" t="n"/>
      <c r="D179" s="145" t="n"/>
      <c r="E179" s="145" t="n"/>
      <c r="F179" s="145" t="n"/>
      <c r="G179" s="145" t="n"/>
      <c r="H179" s="145" t="n"/>
      <c r="I179" s="145" t="n"/>
      <c r="J179" s="145" t="n"/>
      <c r="K179" s="145" t="n"/>
      <c r="L179" s="145" t="n"/>
      <c r="M179" s="145" t="n"/>
      <c r="N179" s="1" t="n"/>
      <c r="O179" s="1" t="n"/>
      <c r="P179" s="1" t="n"/>
      <c r="Q179" s="1" t="n"/>
      <c r="R179" s="1" t="n"/>
      <c r="S179" s="1" t="n"/>
      <c r="T179" s="1" t="n"/>
      <c r="U179" s="1" t="n"/>
      <c r="V179" s="1" t="n"/>
      <c r="W179" s="1" t="n"/>
      <c r="X179" s="1" t="n"/>
      <c r="Y179" s="1" t="n"/>
      <c r="Z179" s="1" t="n"/>
    </row>
    <row r="180" ht="15.75" customHeight="1" s="311">
      <c r="A180" s="145" t="n"/>
      <c r="B180" s="145" t="n"/>
      <c r="C180" s="145" t="n"/>
      <c r="D180" s="145" t="n"/>
      <c r="E180" s="145" t="n"/>
      <c r="F180" s="145" t="n"/>
      <c r="G180" s="145" t="n"/>
      <c r="H180" s="145" t="n"/>
      <c r="I180" s="145" t="n"/>
      <c r="J180" s="145" t="n"/>
      <c r="K180" s="145" t="n"/>
      <c r="L180" s="145" t="n"/>
      <c r="M180" s="145" t="n"/>
      <c r="N180" s="1" t="n"/>
      <c r="O180" s="1" t="n"/>
      <c r="P180" s="1" t="n"/>
      <c r="Q180" s="1" t="n"/>
      <c r="R180" s="1" t="n"/>
      <c r="S180" s="1" t="n"/>
      <c r="T180" s="1" t="n"/>
      <c r="U180" s="1" t="n"/>
      <c r="V180" s="1" t="n"/>
      <c r="W180" s="1" t="n"/>
      <c r="X180" s="1" t="n"/>
      <c r="Y180" s="1" t="n"/>
      <c r="Z180" s="1" t="n"/>
    </row>
    <row r="181" ht="15.75" customHeight="1" s="311">
      <c r="A181" s="145" t="n"/>
      <c r="B181" s="145" t="n"/>
      <c r="C181" s="145" t="n"/>
      <c r="D181" s="145" t="n"/>
      <c r="E181" s="145" t="n"/>
      <c r="F181" s="145" t="n"/>
      <c r="G181" s="145" t="n"/>
      <c r="H181" s="145" t="n"/>
      <c r="I181" s="145" t="n"/>
      <c r="J181" s="145" t="n"/>
      <c r="K181" s="145" t="n"/>
      <c r="L181" s="145" t="n"/>
      <c r="M181" s="145" t="n"/>
      <c r="N181" s="1" t="n"/>
      <c r="O181" s="1" t="n"/>
      <c r="P181" s="1" t="n"/>
      <c r="Q181" s="1" t="n"/>
      <c r="R181" s="1" t="n"/>
      <c r="S181" s="1" t="n"/>
      <c r="T181" s="1" t="n"/>
      <c r="U181" s="1" t="n"/>
      <c r="V181" s="1" t="n"/>
      <c r="W181" s="1" t="n"/>
      <c r="X181" s="1" t="n"/>
      <c r="Y181" s="1" t="n"/>
      <c r="Z181" s="1" t="n"/>
    </row>
    <row r="182" ht="15.75" customHeight="1" s="311">
      <c r="A182" s="145" t="n"/>
      <c r="B182" s="145" t="n"/>
      <c r="C182" s="145" t="n"/>
      <c r="D182" s="145" t="n"/>
      <c r="E182" s="145" t="n"/>
      <c r="F182" s="145" t="n"/>
      <c r="G182" s="145" t="n"/>
      <c r="H182" s="145" t="n"/>
      <c r="I182" s="145" t="n"/>
      <c r="J182" s="145" t="n"/>
      <c r="K182" s="145" t="n"/>
      <c r="L182" s="145" t="n"/>
      <c r="M182" s="145" t="n"/>
      <c r="N182" s="1" t="n"/>
      <c r="O182" s="1" t="n"/>
      <c r="P182" s="1" t="n"/>
      <c r="Q182" s="1" t="n"/>
      <c r="R182" s="1" t="n"/>
      <c r="S182" s="1" t="n"/>
      <c r="T182" s="1" t="n"/>
      <c r="U182" s="1" t="n"/>
      <c r="V182" s="1" t="n"/>
      <c r="W182" s="1" t="n"/>
      <c r="X182" s="1" t="n"/>
      <c r="Y182" s="1" t="n"/>
      <c r="Z182" s="1" t="n"/>
    </row>
    <row r="183" ht="15.75" customHeight="1" s="311">
      <c r="A183" s="145" t="n"/>
      <c r="B183" s="145" t="n"/>
      <c r="C183" s="145" t="n"/>
      <c r="D183" s="145" t="n"/>
      <c r="E183" s="145" t="n"/>
      <c r="F183" s="145" t="n"/>
      <c r="G183" s="145" t="n"/>
      <c r="H183" s="145" t="n"/>
      <c r="I183" s="145" t="n"/>
      <c r="J183" s="145" t="n"/>
      <c r="K183" s="145" t="n"/>
      <c r="L183" s="145" t="n"/>
      <c r="M183" s="145" t="n"/>
      <c r="N183" s="1" t="n"/>
      <c r="O183" s="1" t="n"/>
      <c r="P183" s="1" t="n"/>
      <c r="Q183" s="1" t="n"/>
      <c r="R183" s="1" t="n"/>
      <c r="S183" s="1" t="n"/>
      <c r="T183" s="1" t="n"/>
      <c r="U183" s="1" t="n"/>
      <c r="V183" s="1" t="n"/>
      <c r="W183" s="1" t="n"/>
      <c r="X183" s="1" t="n"/>
      <c r="Y183" s="1" t="n"/>
      <c r="Z183" s="1" t="n"/>
    </row>
    <row r="184" ht="15.75" customHeight="1" s="311">
      <c r="A184" s="145" t="n"/>
      <c r="B184" s="145" t="n"/>
      <c r="C184" s="145" t="n"/>
      <c r="D184" s="145" t="n"/>
      <c r="E184" s="145" t="n"/>
      <c r="F184" s="145" t="n"/>
      <c r="G184" s="145" t="n"/>
      <c r="H184" s="145" t="n"/>
      <c r="I184" s="145" t="n"/>
      <c r="J184" s="145" t="n"/>
      <c r="K184" s="145" t="n"/>
      <c r="L184" s="145" t="n"/>
      <c r="M184" s="145" t="n"/>
      <c r="N184" s="1" t="n"/>
      <c r="O184" s="1" t="n"/>
      <c r="P184" s="1" t="n"/>
      <c r="Q184" s="1" t="n"/>
      <c r="R184" s="1" t="n"/>
      <c r="S184" s="1" t="n"/>
      <c r="T184" s="1" t="n"/>
      <c r="U184" s="1" t="n"/>
      <c r="V184" s="1" t="n"/>
      <c r="W184" s="1" t="n"/>
      <c r="X184" s="1" t="n"/>
      <c r="Y184" s="1" t="n"/>
      <c r="Z184" s="1" t="n"/>
    </row>
    <row r="185" ht="15.75" customHeight="1" s="311">
      <c r="A185" s="145" t="n"/>
      <c r="B185" s="145" t="n"/>
      <c r="C185" s="145" t="n"/>
      <c r="D185" s="145" t="n"/>
      <c r="E185" s="145" t="n"/>
      <c r="F185" s="145" t="n"/>
      <c r="G185" s="145" t="n"/>
      <c r="H185" s="145" t="n"/>
      <c r="I185" s="145" t="n"/>
      <c r="J185" s="145" t="n"/>
      <c r="K185" s="145" t="n"/>
      <c r="L185" s="145" t="n"/>
      <c r="M185" s="145" t="n"/>
      <c r="N185" s="1" t="n"/>
      <c r="O185" s="1" t="n"/>
      <c r="P185" s="1" t="n"/>
      <c r="Q185" s="1" t="n"/>
      <c r="R185" s="1" t="n"/>
      <c r="S185" s="1" t="n"/>
      <c r="T185" s="1" t="n"/>
      <c r="U185" s="1" t="n"/>
      <c r="V185" s="1" t="n"/>
      <c r="W185" s="1" t="n"/>
      <c r="X185" s="1" t="n"/>
      <c r="Y185" s="1" t="n"/>
      <c r="Z185" s="1" t="n"/>
    </row>
    <row r="186" ht="15.75" customHeight="1" s="311">
      <c r="A186" s="145" t="n"/>
      <c r="B186" s="145" t="n"/>
      <c r="C186" s="145" t="n"/>
      <c r="D186" s="145" t="n"/>
      <c r="E186" s="145" t="n"/>
      <c r="F186" s="145" t="n"/>
      <c r="G186" s="145" t="n"/>
      <c r="H186" s="145" t="n"/>
      <c r="I186" s="145" t="n"/>
      <c r="J186" s="145" t="n"/>
      <c r="K186" s="145" t="n"/>
      <c r="L186" s="145" t="n"/>
      <c r="M186" s="145" t="n"/>
      <c r="N186" s="1" t="n"/>
      <c r="O186" s="1" t="n"/>
      <c r="P186" s="1" t="n"/>
      <c r="Q186" s="1" t="n"/>
      <c r="R186" s="1" t="n"/>
      <c r="S186" s="1" t="n"/>
      <c r="T186" s="1" t="n"/>
      <c r="U186" s="1" t="n"/>
      <c r="V186" s="1" t="n"/>
      <c r="W186" s="1" t="n"/>
      <c r="X186" s="1" t="n"/>
      <c r="Y186" s="1" t="n"/>
      <c r="Z186" s="1" t="n"/>
    </row>
    <row r="187" ht="15.75" customHeight="1" s="311">
      <c r="A187" s="145" t="n"/>
      <c r="B187" s="145" t="n"/>
      <c r="C187" s="145" t="n"/>
      <c r="D187" s="145" t="n"/>
      <c r="E187" s="145" t="n"/>
      <c r="F187" s="145" t="n"/>
      <c r="G187" s="145" t="n"/>
      <c r="H187" s="145" t="n"/>
      <c r="I187" s="145" t="n"/>
      <c r="J187" s="145" t="n"/>
      <c r="K187" s="145" t="n"/>
      <c r="L187" s="145" t="n"/>
      <c r="M187" s="145" t="n"/>
      <c r="N187" s="1" t="n"/>
      <c r="O187" s="1" t="n"/>
      <c r="P187" s="1" t="n"/>
      <c r="Q187" s="1" t="n"/>
      <c r="R187" s="1" t="n"/>
      <c r="S187" s="1" t="n"/>
      <c r="T187" s="1" t="n"/>
      <c r="U187" s="1" t="n"/>
      <c r="V187" s="1" t="n"/>
      <c r="W187" s="1" t="n"/>
      <c r="X187" s="1" t="n"/>
      <c r="Y187" s="1" t="n"/>
      <c r="Z187" s="1" t="n"/>
    </row>
    <row r="188" ht="15.75" customHeight="1" s="311">
      <c r="A188" s="145" t="n"/>
      <c r="B188" s="145" t="n"/>
      <c r="C188" s="145" t="n"/>
      <c r="D188" s="145" t="n"/>
      <c r="E188" s="145" t="n"/>
      <c r="F188" s="145" t="n"/>
      <c r="G188" s="145" t="n"/>
      <c r="H188" s="145" t="n"/>
      <c r="I188" s="145" t="n"/>
      <c r="J188" s="145" t="n"/>
      <c r="K188" s="145" t="n"/>
      <c r="L188" s="145" t="n"/>
      <c r="M188" s="145" t="n"/>
      <c r="N188" s="1" t="n"/>
      <c r="O188" s="1" t="n"/>
      <c r="P188" s="1" t="n"/>
      <c r="Q188" s="1" t="n"/>
      <c r="R188" s="1" t="n"/>
      <c r="S188" s="1" t="n"/>
      <c r="T188" s="1" t="n"/>
      <c r="U188" s="1" t="n"/>
      <c r="V188" s="1" t="n"/>
      <c r="W188" s="1" t="n"/>
      <c r="X188" s="1" t="n"/>
      <c r="Y188" s="1" t="n"/>
      <c r="Z188" s="1" t="n"/>
    </row>
    <row r="189" ht="15.75" customHeight="1" s="311">
      <c r="A189" s="145" t="n"/>
      <c r="B189" s="145" t="n"/>
      <c r="C189" s="145" t="n"/>
      <c r="D189" s="145" t="n"/>
      <c r="E189" s="145" t="n"/>
      <c r="F189" s="145" t="n"/>
      <c r="G189" s="145" t="n"/>
      <c r="H189" s="145" t="n"/>
      <c r="I189" s="145" t="n"/>
      <c r="J189" s="145" t="n"/>
      <c r="K189" s="145" t="n"/>
      <c r="L189" s="145" t="n"/>
      <c r="M189" s="145" t="n"/>
      <c r="N189" s="1" t="n"/>
      <c r="O189" s="1" t="n"/>
      <c r="P189" s="1" t="n"/>
      <c r="Q189" s="1" t="n"/>
      <c r="R189" s="1" t="n"/>
      <c r="S189" s="1" t="n"/>
      <c r="T189" s="1" t="n"/>
      <c r="U189" s="1" t="n"/>
      <c r="V189" s="1" t="n"/>
      <c r="W189" s="1" t="n"/>
      <c r="X189" s="1" t="n"/>
      <c r="Y189" s="1" t="n"/>
      <c r="Z189" s="1" t="n"/>
    </row>
    <row r="190" ht="15.75" customHeight="1" s="311">
      <c r="A190" s="145" t="n"/>
      <c r="B190" s="145" t="n"/>
      <c r="C190" s="145" t="n"/>
      <c r="D190" s="145" t="n"/>
      <c r="E190" s="145" t="n"/>
      <c r="F190" s="145" t="n"/>
      <c r="G190" s="145" t="n"/>
      <c r="H190" s="145" t="n"/>
      <c r="I190" s="145" t="n"/>
      <c r="J190" s="145" t="n"/>
      <c r="K190" s="145" t="n"/>
      <c r="L190" s="145" t="n"/>
      <c r="M190" s="145" t="n"/>
      <c r="N190" s="1" t="n"/>
      <c r="O190" s="1" t="n"/>
      <c r="P190" s="1" t="n"/>
      <c r="Q190" s="1" t="n"/>
      <c r="R190" s="1" t="n"/>
      <c r="S190" s="1" t="n"/>
      <c r="T190" s="1" t="n"/>
      <c r="U190" s="1" t="n"/>
      <c r="V190" s="1" t="n"/>
      <c r="W190" s="1" t="n"/>
      <c r="X190" s="1" t="n"/>
      <c r="Y190" s="1" t="n"/>
      <c r="Z190" s="1" t="n"/>
    </row>
    <row r="191" ht="15.75" customHeight="1" s="311">
      <c r="A191" s="145" t="n"/>
      <c r="B191" s="145" t="n"/>
      <c r="C191" s="145" t="n"/>
      <c r="D191" s="145" t="n"/>
      <c r="E191" s="145" t="n"/>
      <c r="F191" s="145" t="n"/>
      <c r="G191" s="145" t="n"/>
      <c r="H191" s="145" t="n"/>
      <c r="I191" s="145" t="n"/>
      <c r="J191" s="145" t="n"/>
      <c r="K191" s="145" t="n"/>
      <c r="L191" s="145" t="n"/>
      <c r="M191" s="145" t="n"/>
      <c r="N191" s="1" t="n"/>
      <c r="O191" s="1" t="n"/>
      <c r="P191" s="1" t="n"/>
      <c r="Q191" s="1" t="n"/>
      <c r="R191" s="1" t="n"/>
      <c r="S191" s="1" t="n"/>
      <c r="T191" s="1" t="n"/>
      <c r="U191" s="1" t="n"/>
      <c r="V191" s="1" t="n"/>
      <c r="W191" s="1" t="n"/>
      <c r="X191" s="1" t="n"/>
      <c r="Y191" s="1" t="n"/>
      <c r="Z191" s="1" t="n"/>
    </row>
    <row r="192" ht="15.75" customHeight="1" s="311">
      <c r="A192" s="145" t="n"/>
      <c r="B192" s="145" t="n"/>
      <c r="C192" s="145" t="n"/>
      <c r="D192" s="145" t="n"/>
      <c r="E192" s="145" t="n"/>
      <c r="F192" s="145" t="n"/>
      <c r="G192" s="145" t="n"/>
      <c r="H192" s="145" t="n"/>
      <c r="I192" s="145" t="n"/>
      <c r="J192" s="145" t="n"/>
      <c r="K192" s="145" t="n"/>
      <c r="L192" s="145" t="n"/>
      <c r="M192" s="145" t="n"/>
      <c r="N192" s="1" t="n"/>
      <c r="O192" s="1" t="n"/>
      <c r="P192" s="1" t="n"/>
      <c r="Q192" s="1" t="n"/>
      <c r="R192" s="1" t="n"/>
      <c r="S192" s="1" t="n"/>
      <c r="T192" s="1" t="n"/>
      <c r="U192" s="1" t="n"/>
      <c r="V192" s="1" t="n"/>
      <c r="W192" s="1" t="n"/>
      <c r="X192" s="1" t="n"/>
      <c r="Y192" s="1" t="n"/>
      <c r="Z192" s="1" t="n"/>
    </row>
    <row r="193" ht="15.75" customHeight="1" s="311">
      <c r="A193" s="145" t="n"/>
      <c r="B193" s="145" t="n"/>
      <c r="C193" s="145" t="n"/>
      <c r="D193" s="145" t="n"/>
      <c r="E193" s="145" t="n"/>
      <c r="F193" s="145" t="n"/>
      <c r="G193" s="145" t="n"/>
      <c r="H193" s="145" t="n"/>
      <c r="I193" s="145" t="n"/>
      <c r="J193" s="145" t="n"/>
      <c r="K193" s="145" t="n"/>
      <c r="L193" s="145" t="n"/>
      <c r="M193" s="145" t="n"/>
      <c r="N193" s="1" t="n"/>
      <c r="O193" s="1" t="n"/>
      <c r="P193" s="1" t="n"/>
      <c r="Q193" s="1" t="n"/>
      <c r="R193" s="1" t="n"/>
      <c r="S193" s="1" t="n"/>
      <c r="T193" s="1" t="n"/>
      <c r="U193" s="1" t="n"/>
      <c r="V193" s="1" t="n"/>
      <c r="W193" s="1" t="n"/>
      <c r="X193" s="1" t="n"/>
      <c r="Y193" s="1" t="n"/>
      <c r="Z193" s="1" t="n"/>
    </row>
    <row r="194" ht="15.75" customHeight="1" s="311">
      <c r="A194" s="145" t="n"/>
      <c r="B194" s="145" t="n"/>
      <c r="C194" s="145" t="n"/>
      <c r="D194" s="145" t="n"/>
      <c r="E194" s="145" t="n"/>
      <c r="F194" s="145" t="n"/>
      <c r="G194" s="145" t="n"/>
      <c r="H194" s="145" t="n"/>
      <c r="I194" s="145" t="n"/>
      <c r="J194" s="145" t="n"/>
      <c r="K194" s="145" t="n"/>
      <c r="L194" s="145" t="n"/>
      <c r="M194" s="145" t="n"/>
      <c r="N194" s="1" t="n"/>
      <c r="O194" s="1" t="n"/>
      <c r="P194" s="1" t="n"/>
      <c r="Q194" s="1" t="n"/>
      <c r="R194" s="1" t="n"/>
      <c r="S194" s="1" t="n"/>
      <c r="T194" s="1" t="n"/>
      <c r="U194" s="1" t="n"/>
      <c r="V194" s="1" t="n"/>
      <c r="W194" s="1" t="n"/>
      <c r="X194" s="1" t="n"/>
      <c r="Y194" s="1" t="n"/>
      <c r="Z194" s="1" t="n"/>
    </row>
    <row r="195" ht="15.75" customHeight="1" s="311">
      <c r="A195" s="145" t="n"/>
      <c r="B195" s="145" t="n"/>
      <c r="C195" s="145" t="n"/>
      <c r="D195" s="145" t="n"/>
      <c r="E195" s="145" t="n"/>
      <c r="F195" s="145" t="n"/>
      <c r="G195" s="145" t="n"/>
      <c r="H195" s="145" t="n"/>
      <c r="I195" s="145" t="n"/>
      <c r="J195" s="145" t="n"/>
      <c r="K195" s="145" t="n"/>
      <c r="L195" s="145" t="n"/>
      <c r="M195" s="145" t="n"/>
      <c r="N195" s="1" t="n"/>
      <c r="O195" s="1" t="n"/>
      <c r="P195" s="1" t="n"/>
      <c r="Q195" s="1" t="n"/>
      <c r="R195" s="1" t="n"/>
      <c r="S195" s="1" t="n"/>
      <c r="T195" s="1" t="n"/>
      <c r="U195" s="1" t="n"/>
      <c r="V195" s="1" t="n"/>
      <c r="W195" s="1" t="n"/>
      <c r="X195" s="1" t="n"/>
      <c r="Y195" s="1" t="n"/>
      <c r="Z195" s="1" t="n"/>
    </row>
    <row r="196" ht="15.75" customHeight="1" s="311">
      <c r="A196" s="145" t="n"/>
      <c r="B196" s="145" t="n"/>
      <c r="C196" s="145" t="n"/>
      <c r="D196" s="145" t="n"/>
      <c r="E196" s="145" t="n"/>
      <c r="F196" s="145" t="n"/>
      <c r="G196" s="145" t="n"/>
      <c r="H196" s="145" t="n"/>
      <c r="I196" s="145" t="n"/>
      <c r="J196" s="145" t="n"/>
      <c r="K196" s="145" t="n"/>
      <c r="L196" s="145" t="n"/>
      <c r="M196" s="145" t="n"/>
      <c r="N196" s="1" t="n"/>
      <c r="O196" s="1" t="n"/>
      <c r="P196" s="1" t="n"/>
      <c r="Q196" s="1" t="n"/>
      <c r="R196" s="1" t="n"/>
      <c r="S196" s="1" t="n"/>
      <c r="T196" s="1" t="n"/>
      <c r="U196" s="1" t="n"/>
      <c r="V196" s="1" t="n"/>
      <c r="W196" s="1" t="n"/>
      <c r="X196" s="1" t="n"/>
      <c r="Y196" s="1" t="n"/>
      <c r="Z196" s="1" t="n"/>
    </row>
    <row r="197" ht="15.75" customHeight="1" s="311">
      <c r="A197" s="145" t="n"/>
      <c r="B197" s="145" t="n"/>
      <c r="C197" s="145" t="n"/>
      <c r="D197" s="145" t="n"/>
      <c r="E197" s="145" t="n"/>
      <c r="F197" s="145" t="n"/>
      <c r="G197" s="145" t="n"/>
      <c r="H197" s="145" t="n"/>
      <c r="I197" s="145" t="n"/>
      <c r="J197" s="145" t="n"/>
      <c r="K197" s="145" t="n"/>
      <c r="L197" s="145" t="n"/>
      <c r="M197" s="145" t="n"/>
      <c r="N197" s="1" t="n"/>
      <c r="O197" s="1" t="n"/>
      <c r="P197" s="1" t="n"/>
      <c r="Q197" s="1" t="n"/>
      <c r="R197" s="1" t="n"/>
      <c r="S197" s="1" t="n"/>
      <c r="T197" s="1" t="n"/>
      <c r="U197" s="1" t="n"/>
      <c r="V197" s="1" t="n"/>
      <c r="W197" s="1" t="n"/>
      <c r="X197" s="1" t="n"/>
      <c r="Y197" s="1" t="n"/>
      <c r="Z197" s="1" t="n"/>
    </row>
    <row r="198" ht="15.75" customHeight="1" s="311">
      <c r="A198" s="145" t="n"/>
      <c r="B198" s="145" t="n"/>
      <c r="C198" s="145" t="n"/>
      <c r="D198" s="145" t="n"/>
      <c r="E198" s="145" t="n"/>
      <c r="F198" s="145" t="n"/>
      <c r="G198" s="145" t="n"/>
      <c r="H198" s="145" t="n"/>
      <c r="I198" s="145" t="n"/>
      <c r="J198" s="145" t="n"/>
      <c r="K198" s="145" t="n"/>
      <c r="L198" s="145" t="n"/>
      <c r="M198" s="145" t="n"/>
      <c r="N198" s="1" t="n"/>
      <c r="O198" s="1" t="n"/>
      <c r="P198" s="1" t="n"/>
      <c r="Q198" s="1" t="n"/>
      <c r="R198" s="1" t="n"/>
      <c r="S198" s="1" t="n"/>
      <c r="T198" s="1" t="n"/>
      <c r="U198" s="1" t="n"/>
      <c r="V198" s="1" t="n"/>
      <c r="W198" s="1" t="n"/>
      <c r="X198" s="1" t="n"/>
      <c r="Y198" s="1" t="n"/>
      <c r="Z198" s="1" t="n"/>
    </row>
    <row r="199" ht="15.75" customHeight="1" s="311">
      <c r="A199" s="145" t="n"/>
      <c r="B199" s="145" t="n"/>
      <c r="C199" s="145" t="n"/>
      <c r="D199" s="145" t="n"/>
      <c r="E199" s="145" t="n"/>
      <c r="F199" s="145" t="n"/>
      <c r="G199" s="145" t="n"/>
      <c r="H199" s="145" t="n"/>
      <c r="I199" s="145" t="n"/>
      <c r="J199" s="145" t="n"/>
      <c r="K199" s="145" t="n"/>
      <c r="L199" s="145" t="n"/>
      <c r="M199" s="145" t="n"/>
      <c r="N199" s="1" t="n"/>
      <c r="O199" s="1" t="n"/>
      <c r="P199" s="1" t="n"/>
      <c r="Q199" s="1" t="n"/>
      <c r="R199" s="1" t="n"/>
      <c r="S199" s="1" t="n"/>
      <c r="T199" s="1" t="n"/>
      <c r="U199" s="1" t="n"/>
      <c r="V199" s="1" t="n"/>
      <c r="W199" s="1" t="n"/>
      <c r="X199" s="1" t="n"/>
      <c r="Y199" s="1" t="n"/>
      <c r="Z199" s="1" t="n"/>
    </row>
    <row r="200" ht="15.75" customHeight="1" s="311">
      <c r="A200" s="145" t="n"/>
      <c r="B200" s="145" t="n"/>
      <c r="C200" s="145" t="n"/>
      <c r="D200" s="145" t="n"/>
      <c r="E200" s="145" t="n"/>
      <c r="F200" s="145" t="n"/>
      <c r="G200" s="145" t="n"/>
      <c r="H200" s="145" t="n"/>
      <c r="I200" s="145" t="n"/>
      <c r="J200" s="145" t="n"/>
      <c r="K200" s="145" t="n"/>
      <c r="L200" s="145" t="n"/>
      <c r="M200" s="145" t="n"/>
      <c r="N200" s="1" t="n"/>
      <c r="O200" s="1" t="n"/>
      <c r="P200" s="1" t="n"/>
      <c r="Q200" s="1" t="n"/>
      <c r="R200" s="1" t="n"/>
      <c r="S200" s="1" t="n"/>
      <c r="T200" s="1" t="n"/>
      <c r="U200" s="1" t="n"/>
      <c r="V200" s="1" t="n"/>
      <c r="W200" s="1" t="n"/>
      <c r="X200" s="1" t="n"/>
      <c r="Y200" s="1" t="n"/>
      <c r="Z200" s="1" t="n"/>
    </row>
    <row r="201" ht="15.75" customHeight="1" s="311">
      <c r="A201" s="145" t="n"/>
      <c r="B201" s="145" t="n"/>
      <c r="C201" s="145" t="n"/>
      <c r="D201" s="145" t="n"/>
      <c r="E201" s="145" t="n"/>
      <c r="F201" s="145" t="n"/>
      <c r="G201" s="145" t="n"/>
      <c r="H201" s="145" t="n"/>
      <c r="I201" s="145" t="n"/>
      <c r="J201" s="145" t="n"/>
      <c r="K201" s="145" t="n"/>
      <c r="L201" s="145" t="n"/>
      <c r="M201" s="145" t="n"/>
      <c r="N201" s="1" t="n"/>
      <c r="O201" s="1" t="n"/>
      <c r="P201" s="1" t="n"/>
      <c r="Q201" s="1" t="n"/>
      <c r="R201" s="1" t="n"/>
      <c r="S201" s="1" t="n"/>
      <c r="T201" s="1" t="n"/>
      <c r="U201" s="1" t="n"/>
      <c r="V201" s="1" t="n"/>
      <c r="W201" s="1" t="n"/>
      <c r="X201" s="1" t="n"/>
      <c r="Y201" s="1" t="n"/>
      <c r="Z201" s="1" t="n"/>
    </row>
    <row r="202" ht="15.75" customHeight="1" s="311">
      <c r="A202" s="145" t="n"/>
      <c r="B202" s="145" t="n"/>
      <c r="C202" s="145" t="n"/>
      <c r="D202" s="145" t="n"/>
      <c r="E202" s="145" t="n"/>
      <c r="F202" s="145" t="n"/>
      <c r="G202" s="145" t="n"/>
      <c r="H202" s="145" t="n"/>
      <c r="I202" s="145" t="n"/>
      <c r="J202" s="145" t="n"/>
      <c r="K202" s="145" t="n"/>
      <c r="L202" s="145" t="n"/>
      <c r="M202" s="145" t="n"/>
      <c r="N202" s="1" t="n"/>
      <c r="O202" s="1" t="n"/>
      <c r="P202" s="1" t="n"/>
      <c r="Q202" s="1" t="n"/>
      <c r="R202" s="1" t="n"/>
      <c r="S202" s="1" t="n"/>
      <c r="T202" s="1" t="n"/>
      <c r="U202" s="1" t="n"/>
      <c r="V202" s="1" t="n"/>
      <c r="W202" s="1" t="n"/>
      <c r="X202" s="1" t="n"/>
      <c r="Y202" s="1" t="n"/>
      <c r="Z202" s="1" t="n"/>
    </row>
    <row r="203" ht="15.75" customHeight="1" s="311">
      <c r="A203" s="145" t="n"/>
      <c r="B203" s="145" t="n"/>
      <c r="C203" s="145" t="n"/>
      <c r="D203" s="145" t="n"/>
      <c r="E203" s="145" t="n"/>
      <c r="F203" s="145" t="n"/>
      <c r="G203" s="145" t="n"/>
      <c r="H203" s="145" t="n"/>
      <c r="I203" s="145" t="n"/>
      <c r="J203" s="145" t="n"/>
      <c r="K203" s="145" t="n"/>
      <c r="L203" s="145" t="n"/>
      <c r="M203" s="145" t="n"/>
      <c r="N203" s="1" t="n"/>
      <c r="O203" s="1" t="n"/>
      <c r="P203" s="1" t="n"/>
      <c r="Q203" s="1" t="n"/>
      <c r="R203" s="1" t="n"/>
      <c r="S203" s="1" t="n"/>
      <c r="T203" s="1" t="n"/>
      <c r="U203" s="1" t="n"/>
      <c r="V203" s="1" t="n"/>
      <c r="W203" s="1" t="n"/>
      <c r="X203" s="1" t="n"/>
      <c r="Y203" s="1" t="n"/>
      <c r="Z203" s="1" t="n"/>
    </row>
    <row r="204" ht="15.75" customHeight="1" s="311">
      <c r="A204" s="145" t="n"/>
      <c r="B204" s="145" t="n"/>
      <c r="C204" s="145" t="n"/>
      <c r="D204" s="145" t="n"/>
      <c r="E204" s="145" t="n"/>
      <c r="F204" s="145" t="n"/>
      <c r="G204" s="145" t="n"/>
      <c r="H204" s="145" t="n"/>
      <c r="I204" s="145" t="n"/>
      <c r="J204" s="145" t="n"/>
      <c r="K204" s="145" t="n"/>
      <c r="L204" s="145" t="n"/>
      <c r="M204" s="145" t="n"/>
      <c r="N204" s="1" t="n"/>
      <c r="O204" s="1" t="n"/>
      <c r="P204" s="1" t="n"/>
      <c r="Q204" s="1" t="n"/>
      <c r="R204" s="1" t="n"/>
      <c r="S204" s="1" t="n"/>
      <c r="T204" s="1" t="n"/>
      <c r="U204" s="1" t="n"/>
      <c r="V204" s="1" t="n"/>
      <c r="W204" s="1" t="n"/>
      <c r="X204" s="1" t="n"/>
      <c r="Y204" s="1" t="n"/>
      <c r="Z204" s="1" t="n"/>
    </row>
    <row r="205" ht="15.75" customHeight="1" s="311">
      <c r="A205" s="145" t="n"/>
      <c r="B205" s="145" t="n"/>
      <c r="C205" s="145" t="n"/>
      <c r="D205" s="145" t="n"/>
      <c r="E205" s="145" t="n"/>
      <c r="F205" s="145" t="n"/>
      <c r="G205" s="145" t="n"/>
      <c r="H205" s="145" t="n"/>
      <c r="I205" s="145" t="n"/>
      <c r="J205" s="145" t="n"/>
      <c r="K205" s="145" t="n"/>
      <c r="L205" s="145" t="n"/>
      <c r="M205" s="145" t="n"/>
      <c r="N205" s="1" t="n"/>
      <c r="O205" s="1" t="n"/>
      <c r="P205" s="1" t="n"/>
      <c r="Q205" s="1" t="n"/>
      <c r="R205" s="1" t="n"/>
      <c r="S205" s="1" t="n"/>
      <c r="T205" s="1" t="n"/>
      <c r="U205" s="1" t="n"/>
      <c r="V205" s="1" t="n"/>
      <c r="W205" s="1" t="n"/>
      <c r="X205" s="1" t="n"/>
      <c r="Y205" s="1" t="n"/>
      <c r="Z205" s="1" t="n"/>
    </row>
    <row r="206" ht="15.75" customHeight="1" s="311">
      <c r="A206" s="145" t="n"/>
      <c r="B206" s="145" t="n"/>
      <c r="C206" s="145" t="n"/>
      <c r="D206" s="145" t="n"/>
      <c r="E206" s="145" t="n"/>
      <c r="F206" s="145" t="n"/>
      <c r="G206" s="145" t="n"/>
      <c r="H206" s="145" t="n"/>
      <c r="I206" s="145" t="n"/>
      <c r="J206" s="145" t="n"/>
      <c r="K206" s="145" t="n"/>
      <c r="L206" s="145" t="n"/>
      <c r="M206" s="145" t="n"/>
      <c r="N206" s="1" t="n"/>
      <c r="O206" s="1" t="n"/>
      <c r="P206" s="1" t="n"/>
      <c r="Q206" s="1" t="n"/>
      <c r="R206" s="1" t="n"/>
      <c r="S206" s="1" t="n"/>
      <c r="T206" s="1" t="n"/>
      <c r="U206" s="1" t="n"/>
      <c r="V206" s="1" t="n"/>
      <c r="W206" s="1" t="n"/>
      <c r="X206" s="1" t="n"/>
      <c r="Y206" s="1" t="n"/>
      <c r="Z206" s="1" t="n"/>
    </row>
    <row r="207" ht="15.75" customHeight="1" s="311">
      <c r="A207" s="145" t="n"/>
      <c r="B207" s="145" t="n"/>
      <c r="C207" s="145" t="n"/>
      <c r="D207" s="145" t="n"/>
      <c r="E207" s="145" t="n"/>
      <c r="F207" s="145" t="n"/>
      <c r="G207" s="145" t="n"/>
      <c r="H207" s="145" t="n"/>
      <c r="I207" s="145" t="n"/>
      <c r="J207" s="145" t="n"/>
      <c r="K207" s="145" t="n"/>
      <c r="L207" s="145" t="n"/>
      <c r="M207" s="145" t="n"/>
      <c r="N207" s="1" t="n"/>
      <c r="O207" s="1" t="n"/>
      <c r="P207" s="1" t="n"/>
      <c r="Q207" s="1" t="n"/>
      <c r="R207" s="1" t="n"/>
      <c r="S207" s="1" t="n"/>
      <c r="T207" s="1" t="n"/>
      <c r="U207" s="1" t="n"/>
      <c r="V207" s="1" t="n"/>
      <c r="W207" s="1" t="n"/>
      <c r="X207" s="1" t="n"/>
      <c r="Y207" s="1" t="n"/>
      <c r="Z207" s="1" t="n"/>
    </row>
    <row r="208" ht="15.75" customHeight="1" s="311">
      <c r="A208" s="145" t="n"/>
      <c r="B208" s="145" t="n"/>
      <c r="C208" s="145" t="n"/>
      <c r="D208" s="145" t="n"/>
      <c r="E208" s="145" t="n"/>
      <c r="F208" s="145" t="n"/>
      <c r="G208" s="145" t="n"/>
      <c r="H208" s="145" t="n"/>
      <c r="I208" s="145" t="n"/>
      <c r="J208" s="145" t="n"/>
      <c r="K208" s="145" t="n"/>
      <c r="L208" s="145" t="n"/>
      <c r="M208" s="145" t="n"/>
      <c r="N208" s="1" t="n"/>
      <c r="O208" s="1" t="n"/>
      <c r="P208" s="1" t="n"/>
      <c r="Q208" s="1" t="n"/>
      <c r="R208" s="1" t="n"/>
      <c r="S208" s="1" t="n"/>
      <c r="T208" s="1" t="n"/>
      <c r="U208" s="1" t="n"/>
      <c r="V208" s="1" t="n"/>
      <c r="W208" s="1" t="n"/>
      <c r="X208" s="1" t="n"/>
      <c r="Y208" s="1" t="n"/>
      <c r="Z208" s="1" t="n"/>
    </row>
    <row r="209" ht="15.75" customHeight="1" s="311">
      <c r="A209" s="145" t="n"/>
      <c r="B209" s="145" t="n"/>
      <c r="C209" s="145" t="n"/>
      <c r="D209" s="145" t="n"/>
      <c r="E209" s="145" t="n"/>
      <c r="F209" s="145" t="n"/>
      <c r="G209" s="145" t="n"/>
      <c r="H209" s="145" t="n"/>
      <c r="I209" s="145" t="n"/>
      <c r="J209" s="145" t="n"/>
      <c r="K209" s="145" t="n"/>
      <c r="L209" s="145" t="n"/>
      <c r="M209" s="145" t="n"/>
      <c r="N209" s="1" t="n"/>
      <c r="O209" s="1" t="n"/>
      <c r="P209" s="1" t="n"/>
      <c r="Q209" s="1" t="n"/>
      <c r="R209" s="1" t="n"/>
      <c r="S209" s="1" t="n"/>
      <c r="T209" s="1" t="n"/>
      <c r="U209" s="1" t="n"/>
      <c r="V209" s="1" t="n"/>
      <c r="W209" s="1" t="n"/>
      <c r="X209" s="1" t="n"/>
      <c r="Y209" s="1" t="n"/>
      <c r="Z209" s="1" t="n"/>
    </row>
    <row r="210" ht="15.75" customHeight="1" s="311">
      <c r="A210" s="145" t="n"/>
      <c r="B210" s="145" t="n"/>
      <c r="C210" s="145" t="n"/>
      <c r="D210" s="145" t="n"/>
      <c r="E210" s="145" t="n"/>
      <c r="F210" s="145" t="n"/>
      <c r="G210" s="145" t="n"/>
      <c r="H210" s="145" t="n"/>
      <c r="I210" s="145" t="n"/>
      <c r="J210" s="145" t="n"/>
      <c r="K210" s="145" t="n"/>
      <c r="L210" s="145" t="n"/>
      <c r="M210" s="145" t="n"/>
      <c r="N210" s="1" t="n"/>
      <c r="O210" s="1" t="n"/>
      <c r="P210" s="1" t="n"/>
      <c r="Q210" s="1" t="n"/>
      <c r="R210" s="1" t="n"/>
      <c r="S210" s="1" t="n"/>
      <c r="T210" s="1" t="n"/>
      <c r="U210" s="1" t="n"/>
      <c r="V210" s="1" t="n"/>
      <c r="W210" s="1" t="n"/>
      <c r="X210" s="1" t="n"/>
      <c r="Y210" s="1" t="n"/>
      <c r="Z210" s="1" t="n"/>
    </row>
    <row r="211" ht="15.75" customHeight="1" s="311">
      <c r="A211" s="145" t="n"/>
      <c r="B211" s="145" t="n"/>
      <c r="C211" s="145" t="n"/>
      <c r="D211" s="145" t="n"/>
      <c r="E211" s="145" t="n"/>
      <c r="F211" s="145" t="n"/>
      <c r="G211" s="145" t="n"/>
      <c r="H211" s="145" t="n"/>
      <c r="I211" s="145" t="n"/>
      <c r="J211" s="145" t="n"/>
      <c r="K211" s="145" t="n"/>
      <c r="L211" s="145" t="n"/>
      <c r="M211" s="145" t="n"/>
      <c r="N211" s="1" t="n"/>
      <c r="O211" s="1" t="n"/>
      <c r="P211" s="1" t="n"/>
      <c r="Q211" s="1" t="n"/>
      <c r="R211" s="1" t="n"/>
      <c r="S211" s="1" t="n"/>
      <c r="T211" s="1" t="n"/>
      <c r="U211" s="1" t="n"/>
      <c r="V211" s="1" t="n"/>
      <c r="W211" s="1" t="n"/>
      <c r="X211" s="1" t="n"/>
      <c r="Y211" s="1" t="n"/>
      <c r="Z211" s="1" t="n"/>
    </row>
    <row r="212" ht="15.75" customHeight="1" s="311">
      <c r="A212" s="145" t="n"/>
      <c r="B212" s="145" t="n"/>
      <c r="C212" s="145" t="n"/>
      <c r="D212" s="145" t="n"/>
      <c r="E212" s="145" t="n"/>
      <c r="F212" s="145" t="n"/>
      <c r="G212" s="145" t="n"/>
      <c r="H212" s="145" t="n"/>
      <c r="I212" s="145" t="n"/>
      <c r="J212" s="145" t="n"/>
      <c r="K212" s="145" t="n"/>
      <c r="L212" s="145" t="n"/>
      <c r="M212" s="145" t="n"/>
      <c r="N212" s="1" t="n"/>
      <c r="O212" s="1" t="n"/>
      <c r="P212" s="1" t="n"/>
      <c r="Q212" s="1" t="n"/>
      <c r="R212" s="1" t="n"/>
      <c r="S212" s="1" t="n"/>
      <c r="T212" s="1" t="n"/>
      <c r="U212" s="1" t="n"/>
      <c r="V212" s="1" t="n"/>
      <c r="W212" s="1" t="n"/>
      <c r="X212" s="1" t="n"/>
      <c r="Y212" s="1" t="n"/>
      <c r="Z212" s="1" t="n"/>
    </row>
    <row r="213" ht="15.75" customHeight="1" s="311">
      <c r="A213" s="145" t="n"/>
      <c r="B213" s="145" t="n"/>
      <c r="C213" s="145" t="n"/>
      <c r="D213" s="145" t="n"/>
      <c r="E213" s="145" t="n"/>
      <c r="F213" s="145" t="n"/>
      <c r="G213" s="145" t="n"/>
      <c r="H213" s="145" t="n"/>
      <c r="I213" s="145" t="n"/>
      <c r="J213" s="145" t="n"/>
      <c r="K213" s="145" t="n"/>
      <c r="L213" s="145" t="n"/>
      <c r="M213" s="145" t="n"/>
      <c r="N213" s="1" t="n"/>
      <c r="O213" s="1" t="n"/>
      <c r="P213" s="1" t="n"/>
      <c r="Q213" s="1" t="n"/>
      <c r="R213" s="1" t="n"/>
      <c r="S213" s="1" t="n"/>
      <c r="T213" s="1" t="n"/>
      <c r="U213" s="1" t="n"/>
      <c r="V213" s="1" t="n"/>
      <c r="W213" s="1" t="n"/>
      <c r="X213" s="1" t="n"/>
      <c r="Y213" s="1" t="n"/>
      <c r="Z213" s="1" t="n"/>
    </row>
    <row r="214" ht="15.75" customHeight="1" s="311">
      <c r="A214" s="145" t="n"/>
      <c r="B214" s="145" t="n"/>
      <c r="C214" s="145" t="n"/>
      <c r="D214" s="145" t="n"/>
      <c r="E214" s="145" t="n"/>
      <c r="F214" s="145" t="n"/>
      <c r="G214" s="145" t="n"/>
      <c r="H214" s="145" t="n"/>
      <c r="I214" s="145" t="n"/>
      <c r="J214" s="145" t="n"/>
      <c r="K214" s="145" t="n"/>
      <c r="L214" s="145" t="n"/>
      <c r="M214" s="145" t="n"/>
      <c r="N214" s="1" t="n"/>
      <c r="O214" s="1" t="n"/>
      <c r="P214" s="1" t="n"/>
      <c r="Q214" s="1" t="n"/>
      <c r="R214" s="1" t="n"/>
      <c r="S214" s="1" t="n"/>
      <c r="T214" s="1" t="n"/>
      <c r="U214" s="1" t="n"/>
      <c r="V214" s="1" t="n"/>
      <c r="W214" s="1" t="n"/>
      <c r="X214" s="1" t="n"/>
      <c r="Y214" s="1" t="n"/>
      <c r="Z214" s="1" t="n"/>
    </row>
    <row r="215" ht="15.75" customHeight="1" s="311">
      <c r="A215" s="145" t="n"/>
      <c r="B215" s="145" t="n"/>
      <c r="C215" s="145" t="n"/>
      <c r="D215" s="145" t="n"/>
      <c r="E215" s="145" t="n"/>
      <c r="F215" s="145" t="n"/>
      <c r="G215" s="145" t="n"/>
      <c r="H215" s="145" t="n"/>
      <c r="I215" s="145" t="n"/>
      <c r="J215" s="145" t="n"/>
      <c r="K215" s="145" t="n"/>
      <c r="L215" s="145" t="n"/>
      <c r="M215" s="145" t="n"/>
      <c r="N215" s="1" t="n"/>
      <c r="O215" s="1" t="n"/>
      <c r="P215" s="1" t="n"/>
      <c r="Q215" s="1" t="n"/>
      <c r="R215" s="1" t="n"/>
      <c r="S215" s="1" t="n"/>
      <c r="T215" s="1" t="n"/>
      <c r="U215" s="1" t="n"/>
      <c r="V215" s="1" t="n"/>
      <c r="W215" s="1" t="n"/>
      <c r="X215" s="1" t="n"/>
      <c r="Y215" s="1" t="n"/>
      <c r="Z215" s="1" t="n"/>
    </row>
    <row r="216" ht="15.75" customHeight="1" s="311">
      <c r="A216" s="145" t="n"/>
      <c r="B216" s="145" t="n"/>
      <c r="C216" s="145" t="n"/>
      <c r="D216" s="145" t="n"/>
      <c r="E216" s="145" t="n"/>
      <c r="F216" s="145" t="n"/>
      <c r="G216" s="145" t="n"/>
      <c r="H216" s="145" t="n"/>
      <c r="I216" s="145" t="n"/>
      <c r="J216" s="145" t="n"/>
      <c r="K216" s="145" t="n"/>
      <c r="L216" s="145" t="n"/>
      <c r="M216" s="145" t="n"/>
      <c r="N216" s="1" t="n"/>
      <c r="O216" s="1" t="n"/>
      <c r="P216" s="1" t="n"/>
      <c r="Q216" s="1" t="n"/>
      <c r="R216" s="1" t="n"/>
      <c r="S216" s="1" t="n"/>
      <c r="T216" s="1" t="n"/>
      <c r="U216" s="1" t="n"/>
      <c r="V216" s="1" t="n"/>
      <c r="W216" s="1" t="n"/>
      <c r="X216" s="1" t="n"/>
      <c r="Y216" s="1" t="n"/>
      <c r="Z216" s="1" t="n"/>
    </row>
    <row r="217" ht="15.75" customHeight="1" s="311">
      <c r="A217" s="145" t="n"/>
      <c r="B217" s="145" t="n"/>
      <c r="C217" s="145" t="n"/>
      <c r="D217" s="145" t="n"/>
      <c r="E217" s="145" t="n"/>
      <c r="F217" s="145" t="n"/>
      <c r="G217" s="145" t="n"/>
      <c r="H217" s="145" t="n"/>
      <c r="I217" s="145" t="n"/>
      <c r="J217" s="145" t="n"/>
      <c r="K217" s="145" t="n"/>
      <c r="L217" s="145" t="n"/>
      <c r="M217" s="145" t="n"/>
      <c r="N217" s="1" t="n"/>
      <c r="O217" s="1" t="n"/>
      <c r="P217" s="1" t="n"/>
      <c r="Q217" s="1" t="n"/>
      <c r="R217" s="1" t="n"/>
      <c r="S217" s="1" t="n"/>
      <c r="T217" s="1" t="n"/>
      <c r="U217" s="1" t="n"/>
      <c r="V217" s="1" t="n"/>
      <c r="W217" s="1" t="n"/>
      <c r="X217" s="1" t="n"/>
      <c r="Y217" s="1" t="n"/>
      <c r="Z217" s="1" t="n"/>
    </row>
    <row r="218" ht="15.75" customHeight="1" s="311">
      <c r="A218" s="145" t="n"/>
      <c r="B218" s="145" t="n"/>
      <c r="C218" s="145" t="n"/>
      <c r="D218" s="145" t="n"/>
      <c r="E218" s="145" t="n"/>
      <c r="F218" s="145" t="n"/>
      <c r="G218" s="145" t="n"/>
      <c r="H218" s="145" t="n"/>
      <c r="I218" s="145" t="n"/>
      <c r="J218" s="145" t="n"/>
      <c r="K218" s="145" t="n"/>
      <c r="L218" s="145" t="n"/>
      <c r="M218" s="145" t="n"/>
      <c r="N218" s="1" t="n"/>
      <c r="O218" s="1" t="n"/>
      <c r="P218" s="1" t="n"/>
      <c r="Q218" s="1" t="n"/>
      <c r="R218" s="1" t="n"/>
      <c r="S218" s="1" t="n"/>
      <c r="T218" s="1" t="n"/>
      <c r="U218" s="1" t="n"/>
      <c r="V218" s="1" t="n"/>
      <c r="W218" s="1" t="n"/>
      <c r="X218" s="1" t="n"/>
      <c r="Y218" s="1" t="n"/>
      <c r="Z218" s="1" t="n"/>
    </row>
    <row r="219" ht="15.75" customHeight="1" s="311">
      <c r="A219" s="145" t="n"/>
      <c r="B219" s="145" t="n"/>
      <c r="C219" s="145" t="n"/>
      <c r="D219" s="145" t="n"/>
      <c r="E219" s="145" t="n"/>
      <c r="F219" s="145" t="n"/>
      <c r="G219" s="145" t="n"/>
      <c r="H219" s="145" t="n"/>
      <c r="I219" s="145" t="n"/>
      <c r="J219" s="145" t="n"/>
      <c r="K219" s="145" t="n"/>
      <c r="L219" s="145" t="n"/>
      <c r="M219" s="145" t="n"/>
      <c r="N219" s="1" t="n"/>
      <c r="O219" s="1" t="n"/>
      <c r="P219" s="1" t="n"/>
      <c r="Q219" s="1" t="n"/>
      <c r="R219" s="1" t="n"/>
      <c r="S219" s="1" t="n"/>
      <c r="T219" s="1" t="n"/>
      <c r="U219" s="1" t="n"/>
      <c r="V219" s="1" t="n"/>
      <c r="W219" s="1" t="n"/>
      <c r="X219" s="1" t="n"/>
      <c r="Y219" s="1" t="n"/>
      <c r="Z219" s="1" t="n"/>
    </row>
    <row r="220" ht="15.75" customHeight="1" s="311">
      <c r="A220" s="145" t="n"/>
      <c r="B220" s="145" t="n"/>
      <c r="C220" s="145" t="n"/>
      <c r="D220" s="145" t="n"/>
      <c r="E220" s="145" t="n"/>
      <c r="F220" s="145" t="n"/>
      <c r="G220" s="145" t="n"/>
      <c r="H220" s="145" t="n"/>
      <c r="I220" s="145" t="n"/>
      <c r="J220" s="145" t="n"/>
      <c r="K220" s="145" t="n"/>
      <c r="L220" s="145" t="n"/>
      <c r="M220" s="145" t="n"/>
      <c r="N220" s="1" t="n"/>
      <c r="O220" s="1" t="n"/>
      <c r="P220" s="1" t="n"/>
      <c r="Q220" s="1" t="n"/>
      <c r="R220" s="1" t="n"/>
      <c r="S220" s="1" t="n"/>
      <c r="T220" s="1" t="n"/>
      <c r="U220" s="1" t="n"/>
      <c r="V220" s="1" t="n"/>
      <c r="W220" s="1" t="n"/>
      <c r="X220" s="1" t="n"/>
      <c r="Y220" s="1" t="n"/>
      <c r="Z220" s="1" t="n"/>
    </row>
    <row r="221" ht="15.75" customHeight="1" s="311">
      <c r="A221" s="145" t="n"/>
      <c r="B221" s="145" t="n"/>
      <c r="C221" s="145" t="n"/>
      <c r="D221" s="145" t="n"/>
      <c r="E221" s="145" t="n"/>
      <c r="F221" s="145" t="n"/>
      <c r="G221" s="145" t="n"/>
      <c r="H221" s="145" t="n"/>
      <c r="I221" s="145" t="n"/>
      <c r="J221" s="145" t="n"/>
      <c r="K221" s="145" t="n"/>
      <c r="L221" s="145" t="n"/>
      <c r="M221" s="145" t="n"/>
      <c r="N221" s="1" t="n"/>
      <c r="O221" s="1" t="n"/>
      <c r="P221" s="1" t="n"/>
      <c r="Q221" s="1" t="n"/>
      <c r="R221" s="1" t="n"/>
      <c r="S221" s="1" t="n"/>
      <c r="T221" s="1" t="n"/>
      <c r="U221" s="1" t="n"/>
      <c r="V221" s="1" t="n"/>
      <c r="W221" s="1" t="n"/>
      <c r="X221" s="1" t="n"/>
      <c r="Y221" s="1" t="n"/>
      <c r="Z221" s="1" t="n"/>
    </row>
    <row r="222" ht="15.75" customHeight="1" s="311">
      <c r="A222" s="145" t="n"/>
      <c r="B222" s="145" t="n"/>
      <c r="C222" s="145" t="n"/>
      <c r="D222" s="145" t="n"/>
      <c r="E222" s="145" t="n"/>
      <c r="F222" s="145" t="n"/>
      <c r="G222" s="145" t="n"/>
      <c r="H222" s="145" t="n"/>
      <c r="I222" s="145" t="n"/>
      <c r="J222" s="145" t="n"/>
      <c r="K222" s="145" t="n"/>
      <c r="L222" s="145" t="n"/>
      <c r="M222" s="145" t="n"/>
      <c r="N222" s="1" t="n"/>
      <c r="O222" s="1" t="n"/>
      <c r="P222" s="1" t="n"/>
      <c r="Q222" s="1" t="n"/>
      <c r="R222" s="1" t="n"/>
      <c r="S222" s="1" t="n"/>
      <c r="T222" s="1" t="n"/>
      <c r="U222" s="1" t="n"/>
      <c r="V222" s="1" t="n"/>
      <c r="W222" s="1" t="n"/>
      <c r="X222" s="1" t="n"/>
      <c r="Y222" s="1" t="n"/>
      <c r="Z222" s="1" t="n"/>
    </row>
    <row r="223" ht="15.75" customHeight="1" s="311">
      <c r="A223" s="145" t="n"/>
      <c r="B223" s="145" t="n"/>
      <c r="C223" s="145" t="n"/>
      <c r="D223" s="145" t="n"/>
      <c r="E223" s="145" t="n"/>
      <c r="F223" s="145" t="n"/>
      <c r="G223" s="145" t="n"/>
      <c r="H223" s="145" t="n"/>
      <c r="I223" s="145" t="n"/>
      <c r="J223" s="145" t="n"/>
      <c r="K223" s="145" t="n"/>
      <c r="L223" s="145" t="n"/>
      <c r="M223" s="145" t="n"/>
      <c r="N223" s="1" t="n"/>
      <c r="O223" s="1" t="n"/>
      <c r="P223" s="1" t="n"/>
      <c r="Q223" s="1" t="n"/>
      <c r="R223" s="1" t="n"/>
      <c r="S223" s="1" t="n"/>
      <c r="T223" s="1" t="n"/>
      <c r="U223" s="1" t="n"/>
      <c r="V223" s="1" t="n"/>
      <c r="W223" s="1" t="n"/>
      <c r="X223" s="1" t="n"/>
      <c r="Y223" s="1" t="n"/>
      <c r="Z223" s="1" t="n"/>
    </row>
    <row r="224" ht="15.75" customHeight="1" s="311">
      <c r="A224" s="145" t="n"/>
      <c r="B224" s="145" t="n"/>
      <c r="C224" s="145" t="n"/>
      <c r="D224" s="145" t="n"/>
      <c r="E224" s="145" t="n"/>
      <c r="F224" s="145" t="n"/>
      <c r="G224" s="145" t="n"/>
      <c r="H224" s="145" t="n"/>
      <c r="I224" s="145" t="n"/>
      <c r="J224" s="145" t="n"/>
      <c r="K224" s="145" t="n"/>
      <c r="L224" s="145" t="n"/>
      <c r="M224" s="145" t="n"/>
      <c r="N224" s="1" t="n"/>
      <c r="O224" s="1" t="n"/>
      <c r="P224" s="1" t="n"/>
      <c r="Q224" s="1" t="n"/>
      <c r="R224" s="1" t="n"/>
      <c r="S224" s="1" t="n"/>
      <c r="T224" s="1" t="n"/>
      <c r="U224" s="1" t="n"/>
      <c r="V224" s="1" t="n"/>
      <c r="W224" s="1" t="n"/>
      <c r="X224" s="1" t="n"/>
      <c r="Y224" s="1" t="n"/>
      <c r="Z224" s="1" t="n"/>
    </row>
    <row r="225" ht="15.75" customHeight="1" s="311">
      <c r="A225" s="145" t="n"/>
      <c r="B225" s="145" t="n"/>
      <c r="C225" s="145" t="n"/>
      <c r="D225" s="145" t="n"/>
      <c r="E225" s="145" t="n"/>
      <c r="F225" s="145" t="n"/>
      <c r="G225" s="145" t="n"/>
      <c r="H225" s="145" t="n"/>
      <c r="I225" s="145" t="n"/>
      <c r="J225" s="145" t="n"/>
      <c r="K225" s="145" t="n"/>
      <c r="L225" s="145" t="n"/>
      <c r="M225" s="145" t="n"/>
      <c r="N225" s="1" t="n"/>
      <c r="O225" s="1" t="n"/>
      <c r="P225" s="1" t="n"/>
      <c r="Q225" s="1" t="n"/>
      <c r="R225" s="1" t="n"/>
      <c r="S225" s="1" t="n"/>
      <c r="T225" s="1" t="n"/>
      <c r="U225" s="1" t="n"/>
      <c r="V225" s="1" t="n"/>
      <c r="W225" s="1" t="n"/>
      <c r="X225" s="1" t="n"/>
      <c r="Y225" s="1" t="n"/>
      <c r="Z225" s="1" t="n"/>
    </row>
    <row r="226" ht="15.75" customHeight="1" s="311">
      <c r="A226" s="145" t="n"/>
      <c r="B226" s="145" t="n"/>
      <c r="C226" s="145" t="n"/>
      <c r="D226" s="145" t="n"/>
      <c r="E226" s="145" t="n"/>
      <c r="F226" s="145" t="n"/>
      <c r="G226" s="145" t="n"/>
      <c r="H226" s="145" t="n"/>
      <c r="I226" s="145" t="n"/>
      <c r="J226" s="145" t="n"/>
      <c r="K226" s="145" t="n"/>
      <c r="L226" s="145" t="n"/>
      <c r="M226" s="145" t="n"/>
      <c r="N226" s="1" t="n"/>
      <c r="O226" s="1" t="n"/>
      <c r="P226" s="1" t="n"/>
      <c r="Q226" s="1" t="n"/>
      <c r="R226" s="1" t="n"/>
      <c r="S226" s="1" t="n"/>
      <c r="T226" s="1" t="n"/>
      <c r="U226" s="1" t="n"/>
      <c r="V226" s="1" t="n"/>
      <c r="W226" s="1" t="n"/>
      <c r="X226" s="1" t="n"/>
      <c r="Y226" s="1" t="n"/>
      <c r="Z226" s="1" t="n"/>
    </row>
    <row r="227" ht="15.75" customHeight="1" s="311">
      <c r="A227" s="145" t="n"/>
      <c r="B227" s="145" t="n"/>
      <c r="C227" s="145" t="n"/>
      <c r="D227" s="145" t="n"/>
      <c r="E227" s="145" t="n"/>
      <c r="F227" s="145" t="n"/>
      <c r="G227" s="145" t="n"/>
      <c r="H227" s="145" t="n"/>
      <c r="I227" s="145" t="n"/>
      <c r="J227" s="145" t="n"/>
      <c r="K227" s="145" t="n"/>
      <c r="L227" s="145" t="n"/>
      <c r="M227" s="145" t="n"/>
      <c r="N227" s="1" t="n"/>
      <c r="O227" s="1" t="n"/>
      <c r="P227" s="1" t="n"/>
      <c r="Q227" s="1" t="n"/>
      <c r="R227" s="1" t="n"/>
      <c r="S227" s="1" t="n"/>
      <c r="T227" s="1" t="n"/>
      <c r="U227" s="1" t="n"/>
      <c r="V227" s="1" t="n"/>
      <c r="W227" s="1" t="n"/>
      <c r="X227" s="1" t="n"/>
      <c r="Y227" s="1" t="n"/>
      <c r="Z227" s="1" t="n"/>
    </row>
    <row r="228" ht="15.75" customHeight="1" s="311">
      <c r="A228" s="145" t="n"/>
      <c r="B228" s="145" t="n"/>
      <c r="C228" s="145" t="n"/>
      <c r="D228" s="145" t="n"/>
      <c r="E228" s="145" t="n"/>
      <c r="F228" s="145" t="n"/>
      <c r="G228" s="145" t="n"/>
      <c r="H228" s="145" t="n"/>
      <c r="I228" s="145" t="n"/>
      <c r="J228" s="145" t="n"/>
      <c r="K228" s="145" t="n"/>
      <c r="L228" s="145" t="n"/>
      <c r="M228" s="145" t="n"/>
      <c r="N228" s="1" t="n"/>
      <c r="O228" s="1" t="n"/>
      <c r="P228" s="1" t="n"/>
      <c r="Q228" s="1" t="n"/>
      <c r="R228" s="1" t="n"/>
      <c r="S228" s="1" t="n"/>
      <c r="T228" s="1" t="n"/>
      <c r="U228" s="1" t="n"/>
      <c r="V228" s="1" t="n"/>
      <c r="W228" s="1" t="n"/>
      <c r="X228" s="1" t="n"/>
      <c r="Y228" s="1" t="n"/>
      <c r="Z228" s="1" t="n"/>
    </row>
    <row r="229" ht="15.75" customHeight="1" s="311">
      <c r="A229" s="145" t="n"/>
      <c r="B229" s="145" t="n"/>
      <c r="C229" s="145" t="n"/>
      <c r="D229" s="145" t="n"/>
      <c r="E229" s="145" t="n"/>
      <c r="F229" s="145" t="n"/>
      <c r="G229" s="145" t="n"/>
      <c r="H229" s="145" t="n"/>
      <c r="I229" s="145" t="n"/>
      <c r="J229" s="145" t="n"/>
      <c r="K229" s="145" t="n"/>
      <c r="L229" s="145" t="n"/>
      <c r="M229" s="145" t="n"/>
      <c r="N229" s="1" t="n"/>
      <c r="O229" s="1" t="n"/>
      <c r="P229" s="1" t="n"/>
      <c r="Q229" s="1" t="n"/>
      <c r="R229" s="1" t="n"/>
      <c r="S229" s="1" t="n"/>
      <c r="T229" s="1" t="n"/>
      <c r="U229" s="1" t="n"/>
      <c r="V229" s="1" t="n"/>
      <c r="W229" s="1" t="n"/>
      <c r="X229" s="1" t="n"/>
      <c r="Y229" s="1" t="n"/>
      <c r="Z229" s="1" t="n"/>
    </row>
    <row r="230" ht="15.75" customHeight="1" s="311">
      <c r="A230" s="145" t="n"/>
      <c r="B230" s="145" t="n"/>
      <c r="C230" s="145" t="n"/>
      <c r="D230" s="145" t="n"/>
      <c r="E230" s="145" t="n"/>
      <c r="F230" s="145" t="n"/>
      <c r="G230" s="145" t="n"/>
      <c r="H230" s="145" t="n"/>
      <c r="I230" s="145" t="n"/>
      <c r="J230" s="145" t="n"/>
      <c r="K230" s="145" t="n"/>
      <c r="L230" s="145" t="n"/>
      <c r="M230" s="145" t="n"/>
      <c r="N230" s="1" t="n"/>
      <c r="O230" s="1" t="n"/>
      <c r="P230" s="1" t="n"/>
      <c r="Q230" s="1" t="n"/>
      <c r="R230" s="1" t="n"/>
      <c r="S230" s="1" t="n"/>
      <c r="T230" s="1" t="n"/>
      <c r="U230" s="1" t="n"/>
      <c r="V230" s="1" t="n"/>
      <c r="W230" s="1" t="n"/>
      <c r="X230" s="1" t="n"/>
      <c r="Y230" s="1" t="n"/>
      <c r="Z230" s="1" t="n"/>
    </row>
    <row r="231" ht="15.75" customHeight="1" s="311">
      <c r="A231" s="145" t="n"/>
      <c r="B231" s="145" t="n"/>
      <c r="C231" s="145" t="n"/>
      <c r="D231" s="145" t="n"/>
      <c r="E231" s="145" t="n"/>
      <c r="F231" s="145" t="n"/>
      <c r="G231" s="145" t="n"/>
      <c r="H231" s="145" t="n"/>
      <c r="I231" s="145" t="n"/>
      <c r="J231" s="145" t="n"/>
      <c r="K231" s="145" t="n"/>
      <c r="L231" s="145" t="n"/>
      <c r="M231" s="145" t="n"/>
      <c r="N231" s="1" t="n"/>
      <c r="O231" s="1" t="n"/>
      <c r="P231" s="1" t="n"/>
      <c r="Q231" s="1" t="n"/>
      <c r="R231" s="1" t="n"/>
      <c r="S231" s="1" t="n"/>
      <c r="T231" s="1" t="n"/>
      <c r="U231" s="1" t="n"/>
      <c r="V231" s="1" t="n"/>
      <c r="W231" s="1" t="n"/>
      <c r="X231" s="1" t="n"/>
      <c r="Y231" s="1" t="n"/>
      <c r="Z231" s="1" t="n"/>
    </row>
    <row r="232" ht="15.75" customHeight="1" s="311">
      <c r="A232" s="145" t="n"/>
      <c r="B232" s="145" t="n"/>
      <c r="C232" s="145" t="n"/>
      <c r="D232" s="145" t="n"/>
      <c r="E232" s="145" t="n"/>
      <c r="F232" s="145" t="n"/>
      <c r="G232" s="145" t="n"/>
      <c r="H232" s="145" t="n"/>
      <c r="I232" s="145" t="n"/>
      <c r="J232" s="145" t="n"/>
      <c r="K232" s="145" t="n"/>
      <c r="L232" s="145" t="n"/>
      <c r="M232" s="145" t="n"/>
      <c r="N232" s="1" t="n"/>
      <c r="O232" s="1" t="n"/>
      <c r="P232" s="1" t="n"/>
      <c r="Q232" s="1" t="n"/>
      <c r="R232" s="1" t="n"/>
      <c r="S232" s="1" t="n"/>
      <c r="T232" s="1" t="n"/>
      <c r="U232" s="1" t="n"/>
      <c r="V232" s="1" t="n"/>
      <c r="W232" s="1" t="n"/>
      <c r="X232" s="1" t="n"/>
      <c r="Y232" s="1" t="n"/>
      <c r="Z232" s="1" t="n"/>
    </row>
    <row r="233" ht="15.75" customHeight="1" s="311">
      <c r="A233" s="145" t="n"/>
      <c r="B233" s="145" t="n"/>
      <c r="C233" s="145" t="n"/>
      <c r="D233" s="145" t="n"/>
      <c r="E233" s="145" t="n"/>
      <c r="F233" s="145" t="n"/>
      <c r="G233" s="145" t="n"/>
      <c r="H233" s="145" t="n"/>
      <c r="I233" s="145" t="n"/>
      <c r="J233" s="145" t="n"/>
      <c r="K233" s="145" t="n"/>
      <c r="L233" s="145" t="n"/>
      <c r="M233" s="145" t="n"/>
      <c r="N233" s="1" t="n"/>
      <c r="O233" s="1" t="n"/>
      <c r="P233" s="1" t="n"/>
      <c r="Q233" s="1" t="n"/>
      <c r="R233" s="1" t="n"/>
      <c r="S233" s="1" t="n"/>
      <c r="T233" s="1" t="n"/>
      <c r="U233" s="1" t="n"/>
      <c r="V233" s="1" t="n"/>
      <c r="W233" s="1" t="n"/>
      <c r="X233" s="1" t="n"/>
      <c r="Y233" s="1" t="n"/>
      <c r="Z233" s="1" t="n"/>
    </row>
    <row r="234" ht="15.75" customHeight="1" s="311">
      <c r="A234" s="145" t="n"/>
      <c r="B234" s="145" t="n"/>
      <c r="C234" s="145" t="n"/>
      <c r="D234" s="145" t="n"/>
      <c r="E234" s="145" t="n"/>
      <c r="F234" s="145" t="n"/>
      <c r="G234" s="145" t="n"/>
      <c r="H234" s="145" t="n"/>
      <c r="I234" s="145" t="n"/>
      <c r="J234" s="145" t="n"/>
      <c r="K234" s="145" t="n"/>
      <c r="L234" s="145" t="n"/>
      <c r="M234" s="145" t="n"/>
      <c r="N234" s="1" t="n"/>
      <c r="O234" s="1" t="n"/>
      <c r="P234" s="1" t="n"/>
      <c r="Q234" s="1" t="n"/>
      <c r="R234" s="1" t="n"/>
      <c r="S234" s="1" t="n"/>
      <c r="T234" s="1" t="n"/>
      <c r="U234" s="1" t="n"/>
      <c r="V234" s="1" t="n"/>
      <c r="W234" s="1" t="n"/>
      <c r="X234" s="1" t="n"/>
      <c r="Y234" s="1" t="n"/>
      <c r="Z234" s="1" t="n"/>
    </row>
    <row r="235" ht="15.75" customHeight="1" s="311">
      <c r="A235" s="145" t="n"/>
      <c r="B235" s="145" t="n"/>
      <c r="C235" s="145" t="n"/>
      <c r="D235" s="145" t="n"/>
      <c r="E235" s="145" t="n"/>
      <c r="F235" s="145" t="n"/>
      <c r="G235" s="145" t="n"/>
      <c r="H235" s="145" t="n"/>
      <c r="I235" s="145" t="n"/>
      <c r="J235" s="145" t="n"/>
      <c r="K235" s="145" t="n"/>
      <c r="L235" s="145" t="n"/>
      <c r="M235" s="145" t="n"/>
      <c r="N235" s="1" t="n"/>
      <c r="O235" s="1" t="n"/>
      <c r="P235" s="1" t="n"/>
      <c r="Q235" s="1" t="n"/>
      <c r="R235" s="1" t="n"/>
      <c r="S235" s="1" t="n"/>
      <c r="T235" s="1" t="n"/>
      <c r="U235" s="1" t="n"/>
      <c r="V235" s="1" t="n"/>
      <c r="W235" s="1" t="n"/>
      <c r="X235" s="1" t="n"/>
      <c r="Y235" s="1" t="n"/>
      <c r="Z235" s="1" t="n"/>
    </row>
    <row r="236" ht="15.75" customHeight="1" s="311">
      <c r="A236" s="145" t="n"/>
      <c r="B236" s="145" t="n"/>
      <c r="C236" s="145" t="n"/>
      <c r="D236" s="145" t="n"/>
      <c r="E236" s="145" t="n"/>
      <c r="F236" s="145" t="n"/>
      <c r="G236" s="145" t="n"/>
      <c r="H236" s="145" t="n"/>
      <c r="I236" s="145" t="n"/>
      <c r="J236" s="145" t="n"/>
      <c r="K236" s="145" t="n"/>
      <c r="L236" s="145" t="n"/>
      <c r="M236" s="145" t="n"/>
      <c r="N236" s="1" t="n"/>
      <c r="O236" s="1" t="n"/>
      <c r="P236" s="1" t="n"/>
      <c r="Q236" s="1" t="n"/>
      <c r="R236" s="1" t="n"/>
      <c r="S236" s="1" t="n"/>
      <c r="T236" s="1" t="n"/>
      <c r="U236" s="1" t="n"/>
      <c r="V236" s="1" t="n"/>
      <c r="W236" s="1" t="n"/>
      <c r="X236" s="1" t="n"/>
      <c r="Y236" s="1" t="n"/>
      <c r="Z236" s="1" t="n"/>
    </row>
    <row r="237" ht="15.75" customHeight="1" s="311">
      <c r="A237" s="145" t="n"/>
      <c r="B237" s="145" t="n"/>
      <c r="C237" s="145" t="n"/>
      <c r="D237" s="145" t="n"/>
      <c r="E237" s="145" t="n"/>
      <c r="F237" s="145" t="n"/>
      <c r="G237" s="145" t="n"/>
      <c r="H237" s="145" t="n"/>
      <c r="I237" s="145" t="n"/>
      <c r="J237" s="145" t="n"/>
      <c r="K237" s="145" t="n"/>
      <c r="L237" s="145" t="n"/>
      <c r="M237" s="145" t="n"/>
      <c r="N237" s="1" t="n"/>
      <c r="O237" s="1" t="n"/>
      <c r="P237" s="1" t="n"/>
      <c r="Q237" s="1" t="n"/>
      <c r="R237" s="1" t="n"/>
      <c r="S237" s="1" t="n"/>
      <c r="T237" s="1" t="n"/>
      <c r="U237" s="1" t="n"/>
      <c r="V237" s="1" t="n"/>
      <c r="W237" s="1" t="n"/>
      <c r="X237" s="1" t="n"/>
      <c r="Y237" s="1" t="n"/>
      <c r="Z237" s="1" t="n"/>
    </row>
    <row r="238" ht="15.75" customHeight="1" s="311">
      <c r="A238" s="145" t="n"/>
      <c r="B238" s="145" t="n"/>
      <c r="C238" s="145" t="n"/>
      <c r="D238" s="145" t="n"/>
      <c r="E238" s="145" t="n"/>
      <c r="F238" s="145" t="n"/>
      <c r="G238" s="145" t="n"/>
      <c r="H238" s="145" t="n"/>
      <c r="I238" s="145" t="n"/>
      <c r="J238" s="145" t="n"/>
      <c r="K238" s="145" t="n"/>
      <c r="L238" s="145" t="n"/>
      <c r="M238" s="145" t="n"/>
      <c r="N238" s="1" t="n"/>
      <c r="O238" s="1" t="n"/>
      <c r="P238" s="1" t="n"/>
      <c r="Q238" s="1" t="n"/>
      <c r="R238" s="1" t="n"/>
      <c r="S238" s="1" t="n"/>
      <c r="T238" s="1" t="n"/>
      <c r="U238" s="1" t="n"/>
      <c r="V238" s="1" t="n"/>
      <c r="W238" s="1" t="n"/>
      <c r="X238" s="1" t="n"/>
      <c r="Y238" s="1" t="n"/>
      <c r="Z238" s="1" t="n"/>
    </row>
    <row r="239" ht="15.75" customHeight="1" s="311">
      <c r="A239" s="145" t="n"/>
      <c r="B239" s="145" t="n"/>
      <c r="C239" s="145" t="n"/>
      <c r="D239" s="145" t="n"/>
      <c r="E239" s="145" t="n"/>
      <c r="F239" s="145" t="n"/>
      <c r="G239" s="145" t="n"/>
      <c r="H239" s="145" t="n"/>
      <c r="I239" s="145" t="n"/>
      <c r="J239" s="145" t="n"/>
      <c r="K239" s="145" t="n"/>
      <c r="L239" s="145" t="n"/>
      <c r="M239" s="145" t="n"/>
      <c r="N239" s="1" t="n"/>
      <c r="O239" s="1" t="n"/>
      <c r="P239" s="1" t="n"/>
      <c r="Q239" s="1" t="n"/>
      <c r="R239" s="1" t="n"/>
      <c r="S239" s="1" t="n"/>
      <c r="T239" s="1" t="n"/>
      <c r="U239" s="1" t="n"/>
      <c r="V239" s="1" t="n"/>
      <c r="W239" s="1" t="n"/>
      <c r="X239" s="1" t="n"/>
      <c r="Y239" s="1" t="n"/>
      <c r="Z239" s="1" t="n"/>
    </row>
    <row r="240" ht="15.75" customHeight="1" s="311">
      <c r="A240" s="145" t="n"/>
      <c r="B240" s="145" t="n"/>
      <c r="C240" s="145" t="n"/>
      <c r="D240" s="145" t="n"/>
      <c r="E240" s="145" t="n"/>
      <c r="F240" s="145" t="n"/>
      <c r="G240" s="145" t="n"/>
      <c r="H240" s="145" t="n"/>
      <c r="I240" s="145" t="n"/>
      <c r="J240" s="145" t="n"/>
      <c r="K240" s="145" t="n"/>
      <c r="L240" s="145" t="n"/>
      <c r="M240" s="145" t="n"/>
      <c r="N240" s="1" t="n"/>
      <c r="O240" s="1" t="n"/>
      <c r="P240" s="1" t="n"/>
      <c r="Q240" s="1" t="n"/>
      <c r="R240" s="1" t="n"/>
      <c r="S240" s="1" t="n"/>
      <c r="T240" s="1" t="n"/>
      <c r="U240" s="1" t="n"/>
      <c r="V240" s="1" t="n"/>
      <c r="W240" s="1" t="n"/>
      <c r="X240" s="1" t="n"/>
      <c r="Y240" s="1" t="n"/>
      <c r="Z240" s="1" t="n"/>
    </row>
    <row r="241" ht="15.75" customHeight="1" s="311">
      <c r="A241" s="145" t="n"/>
      <c r="B241" s="145" t="n"/>
      <c r="C241" s="145" t="n"/>
      <c r="D241" s="145" t="n"/>
      <c r="E241" s="145" t="n"/>
      <c r="F241" s="145" t="n"/>
      <c r="G241" s="145" t="n"/>
      <c r="H241" s="145" t="n"/>
      <c r="I241" s="145" t="n"/>
      <c r="J241" s="145" t="n"/>
      <c r="K241" s="145" t="n"/>
      <c r="L241" s="145" t="n"/>
      <c r="M241" s="145" t="n"/>
      <c r="N241" s="1" t="n"/>
      <c r="O241" s="1" t="n"/>
      <c r="P241" s="1" t="n"/>
      <c r="Q241" s="1" t="n"/>
      <c r="R241" s="1" t="n"/>
      <c r="S241" s="1" t="n"/>
      <c r="T241" s="1" t="n"/>
      <c r="U241" s="1" t="n"/>
      <c r="V241" s="1" t="n"/>
      <c r="W241" s="1" t="n"/>
      <c r="X241" s="1" t="n"/>
      <c r="Y241" s="1" t="n"/>
      <c r="Z241" s="1" t="n"/>
    </row>
    <row r="242" ht="15.75" customHeight="1" s="311">
      <c r="A242" s="145" t="n"/>
      <c r="B242" s="145" t="n"/>
      <c r="C242" s="145" t="n"/>
      <c r="D242" s="145" t="n"/>
      <c r="E242" s="145" t="n"/>
      <c r="F242" s="145" t="n"/>
      <c r="G242" s="145" t="n"/>
      <c r="H242" s="145" t="n"/>
      <c r="I242" s="145" t="n"/>
      <c r="J242" s="145" t="n"/>
      <c r="K242" s="145" t="n"/>
      <c r="L242" s="145" t="n"/>
      <c r="M242" s="145" t="n"/>
      <c r="N242" s="1" t="n"/>
      <c r="O242" s="1" t="n"/>
      <c r="P242" s="1" t="n"/>
      <c r="Q242" s="1" t="n"/>
      <c r="R242" s="1" t="n"/>
      <c r="S242" s="1" t="n"/>
      <c r="T242" s="1" t="n"/>
      <c r="U242" s="1" t="n"/>
      <c r="V242" s="1" t="n"/>
      <c r="W242" s="1" t="n"/>
      <c r="X242" s="1" t="n"/>
      <c r="Y242" s="1" t="n"/>
      <c r="Z242" s="1" t="n"/>
    </row>
    <row r="243" ht="15.75" customHeight="1" s="311">
      <c r="A243" s="145" t="n"/>
      <c r="B243" s="145" t="n"/>
      <c r="C243" s="145" t="n"/>
      <c r="D243" s="145" t="n"/>
      <c r="E243" s="145" t="n"/>
      <c r="F243" s="145" t="n"/>
      <c r="G243" s="145" t="n"/>
      <c r="H243" s="145" t="n"/>
      <c r="I243" s="145" t="n"/>
      <c r="J243" s="145" t="n"/>
      <c r="K243" s="145" t="n"/>
      <c r="L243" s="145" t="n"/>
      <c r="M243" s="145" t="n"/>
      <c r="N243" s="1" t="n"/>
      <c r="O243" s="1" t="n"/>
      <c r="P243" s="1" t="n"/>
      <c r="Q243" s="1" t="n"/>
      <c r="R243" s="1" t="n"/>
      <c r="S243" s="1" t="n"/>
      <c r="T243" s="1" t="n"/>
      <c r="U243" s="1" t="n"/>
      <c r="V243" s="1" t="n"/>
      <c r="W243" s="1" t="n"/>
      <c r="X243" s="1" t="n"/>
      <c r="Y243" s="1" t="n"/>
      <c r="Z243" s="1" t="n"/>
    </row>
    <row r="244" ht="15.75" customHeight="1" s="311">
      <c r="A244" s="145" t="n"/>
      <c r="B244" s="145" t="n"/>
      <c r="C244" s="145" t="n"/>
      <c r="D244" s="145" t="n"/>
      <c r="E244" s="145" t="n"/>
      <c r="F244" s="145" t="n"/>
      <c r="G244" s="145" t="n"/>
      <c r="H244" s="145" t="n"/>
      <c r="I244" s="145" t="n"/>
      <c r="J244" s="145" t="n"/>
      <c r="K244" s="145" t="n"/>
      <c r="L244" s="145" t="n"/>
      <c r="M244" s="145" t="n"/>
      <c r="N244" s="1" t="n"/>
      <c r="O244" s="1" t="n"/>
      <c r="P244" s="1" t="n"/>
      <c r="Q244" s="1" t="n"/>
      <c r="R244" s="1" t="n"/>
      <c r="S244" s="1" t="n"/>
      <c r="T244" s="1" t="n"/>
      <c r="U244" s="1" t="n"/>
      <c r="V244" s="1" t="n"/>
      <c r="W244" s="1" t="n"/>
      <c r="X244" s="1" t="n"/>
      <c r="Y244" s="1" t="n"/>
      <c r="Z244" s="1" t="n"/>
    </row>
    <row r="245" ht="15.75" customHeight="1" s="311">
      <c r="A245" s="145" t="n"/>
      <c r="B245" s="145" t="n"/>
      <c r="C245" s="145" t="n"/>
      <c r="D245" s="145" t="n"/>
      <c r="E245" s="145" t="n"/>
      <c r="F245" s="145" t="n"/>
      <c r="G245" s="145" t="n"/>
      <c r="H245" s="145" t="n"/>
      <c r="I245" s="145" t="n"/>
      <c r="J245" s="145" t="n"/>
      <c r="K245" s="145" t="n"/>
      <c r="L245" s="145" t="n"/>
      <c r="M245" s="145" t="n"/>
      <c r="N245" s="1" t="n"/>
      <c r="O245" s="1" t="n"/>
      <c r="P245" s="1" t="n"/>
      <c r="Q245" s="1" t="n"/>
      <c r="R245" s="1" t="n"/>
      <c r="S245" s="1" t="n"/>
      <c r="T245" s="1" t="n"/>
      <c r="U245" s="1" t="n"/>
      <c r="V245" s="1" t="n"/>
      <c r="W245" s="1" t="n"/>
      <c r="X245" s="1" t="n"/>
      <c r="Y245" s="1" t="n"/>
      <c r="Z245" s="1" t="n"/>
    </row>
    <row r="246" ht="15.75" customHeight="1" s="311">
      <c r="A246" s="145" t="n"/>
      <c r="B246" s="145" t="n"/>
      <c r="C246" s="145" t="n"/>
      <c r="D246" s="145" t="n"/>
      <c r="E246" s="145" t="n"/>
      <c r="F246" s="145" t="n"/>
      <c r="G246" s="145" t="n"/>
      <c r="H246" s="145" t="n"/>
      <c r="I246" s="145" t="n"/>
      <c r="J246" s="145" t="n"/>
      <c r="K246" s="145" t="n"/>
      <c r="L246" s="145" t="n"/>
      <c r="M246" s="145" t="n"/>
      <c r="N246" s="1" t="n"/>
      <c r="O246" s="1" t="n"/>
      <c r="P246" s="1" t="n"/>
      <c r="Q246" s="1" t="n"/>
      <c r="R246" s="1" t="n"/>
      <c r="S246" s="1" t="n"/>
      <c r="T246" s="1" t="n"/>
      <c r="U246" s="1" t="n"/>
      <c r="V246" s="1" t="n"/>
      <c r="W246" s="1" t="n"/>
      <c r="X246" s="1" t="n"/>
      <c r="Y246" s="1" t="n"/>
      <c r="Z246" s="1" t="n"/>
    </row>
    <row r="247" ht="15.75" customHeight="1" s="311">
      <c r="A247" s="145" t="n"/>
      <c r="B247" s="145" t="n"/>
      <c r="C247" s="145" t="n"/>
      <c r="D247" s="145" t="n"/>
      <c r="E247" s="145" t="n"/>
      <c r="F247" s="145" t="n"/>
      <c r="G247" s="145" t="n"/>
      <c r="H247" s="145" t="n"/>
      <c r="I247" s="145" t="n"/>
      <c r="J247" s="145" t="n"/>
      <c r="K247" s="145" t="n"/>
      <c r="L247" s="145" t="n"/>
      <c r="M247" s="145" t="n"/>
      <c r="N247" s="1" t="n"/>
      <c r="O247" s="1" t="n"/>
      <c r="P247" s="1" t="n"/>
      <c r="Q247" s="1" t="n"/>
      <c r="R247" s="1" t="n"/>
      <c r="S247" s="1" t="n"/>
      <c r="T247" s="1" t="n"/>
      <c r="U247" s="1" t="n"/>
      <c r="V247" s="1" t="n"/>
      <c r="W247" s="1" t="n"/>
      <c r="X247" s="1" t="n"/>
      <c r="Y247" s="1" t="n"/>
      <c r="Z247" s="1" t="n"/>
    </row>
    <row r="248" ht="15.75" customHeight="1" s="311">
      <c r="A248" s="145" t="n"/>
      <c r="B248" s="145" t="n"/>
      <c r="C248" s="145" t="n"/>
      <c r="D248" s="145" t="n"/>
      <c r="E248" s="145" t="n"/>
      <c r="F248" s="145" t="n"/>
      <c r="G248" s="145" t="n"/>
      <c r="H248" s="145" t="n"/>
      <c r="I248" s="145" t="n"/>
      <c r="J248" s="145" t="n"/>
      <c r="K248" s="145" t="n"/>
      <c r="L248" s="145" t="n"/>
      <c r="M248" s="145" t="n"/>
      <c r="N248" s="1" t="n"/>
      <c r="O248" s="1" t="n"/>
      <c r="P248" s="1" t="n"/>
      <c r="Q248" s="1" t="n"/>
      <c r="R248" s="1" t="n"/>
      <c r="S248" s="1" t="n"/>
      <c r="T248" s="1" t="n"/>
      <c r="U248" s="1" t="n"/>
      <c r="V248" s="1" t="n"/>
      <c r="W248" s="1" t="n"/>
      <c r="X248" s="1" t="n"/>
      <c r="Y248" s="1" t="n"/>
      <c r="Z248" s="1" t="n"/>
    </row>
    <row r="249" ht="15.75" customHeight="1" s="311">
      <c r="A249" s="145" t="n"/>
      <c r="B249" s="145" t="n"/>
      <c r="C249" s="145" t="n"/>
      <c r="D249" s="145" t="n"/>
      <c r="E249" s="145" t="n"/>
      <c r="F249" s="145" t="n"/>
      <c r="G249" s="145" t="n"/>
      <c r="H249" s="145" t="n"/>
      <c r="I249" s="145" t="n"/>
      <c r="J249" s="145" t="n"/>
      <c r="K249" s="145" t="n"/>
      <c r="L249" s="145" t="n"/>
      <c r="M249" s="145" t="n"/>
      <c r="N249" s="1" t="n"/>
      <c r="O249" s="1" t="n"/>
      <c r="P249" s="1" t="n"/>
      <c r="Q249" s="1" t="n"/>
      <c r="R249" s="1" t="n"/>
      <c r="S249" s="1" t="n"/>
      <c r="T249" s="1" t="n"/>
      <c r="U249" s="1" t="n"/>
      <c r="V249" s="1" t="n"/>
      <c r="W249" s="1" t="n"/>
      <c r="X249" s="1" t="n"/>
      <c r="Y249" s="1" t="n"/>
      <c r="Z249" s="1" t="n"/>
    </row>
    <row r="250" ht="15.75" customHeight="1" s="311">
      <c r="A250" s="145" t="n"/>
      <c r="B250" s="145" t="n"/>
      <c r="C250" s="145" t="n"/>
      <c r="D250" s="145" t="n"/>
      <c r="E250" s="145" t="n"/>
      <c r="F250" s="145" t="n"/>
      <c r="G250" s="145" t="n"/>
      <c r="H250" s="145" t="n"/>
      <c r="I250" s="145" t="n"/>
      <c r="J250" s="145" t="n"/>
      <c r="K250" s="145" t="n"/>
      <c r="L250" s="145" t="n"/>
      <c r="M250" s="145" t="n"/>
      <c r="N250" s="1" t="n"/>
      <c r="O250" s="1" t="n"/>
      <c r="P250" s="1" t="n"/>
      <c r="Q250" s="1" t="n"/>
      <c r="R250" s="1" t="n"/>
      <c r="S250" s="1" t="n"/>
      <c r="T250" s="1" t="n"/>
      <c r="U250" s="1" t="n"/>
      <c r="V250" s="1" t="n"/>
      <c r="W250" s="1" t="n"/>
      <c r="X250" s="1" t="n"/>
      <c r="Y250" s="1" t="n"/>
      <c r="Z250" s="1" t="n"/>
    </row>
    <row r="251" ht="15.75" customHeight="1" s="311">
      <c r="A251" s="145" t="n"/>
      <c r="B251" s="145" t="n"/>
      <c r="C251" s="145" t="n"/>
      <c r="D251" s="145" t="n"/>
      <c r="E251" s="145" t="n"/>
      <c r="F251" s="145" t="n"/>
      <c r="G251" s="145" t="n"/>
      <c r="H251" s="145" t="n"/>
      <c r="I251" s="145" t="n"/>
      <c r="J251" s="145" t="n"/>
      <c r="K251" s="145" t="n"/>
      <c r="L251" s="145" t="n"/>
      <c r="M251" s="145" t="n"/>
      <c r="N251" s="1" t="n"/>
      <c r="O251" s="1" t="n"/>
      <c r="P251" s="1" t="n"/>
      <c r="Q251" s="1" t="n"/>
      <c r="R251" s="1" t="n"/>
      <c r="S251" s="1" t="n"/>
      <c r="T251" s="1" t="n"/>
      <c r="U251" s="1" t="n"/>
      <c r="V251" s="1" t="n"/>
      <c r="W251" s="1" t="n"/>
      <c r="X251" s="1" t="n"/>
      <c r="Y251" s="1" t="n"/>
      <c r="Z251" s="1" t="n"/>
    </row>
    <row r="252" ht="15.75" customHeight="1" s="311">
      <c r="A252" s="145" t="n"/>
      <c r="B252" s="145" t="n"/>
      <c r="C252" s="145" t="n"/>
      <c r="D252" s="145" t="n"/>
      <c r="E252" s="145" t="n"/>
      <c r="F252" s="145" t="n"/>
      <c r="G252" s="145" t="n"/>
      <c r="H252" s="145" t="n"/>
      <c r="I252" s="145" t="n"/>
      <c r="J252" s="145" t="n"/>
      <c r="K252" s="145" t="n"/>
      <c r="L252" s="145" t="n"/>
      <c r="M252" s="145" t="n"/>
      <c r="N252" s="1" t="n"/>
      <c r="O252" s="1" t="n"/>
      <c r="P252" s="1" t="n"/>
      <c r="Q252" s="1" t="n"/>
      <c r="R252" s="1" t="n"/>
      <c r="S252" s="1" t="n"/>
      <c r="T252" s="1" t="n"/>
      <c r="U252" s="1" t="n"/>
      <c r="V252" s="1" t="n"/>
      <c r="W252" s="1" t="n"/>
      <c r="X252" s="1" t="n"/>
      <c r="Y252" s="1" t="n"/>
      <c r="Z252" s="1" t="n"/>
    </row>
    <row r="253" ht="15.75" customHeight="1" s="311">
      <c r="A253" s="145" t="n"/>
      <c r="B253" s="145" t="n"/>
      <c r="C253" s="145" t="n"/>
      <c r="D253" s="145" t="n"/>
      <c r="E253" s="145" t="n"/>
      <c r="F253" s="145" t="n"/>
      <c r="G253" s="145" t="n"/>
      <c r="H253" s="145" t="n"/>
      <c r="I253" s="145" t="n"/>
      <c r="J253" s="145" t="n"/>
      <c r="K253" s="145" t="n"/>
      <c r="L253" s="145" t="n"/>
      <c r="M253" s="145" t="n"/>
      <c r="N253" s="1" t="n"/>
      <c r="O253" s="1" t="n"/>
      <c r="P253" s="1" t="n"/>
      <c r="Q253" s="1" t="n"/>
      <c r="R253" s="1" t="n"/>
      <c r="S253" s="1" t="n"/>
      <c r="T253" s="1" t="n"/>
      <c r="U253" s="1" t="n"/>
      <c r="V253" s="1" t="n"/>
      <c r="W253" s="1" t="n"/>
      <c r="X253" s="1" t="n"/>
      <c r="Y253" s="1" t="n"/>
      <c r="Z253" s="1" t="n"/>
    </row>
    <row r="254" ht="15.75" customHeight="1" s="311">
      <c r="A254" s="145" t="n"/>
      <c r="B254" s="145" t="n"/>
      <c r="C254" s="145" t="n"/>
      <c r="D254" s="145" t="n"/>
      <c r="E254" s="145" t="n"/>
      <c r="F254" s="145" t="n"/>
      <c r="G254" s="145" t="n"/>
      <c r="H254" s="145" t="n"/>
      <c r="I254" s="145" t="n"/>
      <c r="J254" s="145" t="n"/>
      <c r="K254" s="145" t="n"/>
      <c r="L254" s="145" t="n"/>
      <c r="M254" s="145" t="n"/>
      <c r="N254" s="1" t="n"/>
      <c r="O254" s="1" t="n"/>
      <c r="P254" s="1" t="n"/>
      <c r="Q254" s="1" t="n"/>
      <c r="R254" s="1" t="n"/>
      <c r="S254" s="1" t="n"/>
      <c r="T254" s="1" t="n"/>
      <c r="U254" s="1" t="n"/>
      <c r="V254" s="1" t="n"/>
      <c r="W254" s="1" t="n"/>
      <c r="X254" s="1" t="n"/>
      <c r="Y254" s="1" t="n"/>
      <c r="Z254" s="1" t="n"/>
    </row>
    <row r="255" ht="15.75" customHeight="1" s="311">
      <c r="A255" s="145" t="n"/>
      <c r="B255" s="145" t="n"/>
      <c r="C255" s="145" t="n"/>
      <c r="D255" s="145" t="n"/>
      <c r="E255" s="145" t="n"/>
      <c r="F255" s="145" t="n"/>
      <c r="G255" s="145" t="n"/>
      <c r="H255" s="145" t="n"/>
      <c r="I255" s="145" t="n"/>
      <c r="J255" s="145" t="n"/>
      <c r="K255" s="145" t="n"/>
      <c r="L255" s="145" t="n"/>
      <c r="M255" s="145" t="n"/>
      <c r="N255" s="1" t="n"/>
      <c r="O255" s="1" t="n"/>
      <c r="P255" s="1" t="n"/>
      <c r="Q255" s="1" t="n"/>
      <c r="R255" s="1" t="n"/>
      <c r="S255" s="1" t="n"/>
      <c r="T255" s="1" t="n"/>
      <c r="U255" s="1" t="n"/>
      <c r="V255" s="1" t="n"/>
      <c r="W255" s="1" t="n"/>
      <c r="X255" s="1" t="n"/>
      <c r="Y255" s="1" t="n"/>
      <c r="Z255" s="1" t="n"/>
    </row>
    <row r="256" ht="15.75" customHeight="1" s="311">
      <c r="A256" s="145" t="n"/>
      <c r="B256" s="145" t="n"/>
      <c r="C256" s="145" t="n"/>
      <c r="D256" s="145" t="n"/>
      <c r="E256" s="145" t="n"/>
      <c r="F256" s="145" t="n"/>
      <c r="G256" s="145" t="n"/>
      <c r="H256" s="145" t="n"/>
      <c r="I256" s="145" t="n"/>
      <c r="J256" s="145" t="n"/>
      <c r="K256" s="145" t="n"/>
      <c r="L256" s="145" t="n"/>
      <c r="M256" s="145" t="n"/>
      <c r="N256" s="1" t="n"/>
      <c r="O256" s="1" t="n"/>
      <c r="P256" s="1" t="n"/>
      <c r="Q256" s="1" t="n"/>
      <c r="R256" s="1" t="n"/>
      <c r="S256" s="1" t="n"/>
      <c r="T256" s="1" t="n"/>
      <c r="U256" s="1" t="n"/>
      <c r="V256" s="1" t="n"/>
      <c r="W256" s="1" t="n"/>
      <c r="X256" s="1" t="n"/>
      <c r="Y256" s="1" t="n"/>
      <c r="Z256" s="1" t="n"/>
    </row>
    <row r="257" ht="15.75" customHeight="1" s="311">
      <c r="A257" s="145" t="n"/>
      <c r="B257" s="145" t="n"/>
      <c r="C257" s="145" t="n"/>
      <c r="D257" s="145" t="n"/>
      <c r="E257" s="145" t="n"/>
      <c r="F257" s="145" t="n"/>
      <c r="G257" s="145" t="n"/>
      <c r="H257" s="145" t="n"/>
      <c r="I257" s="145" t="n"/>
      <c r="J257" s="145" t="n"/>
      <c r="K257" s="145" t="n"/>
      <c r="L257" s="145" t="n"/>
      <c r="M257" s="145" t="n"/>
      <c r="N257" s="1" t="n"/>
      <c r="O257" s="1" t="n"/>
      <c r="P257" s="1" t="n"/>
      <c r="Q257" s="1" t="n"/>
      <c r="R257" s="1" t="n"/>
      <c r="S257" s="1" t="n"/>
      <c r="T257" s="1" t="n"/>
      <c r="U257" s="1" t="n"/>
      <c r="V257" s="1" t="n"/>
      <c r="W257" s="1" t="n"/>
      <c r="X257" s="1" t="n"/>
      <c r="Y257" s="1" t="n"/>
      <c r="Z257" s="1" t="n"/>
    </row>
    <row r="258" ht="15.75" customHeight="1" s="311">
      <c r="A258" s="145" t="n"/>
      <c r="B258" s="145" t="n"/>
      <c r="C258" s="145" t="n"/>
      <c r="D258" s="145" t="n"/>
      <c r="E258" s="145" t="n"/>
      <c r="F258" s="145" t="n"/>
      <c r="G258" s="145" t="n"/>
      <c r="H258" s="145" t="n"/>
      <c r="I258" s="145" t="n"/>
      <c r="J258" s="145" t="n"/>
      <c r="K258" s="145" t="n"/>
      <c r="L258" s="145" t="n"/>
      <c r="M258" s="145" t="n"/>
      <c r="N258" s="1" t="n"/>
      <c r="O258" s="1" t="n"/>
      <c r="P258" s="1" t="n"/>
      <c r="Q258" s="1" t="n"/>
      <c r="R258" s="1" t="n"/>
      <c r="S258" s="1" t="n"/>
      <c r="T258" s="1" t="n"/>
      <c r="U258" s="1" t="n"/>
      <c r="V258" s="1" t="n"/>
      <c r="W258" s="1" t="n"/>
      <c r="X258" s="1" t="n"/>
      <c r="Y258" s="1" t="n"/>
      <c r="Z258" s="1" t="n"/>
    </row>
    <row r="259" ht="15.75" customHeight="1" s="311">
      <c r="A259" s="145" t="n"/>
      <c r="B259" s="145" t="n"/>
      <c r="C259" s="145" t="n"/>
      <c r="D259" s="145" t="n"/>
      <c r="E259" s="145" t="n"/>
      <c r="F259" s="145" t="n"/>
      <c r="G259" s="145" t="n"/>
      <c r="H259" s="145" t="n"/>
      <c r="I259" s="145" t="n"/>
      <c r="J259" s="145" t="n"/>
      <c r="K259" s="145" t="n"/>
      <c r="L259" s="145" t="n"/>
      <c r="M259" s="145" t="n"/>
      <c r="N259" s="1" t="n"/>
      <c r="O259" s="1" t="n"/>
      <c r="P259" s="1" t="n"/>
      <c r="Q259" s="1" t="n"/>
      <c r="R259" s="1" t="n"/>
      <c r="S259" s="1" t="n"/>
      <c r="T259" s="1" t="n"/>
      <c r="U259" s="1" t="n"/>
      <c r="V259" s="1" t="n"/>
      <c r="W259" s="1" t="n"/>
      <c r="X259" s="1" t="n"/>
      <c r="Y259" s="1" t="n"/>
      <c r="Z259" s="1" t="n"/>
    </row>
    <row r="260" ht="15.75" customHeight="1" s="311">
      <c r="A260" s="145" t="n"/>
      <c r="B260" s="145" t="n"/>
      <c r="C260" s="145" t="n"/>
      <c r="D260" s="145" t="n"/>
      <c r="E260" s="145" t="n"/>
      <c r="F260" s="145" t="n"/>
      <c r="G260" s="145" t="n"/>
      <c r="H260" s="145" t="n"/>
      <c r="I260" s="145" t="n"/>
      <c r="J260" s="145" t="n"/>
      <c r="K260" s="145" t="n"/>
      <c r="L260" s="145" t="n"/>
      <c r="M260" s="145" t="n"/>
      <c r="N260" s="1" t="n"/>
      <c r="O260" s="1" t="n"/>
      <c r="P260" s="1" t="n"/>
      <c r="Q260" s="1" t="n"/>
      <c r="R260" s="1" t="n"/>
      <c r="S260" s="1" t="n"/>
      <c r="T260" s="1" t="n"/>
      <c r="U260" s="1" t="n"/>
      <c r="V260" s="1" t="n"/>
      <c r="W260" s="1" t="n"/>
      <c r="X260" s="1" t="n"/>
      <c r="Y260" s="1" t="n"/>
      <c r="Z260" s="1" t="n"/>
    </row>
    <row r="261" ht="15.75" customHeight="1" s="311">
      <c r="A261" s="145" t="n"/>
      <c r="B261" s="145" t="n"/>
      <c r="C261" s="145" t="n"/>
      <c r="D261" s="145" t="n"/>
      <c r="E261" s="145" t="n"/>
      <c r="F261" s="145" t="n"/>
      <c r="G261" s="145" t="n"/>
      <c r="H261" s="145" t="n"/>
      <c r="I261" s="145" t="n"/>
      <c r="J261" s="145" t="n"/>
      <c r="K261" s="145" t="n"/>
      <c r="L261" s="145" t="n"/>
      <c r="M261" s="145" t="n"/>
      <c r="N261" s="1" t="n"/>
      <c r="O261" s="1" t="n"/>
      <c r="P261" s="1" t="n"/>
      <c r="Q261" s="1" t="n"/>
      <c r="R261" s="1" t="n"/>
      <c r="S261" s="1" t="n"/>
      <c r="T261" s="1" t="n"/>
      <c r="U261" s="1" t="n"/>
      <c r="V261" s="1" t="n"/>
      <c r="W261" s="1" t="n"/>
      <c r="X261" s="1" t="n"/>
      <c r="Y261" s="1" t="n"/>
      <c r="Z261" s="1" t="n"/>
    </row>
    <row r="262" ht="15.75" customHeight="1" s="311">
      <c r="A262" s="145" t="n"/>
      <c r="B262" s="145" t="n"/>
      <c r="C262" s="145" t="n"/>
      <c r="D262" s="145" t="n"/>
      <c r="E262" s="145" t="n"/>
      <c r="F262" s="145" t="n"/>
      <c r="G262" s="145" t="n"/>
      <c r="H262" s="145" t="n"/>
      <c r="I262" s="145" t="n"/>
      <c r="J262" s="145" t="n"/>
      <c r="K262" s="145" t="n"/>
      <c r="L262" s="145" t="n"/>
      <c r="M262" s="145" t="n"/>
      <c r="N262" s="1" t="n"/>
      <c r="O262" s="1" t="n"/>
      <c r="P262" s="1" t="n"/>
      <c r="Q262" s="1" t="n"/>
      <c r="R262" s="1" t="n"/>
      <c r="S262" s="1" t="n"/>
      <c r="T262" s="1" t="n"/>
      <c r="U262" s="1" t="n"/>
      <c r="V262" s="1" t="n"/>
      <c r="W262" s="1" t="n"/>
      <c r="X262" s="1" t="n"/>
      <c r="Y262" s="1" t="n"/>
      <c r="Z262" s="1" t="n"/>
    </row>
    <row r="263" ht="15.75" customHeight="1" s="311">
      <c r="A263" s="145" t="n"/>
      <c r="B263" s="145" t="n"/>
      <c r="C263" s="145" t="n"/>
      <c r="D263" s="145" t="n"/>
      <c r="E263" s="145" t="n"/>
      <c r="F263" s="145" t="n"/>
      <c r="G263" s="145" t="n"/>
      <c r="H263" s="145" t="n"/>
      <c r="I263" s="145" t="n"/>
      <c r="J263" s="145" t="n"/>
      <c r="K263" s="145" t="n"/>
      <c r="L263" s="145" t="n"/>
      <c r="M263" s="145" t="n"/>
      <c r="N263" s="1" t="n"/>
      <c r="O263" s="1" t="n"/>
      <c r="P263" s="1" t="n"/>
      <c r="Q263" s="1" t="n"/>
      <c r="R263" s="1" t="n"/>
      <c r="S263" s="1" t="n"/>
      <c r="T263" s="1" t="n"/>
      <c r="U263" s="1" t="n"/>
      <c r="V263" s="1" t="n"/>
      <c r="W263" s="1" t="n"/>
      <c r="X263" s="1" t="n"/>
      <c r="Y263" s="1" t="n"/>
      <c r="Z263" s="1" t="n"/>
    </row>
    <row r="264" ht="15.75" customHeight="1" s="311">
      <c r="A264" s="145" t="n"/>
      <c r="B264" s="145" t="n"/>
      <c r="C264" s="145" t="n"/>
      <c r="D264" s="145" t="n"/>
      <c r="E264" s="145" t="n"/>
      <c r="F264" s="145" t="n"/>
      <c r="G264" s="145" t="n"/>
      <c r="H264" s="145" t="n"/>
      <c r="I264" s="145" t="n"/>
      <c r="J264" s="145" t="n"/>
      <c r="K264" s="145" t="n"/>
      <c r="L264" s="145" t="n"/>
      <c r="M264" s="145" t="n"/>
      <c r="N264" s="1" t="n"/>
      <c r="O264" s="1" t="n"/>
      <c r="P264" s="1" t="n"/>
      <c r="Q264" s="1" t="n"/>
      <c r="R264" s="1" t="n"/>
      <c r="S264" s="1" t="n"/>
      <c r="T264" s="1" t="n"/>
      <c r="U264" s="1" t="n"/>
      <c r="V264" s="1" t="n"/>
      <c r="W264" s="1" t="n"/>
      <c r="X264" s="1" t="n"/>
      <c r="Y264" s="1" t="n"/>
      <c r="Z264" s="1" t="n"/>
    </row>
    <row r="265" ht="15.75" customHeight="1" s="311">
      <c r="A265" s="145" t="n"/>
      <c r="B265" s="145" t="n"/>
      <c r="C265" s="145" t="n"/>
      <c r="D265" s="145" t="n"/>
      <c r="E265" s="145" t="n"/>
      <c r="F265" s="145" t="n"/>
      <c r="G265" s="145" t="n"/>
      <c r="H265" s="145" t="n"/>
      <c r="I265" s="145" t="n"/>
      <c r="J265" s="145" t="n"/>
      <c r="K265" s="145" t="n"/>
      <c r="L265" s="145" t="n"/>
      <c r="M265" s="145" t="n"/>
      <c r="N265" s="1" t="n"/>
      <c r="O265" s="1" t="n"/>
      <c r="P265" s="1" t="n"/>
      <c r="Q265" s="1" t="n"/>
      <c r="R265" s="1" t="n"/>
      <c r="S265" s="1" t="n"/>
      <c r="T265" s="1" t="n"/>
      <c r="U265" s="1" t="n"/>
      <c r="V265" s="1" t="n"/>
      <c r="W265" s="1" t="n"/>
      <c r="X265" s="1" t="n"/>
      <c r="Y265" s="1" t="n"/>
      <c r="Z265" s="1" t="n"/>
    </row>
    <row r="266" ht="15.75" customHeight="1" s="311">
      <c r="A266" s="145" t="n"/>
      <c r="B266" s="145" t="n"/>
      <c r="C266" s="145" t="n"/>
      <c r="D266" s="145" t="n"/>
      <c r="E266" s="145" t="n"/>
      <c r="F266" s="145" t="n"/>
      <c r="G266" s="145" t="n"/>
      <c r="H266" s="145" t="n"/>
      <c r="I266" s="145" t="n"/>
      <c r="J266" s="145" t="n"/>
      <c r="K266" s="145" t="n"/>
      <c r="L266" s="145" t="n"/>
      <c r="M266" s="145" t="n"/>
      <c r="N266" s="1" t="n"/>
      <c r="O266" s="1" t="n"/>
      <c r="P266" s="1" t="n"/>
      <c r="Q266" s="1" t="n"/>
      <c r="R266" s="1" t="n"/>
      <c r="S266" s="1" t="n"/>
      <c r="T266" s="1" t="n"/>
      <c r="U266" s="1" t="n"/>
      <c r="V266" s="1" t="n"/>
      <c r="W266" s="1" t="n"/>
      <c r="X266" s="1" t="n"/>
      <c r="Y266" s="1" t="n"/>
      <c r="Z266" s="1" t="n"/>
    </row>
    <row r="267" ht="15.75" customHeight="1" s="311">
      <c r="A267" s="145" t="n"/>
      <c r="B267" s="145" t="n"/>
      <c r="C267" s="145" t="n"/>
      <c r="D267" s="145" t="n"/>
      <c r="E267" s="145" t="n"/>
      <c r="F267" s="145" t="n"/>
      <c r="G267" s="145" t="n"/>
      <c r="H267" s="145" t="n"/>
      <c r="I267" s="145" t="n"/>
      <c r="J267" s="145" t="n"/>
      <c r="K267" s="145" t="n"/>
      <c r="L267" s="145" t="n"/>
      <c r="M267" s="145" t="n"/>
      <c r="N267" s="1" t="n"/>
      <c r="O267" s="1" t="n"/>
      <c r="P267" s="1" t="n"/>
      <c r="Q267" s="1" t="n"/>
      <c r="R267" s="1" t="n"/>
      <c r="S267" s="1" t="n"/>
      <c r="T267" s="1" t="n"/>
      <c r="U267" s="1" t="n"/>
      <c r="V267" s="1" t="n"/>
      <c r="W267" s="1" t="n"/>
      <c r="X267" s="1" t="n"/>
      <c r="Y267" s="1" t="n"/>
      <c r="Z267" s="1" t="n"/>
    </row>
    <row r="268" ht="15.75" customHeight="1" s="311">
      <c r="A268" s="145" t="n"/>
      <c r="B268" s="145" t="n"/>
      <c r="C268" s="145" t="n"/>
      <c r="D268" s="145" t="n"/>
      <c r="E268" s="145" t="n"/>
      <c r="F268" s="145" t="n"/>
      <c r="G268" s="145" t="n"/>
      <c r="H268" s="145" t="n"/>
      <c r="I268" s="145" t="n"/>
      <c r="J268" s="145" t="n"/>
      <c r="K268" s="145" t="n"/>
      <c r="L268" s="145" t="n"/>
      <c r="M268" s="145" t="n"/>
      <c r="N268" s="1" t="n"/>
      <c r="O268" s="1" t="n"/>
      <c r="P268" s="1" t="n"/>
      <c r="Q268" s="1" t="n"/>
      <c r="R268" s="1" t="n"/>
      <c r="S268" s="1" t="n"/>
      <c r="T268" s="1" t="n"/>
      <c r="U268" s="1" t="n"/>
      <c r="V268" s="1" t="n"/>
      <c r="W268" s="1" t="n"/>
      <c r="X268" s="1" t="n"/>
      <c r="Y268" s="1" t="n"/>
      <c r="Z268" s="1" t="n"/>
    </row>
    <row r="269" ht="15.75" customHeight="1" s="311">
      <c r="A269" s="145" t="n"/>
      <c r="B269" s="145" t="n"/>
      <c r="C269" s="145" t="n"/>
      <c r="D269" s="145" t="n"/>
      <c r="E269" s="145" t="n"/>
      <c r="F269" s="145" t="n"/>
      <c r="G269" s="145" t="n"/>
      <c r="H269" s="145" t="n"/>
      <c r="I269" s="145" t="n"/>
      <c r="J269" s="145" t="n"/>
      <c r="K269" s="145" t="n"/>
      <c r="L269" s="145" t="n"/>
      <c r="M269" s="145" t="n"/>
      <c r="N269" s="1" t="n"/>
      <c r="O269" s="1" t="n"/>
      <c r="P269" s="1" t="n"/>
      <c r="Q269" s="1" t="n"/>
      <c r="R269" s="1" t="n"/>
      <c r="S269" s="1" t="n"/>
      <c r="T269" s="1" t="n"/>
      <c r="U269" s="1" t="n"/>
      <c r="V269" s="1" t="n"/>
      <c r="W269" s="1" t="n"/>
      <c r="X269" s="1" t="n"/>
      <c r="Y269" s="1" t="n"/>
      <c r="Z269" s="1" t="n"/>
    </row>
    <row r="270" ht="15.75" customHeight="1" s="311">
      <c r="A270" s="145" t="n"/>
      <c r="B270" s="145" t="n"/>
      <c r="C270" s="145" t="n"/>
      <c r="D270" s="145" t="n"/>
      <c r="E270" s="145" t="n"/>
      <c r="F270" s="145" t="n"/>
      <c r="G270" s="145" t="n"/>
      <c r="H270" s="145" t="n"/>
      <c r="I270" s="145" t="n"/>
      <c r="J270" s="145" t="n"/>
      <c r="K270" s="145" t="n"/>
      <c r="L270" s="145" t="n"/>
      <c r="M270" s="145" t="n"/>
      <c r="N270" s="1" t="n"/>
      <c r="O270" s="1" t="n"/>
      <c r="P270" s="1" t="n"/>
      <c r="Q270" s="1" t="n"/>
      <c r="R270" s="1" t="n"/>
      <c r="S270" s="1" t="n"/>
      <c r="T270" s="1" t="n"/>
      <c r="U270" s="1" t="n"/>
      <c r="V270" s="1" t="n"/>
      <c r="W270" s="1" t="n"/>
      <c r="X270" s="1" t="n"/>
      <c r="Y270" s="1" t="n"/>
      <c r="Z270" s="1" t="n"/>
    </row>
    <row r="271" ht="15.75" customHeight="1" s="311">
      <c r="A271" s="145" t="n"/>
      <c r="B271" s="145" t="n"/>
      <c r="C271" s="145" t="n"/>
      <c r="D271" s="145" t="n"/>
      <c r="E271" s="145" t="n"/>
      <c r="F271" s="145" t="n"/>
      <c r="G271" s="145" t="n"/>
      <c r="H271" s="145" t="n"/>
      <c r="I271" s="145" t="n"/>
      <c r="J271" s="145" t="n"/>
      <c r="K271" s="145" t="n"/>
      <c r="L271" s="145" t="n"/>
      <c r="M271" s="145" t="n"/>
      <c r="N271" s="1" t="n"/>
      <c r="O271" s="1" t="n"/>
      <c r="P271" s="1" t="n"/>
      <c r="Q271" s="1" t="n"/>
      <c r="R271" s="1" t="n"/>
      <c r="S271" s="1" t="n"/>
      <c r="T271" s="1" t="n"/>
      <c r="U271" s="1" t="n"/>
      <c r="V271" s="1" t="n"/>
      <c r="W271" s="1" t="n"/>
      <c r="X271" s="1" t="n"/>
      <c r="Y271" s="1" t="n"/>
      <c r="Z271" s="1" t="n"/>
    </row>
    <row r="272" ht="15.75" customHeight="1" s="311">
      <c r="A272" s="145" t="n"/>
      <c r="B272" s="145" t="n"/>
      <c r="C272" s="145" t="n"/>
      <c r="D272" s="145" t="n"/>
      <c r="E272" s="145" t="n"/>
      <c r="F272" s="145" t="n"/>
      <c r="G272" s="145" t="n"/>
      <c r="H272" s="145" t="n"/>
      <c r="I272" s="145" t="n"/>
      <c r="J272" s="145" t="n"/>
      <c r="K272" s="145" t="n"/>
      <c r="L272" s="145" t="n"/>
      <c r="M272" s="145" t="n"/>
      <c r="N272" s="1" t="n"/>
      <c r="O272" s="1" t="n"/>
      <c r="P272" s="1" t="n"/>
      <c r="Q272" s="1" t="n"/>
      <c r="R272" s="1" t="n"/>
      <c r="S272" s="1" t="n"/>
      <c r="T272" s="1" t="n"/>
      <c r="U272" s="1" t="n"/>
      <c r="V272" s="1" t="n"/>
      <c r="W272" s="1" t="n"/>
      <c r="X272" s="1" t="n"/>
      <c r="Y272" s="1" t="n"/>
      <c r="Z272" s="1" t="n"/>
    </row>
    <row r="273" ht="15.75" customHeight="1" s="311">
      <c r="A273" s="145" t="n"/>
      <c r="B273" s="145" t="n"/>
      <c r="C273" s="145" t="n"/>
      <c r="D273" s="145" t="n"/>
      <c r="E273" s="145" t="n"/>
      <c r="F273" s="145" t="n"/>
      <c r="G273" s="145" t="n"/>
      <c r="H273" s="145" t="n"/>
      <c r="I273" s="145" t="n"/>
      <c r="J273" s="145" t="n"/>
      <c r="K273" s="145" t="n"/>
      <c r="L273" s="145" t="n"/>
      <c r="M273" s="145" t="n"/>
      <c r="N273" s="1" t="n"/>
      <c r="O273" s="1" t="n"/>
      <c r="P273" s="1" t="n"/>
      <c r="Q273" s="1" t="n"/>
      <c r="R273" s="1" t="n"/>
      <c r="S273" s="1" t="n"/>
      <c r="T273" s="1" t="n"/>
      <c r="U273" s="1" t="n"/>
      <c r="V273" s="1" t="n"/>
      <c r="W273" s="1" t="n"/>
      <c r="X273" s="1" t="n"/>
      <c r="Y273" s="1" t="n"/>
      <c r="Z273" s="1" t="n"/>
    </row>
    <row r="274" ht="15.75" customHeight="1" s="311">
      <c r="A274" s="145" t="n"/>
      <c r="B274" s="145" t="n"/>
      <c r="C274" s="145" t="n"/>
      <c r="D274" s="145" t="n"/>
      <c r="E274" s="145" t="n"/>
      <c r="F274" s="145" t="n"/>
      <c r="G274" s="145" t="n"/>
      <c r="H274" s="145" t="n"/>
      <c r="I274" s="145" t="n"/>
      <c r="J274" s="145" t="n"/>
      <c r="K274" s="145" t="n"/>
      <c r="L274" s="145" t="n"/>
      <c r="M274" s="145" t="n"/>
      <c r="N274" s="1" t="n"/>
      <c r="O274" s="1" t="n"/>
      <c r="P274" s="1" t="n"/>
      <c r="Q274" s="1" t="n"/>
      <c r="R274" s="1" t="n"/>
      <c r="S274" s="1" t="n"/>
      <c r="T274" s="1" t="n"/>
      <c r="U274" s="1" t="n"/>
      <c r="V274" s="1" t="n"/>
      <c r="W274" s="1" t="n"/>
      <c r="X274" s="1" t="n"/>
      <c r="Y274" s="1" t="n"/>
      <c r="Z274" s="1" t="n"/>
    </row>
    <row r="275" ht="15.75" customHeight="1" s="311">
      <c r="A275" s="145" t="n"/>
      <c r="B275" s="145" t="n"/>
      <c r="C275" s="145" t="n"/>
      <c r="D275" s="145" t="n"/>
      <c r="E275" s="145" t="n"/>
      <c r="F275" s="145" t="n"/>
      <c r="G275" s="145" t="n"/>
      <c r="H275" s="145" t="n"/>
      <c r="I275" s="145" t="n"/>
      <c r="J275" s="145" t="n"/>
      <c r="K275" s="145" t="n"/>
      <c r="L275" s="145" t="n"/>
      <c r="M275" s="145" t="n"/>
      <c r="N275" s="1" t="n"/>
      <c r="O275" s="1" t="n"/>
      <c r="P275" s="1" t="n"/>
      <c r="Q275" s="1" t="n"/>
      <c r="R275" s="1" t="n"/>
      <c r="S275" s="1" t="n"/>
      <c r="T275" s="1" t="n"/>
      <c r="U275" s="1" t="n"/>
      <c r="V275" s="1" t="n"/>
      <c r="W275" s="1" t="n"/>
      <c r="X275" s="1" t="n"/>
      <c r="Y275" s="1" t="n"/>
      <c r="Z275" s="1" t="n"/>
    </row>
    <row r="276" ht="15.75" customHeight="1" s="311">
      <c r="A276" s="145" t="n"/>
      <c r="B276" s="145" t="n"/>
      <c r="C276" s="145" t="n"/>
      <c r="D276" s="145" t="n"/>
      <c r="E276" s="145" t="n"/>
      <c r="F276" s="145" t="n"/>
      <c r="G276" s="145" t="n"/>
      <c r="H276" s="145" t="n"/>
      <c r="I276" s="145" t="n"/>
      <c r="J276" s="145" t="n"/>
      <c r="K276" s="145" t="n"/>
      <c r="L276" s="145" t="n"/>
      <c r="M276" s="145" t="n"/>
      <c r="N276" s="1" t="n"/>
      <c r="O276" s="1" t="n"/>
      <c r="P276" s="1" t="n"/>
      <c r="Q276" s="1" t="n"/>
      <c r="R276" s="1" t="n"/>
      <c r="S276" s="1" t="n"/>
      <c r="T276" s="1" t="n"/>
      <c r="U276" s="1" t="n"/>
      <c r="V276" s="1" t="n"/>
      <c r="W276" s="1" t="n"/>
      <c r="X276" s="1" t="n"/>
      <c r="Y276" s="1" t="n"/>
      <c r="Z276" s="1" t="n"/>
    </row>
    <row r="277" ht="15.75" customHeight="1" s="311">
      <c r="A277" s="145" t="n"/>
      <c r="B277" s="145" t="n"/>
      <c r="C277" s="145" t="n"/>
      <c r="D277" s="145" t="n"/>
      <c r="E277" s="145" t="n"/>
      <c r="F277" s="145" t="n"/>
      <c r="G277" s="145" t="n"/>
      <c r="H277" s="145" t="n"/>
      <c r="I277" s="145" t="n"/>
      <c r="J277" s="145" t="n"/>
      <c r="K277" s="145" t="n"/>
      <c r="L277" s="145" t="n"/>
      <c r="M277" s="145" t="n"/>
      <c r="N277" s="1" t="n"/>
      <c r="O277" s="1" t="n"/>
      <c r="P277" s="1" t="n"/>
      <c r="Q277" s="1" t="n"/>
      <c r="R277" s="1" t="n"/>
      <c r="S277" s="1" t="n"/>
      <c r="T277" s="1" t="n"/>
      <c r="U277" s="1" t="n"/>
      <c r="V277" s="1" t="n"/>
      <c r="W277" s="1" t="n"/>
      <c r="X277" s="1" t="n"/>
      <c r="Y277" s="1" t="n"/>
      <c r="Z277" s="1" t="n"/>
    </row>
    <row r="278" ht="15.75" customHeight="1" s="311">
      <c r="A278" s="145" t="n"/>
      <c r="B278" s="145" t="n"/>
      <c r="C278" s="145" t="n"/>
      <c r="D278" s="145" t="n"/>
      <c r="E278" s="145" t="n"/>
      <c r="F278" s="145" t="n"/>
      <c r="G278" s="145" t="n"/>
      <c r="H278" s="145" t="n"/>
      <c r="I278" s="145" t="n"/>
      <c r="J278" s="145" t="n"/>
      <c r="K278" s="145" t="n"/>
      <c r="L278" s="145" t="n"/>
      <c r="M278" s="145" t="n"/>
      <c r="N278" s="1" t="n"/>
      <c r="O278" s="1" t="n"/>
      <c r="P278" s="1" t="n"/>
      <c r="Q278" s="1" t="n"/>
      <c r="R278" s="1" t="n"/>
      <c r="S278" s="1" t="n"/>
      <c r="T278" s="1" t="n"/>
      <c r="U278" s="1" t="n"/>
      <c r="V278" s="1" t="n"/>
      <c r="W278" s="1" t="n"/>
      <c r="X278" s="1" t="n"/>
      <c r="Y278" s="1" t="n"/>
      <c r="Z278" s="1" t="n"/>
    </row>
    <row r="279" ht="15.75" customHeight="1" s="311">
      <c r="A279" s="145" t="n"/>
      <c r="B279" s="145" t="n"/>
      <c r="C279" s="145" t="n"/>
      <c r="D279" s="145" t="n"/>
      <c r="E279" s="145" t="n"/>
      <c r="F279" s="145" t="n"/>
      <c r="G279" s="145" t="n"/>
      <c r="H279" s="145" t="n"/>
      <c r="I279" s="145" t="n"/>
      <c r="J279" s="145" t="n"/>
      <c r="K279" s="145" t="n"/>
      <c r="L279" s="145" t="n"/>
      <c r="M279" s="145" t="n"/>
      <c r="N279" s="1" t="n"/>
      <c r="O279" s="1" t="n"/>
      <c r="P279" s="1" t="n"/>
      <c r="Q279" s="1" t="n"/>
      <c r="R279" s="1" t="n"/>
      <c r="S279" s="1" t="n"/>
      <c r="T279" s="1" t="n"/>
      <c r="U279" s="1" t="n"/>
      <c r="V279" s="1" t="n"/>
      <c r="W279" s="1" t="n"/>
      <c r="X279" s="1" t="n"/>
      <c r="Y279" s="1" t="n"/>
      <c r="Z279" s="1" t="n"/>
    </row>
    <row r="280" ht="15.75" customHeight="1" s="311">
      <c r="A280" s="145" t="n"/>
      <c r="B280" s="145" t="n"/>
      <c r="C280" s="145" t="n"/>
      <c r="D280" s="145" t="n"/>
      <c r="E280" s="145" t="n"/>
      <c r="F280" s="145" t="n"/>
      <c r="G280" s="145" t="n"/>
      <c r="H280" s="145" t="n"/>
      <c r="I280" s="145" t="n"/>
      <c r="J280" s="145" t="n"/>
      <c r="K280" s="145" t="n"/>
      <c r="L280" s="145" t="n"/>
      <c r="M280" s="145" t="n"/>
      <c r="N280" s="1" t="n"/>
      <c r="O280" s="1" t="n"/>
      <c r="P280" s="1" t="n"/>
      <c r="Q280" s="1" t="n"/>
      <c r="R280" s="1" t="n"/>
      <c r="S280" s="1" t="n"/>
      <c r="T280" s="1" t="n"/>
      <c r="U280" s="1" t="n"/>
      <c r="V280" s="1" t="n"/>
      <c r="W280" s="1" t="n"/>
      <c r="X280" s="1" t="n"/>
      <c r="Y280" s="1" t="n"/>
      <c r="Z280" s="1" t="n"/>
    </row>
    <row r="281" ht="15.75" customHeight="1" s="311">
      <c r="A281" s="145" t="n"/>
      <c r="B281" s="145" t="n"/>
      <c r="C281" s="145" t="n"/>
      <c r="D281" s="145" t="n"/>
      <c r="E281" s="145" t="n"/>
      <c r="F281" s="145" t="n"/>
      <c r="G281" s="145" t="n"/>
      <c r="H281" s="145" t="n"/>
      <c r="I281" s="145" t="n"/>
      <c r="J281" s="145" t="n"/>
      <c r="K281" s="145" t="n"/>
      <c r="L281" s="145" t="n"/>
      <c r="M281" s="145" t="n"/>
      <c r="N281" s="1" t="n"/>
      <c r="O281" s="1" t="n"/>
      <c r="P281" s="1" t="n"/>
      <c r="Q281" s="1" t="n"/>
      <c r="R281" s="1" t="n"/>
      <c r="S281" s="1" t="n"/>
      <c r="T281" s="1" t="n"/>
      <c r="U281" s="1" t="n"/>
      <c r="V281" s="1" t="n"/>
      <c r="W281" s="1" t="n"/>
      <c r="X281" s="1" t="n"/>
      <c r="Y281" s="1" t="n"/>
      <c r="Z281" s="1" t="n"/>
    </row>
    <row r="282" ht="15.75" customHeight="1" s="311">
      <c r="A282" s="145" t="n"/>
      <c r="B282" s="145" t="n"/>
      <c r="C282" s="145" t="n"/>
      <c r="D282" s="145" t="n"/>
      <c r="E282" s="145" t="n"/>
      <c r="F282" s="145" t="n"/>
      <c r="G282" s="145" t="n"/>
      <c r="H282" s="145" t="n"/>
      <c r="I282" s="145" t="n"/>
      <c r="J282" s="145" t="n"/>
      <c r="K282" s="145" t="n"/>
      <c r="L282" s="145" t="n"/>
      <c r="M282" s="145" t="n"/>
      <c r="N282" s="1" t="n"/>
      <c r="O282" s="1" t="n"/>
      <c r="P282" s="1" t="n"/>
      <c r="Q282" s="1" t="n"/>
      <c r="R282" s="1" t="n"/>
      <c r="S282" s="1" t="n"/>
      <c r="T282" s="1" t="n"/>
      <c r="U282" s="1" t="n"/>
      <c r="V282" s="1" t="n"/>
      <c r="W282" s="1" t="n"/>
      <c r="X282" s="1" t="n"/>
      <c r="Y282" s="1" t="n"/>
      <c r="Z282" s="1" t="n"/>
    </row>
    <row r="283" ht="15.75" customHeight="1" s="311">
      <c r="A283" s="145" t="n"/>
      <c r="B283" s="145" t="n"/>
      <c r="C283" s="145" t="n"/>
      <c r="D283" s="145" t="n"/>
      <c r="E283" s="145" t="n"/>
      <c r="F283" s="145" t="n"/>
      <c r="G283" s="145" t="n"/>
      <c r="H283" s="145" t="n"/>
      <c r="I283" s="145" t="n"/>
      <c r="J283" s="145" t="n"/>
      <c r="K283" s="145" t="n"/>
      <c r="L283" s="145" t="n"/>
      <c r="M283" s="145" t="n"/>
      <c r="N283" s="1" t="n"/>
      <c r="O283" s="1" t="n"/>
      <c r="P283" s="1" t="n"/>
      <c r="Q283" s="1" t="n"/>
      <c r="R283" s="1" t="n"/>
      <c r="S283" s="1" t="n"/>
      <c r="T283" s="1" t="n"/>
      <c r="U283" s="1" t="n"/>
      <c r="V283" s="1" t="n"/>
      <c r="W283" s="1" t="n"/>
      <c r="X283" s="1" t="n"/>
      <c r="Y283" s="1" t="n"/>
      <c r="Z283" s="1" t="n"/>
    </row>
    <row r="284" ht="15.75" customHeight="1" s="311">
      <c r="A284" s="145" t="n"/>
      <c r="B284" s="145" t="n"/>
      <c r="C284" s="145" t="n"/>
      <c r="D284" s="145" t="n"/>
      <c r="E284" s="145" t="n"/>
      <c r="F284" s="145" t="n"/>
      <c r="G284" s="145" t="n"/>
      <c r="H284" s="145" t="n"/>
      <c r="I284" s="145" t="n"/>
      <c r="J284" s="145" t="n"/>
      <c r="K284" s="145" t="n"/>
      <c r="L284" s="145" t="n"/>
      <c r="M284" s="145" t="n"/>
      <c r="N284" s="1" t="n"/>
      <c r="O284" s="1" t="n"/>
      <c r="P284" s="1" t="n"/>
      <c r="Q284" s="1" t="n"/>
      <c r="R284" s="1" t="n"/>
      <c r="S284" s="1" t="n"/>
      <c r="T284" s="1" t="n"/>
      <c r="U284" s="1" t="n"/>
      <c r="V284" s="1" t="n"/>
      <c r="W284" s="1" t="n"/>
      <c r="X284" s="1" t="n"/>
      <c r="Y284" s="1" t="n"/>
      <c r="Z284" s="1" t="n"/>
    </row>
    <row r="285" ht="15.75" customHeight="1" s="311">
      <c r="A285" s="145" t="n"/>
      <c r="B285" s="145" t="n"/>
      <c r="C285" s="145" t="n"/>
      <c r="D285" s="145" t="n"/>
      <c r="E285" s="145" t="n"/>
      <c r="F285" s="145" t="n"/>
      <c r="G285" s="145" t="n"/>
      <c r="H285" s="145" t="n"/>
      <c r="I285" s="145" t="n"/>
      <c r="J285" s="145" t="n"/>
      <c r="K285" s="145" t="n"/>
      <c r="L285" s="145" t="n"/>
      <c r="M285" s="145" t="n"/>
      <c r="N285" s="1" t="n"/>
      <c r="O285" s="1" t="n"/>
      <c r="P285" s="1" t="n"/>
      <c r="Q285" s="1" t="n"/>
      <c r="R285" s="1" t="n"/>
      <c r="S285" s="1" t="n"/>
      <c r="T285" s="1" t="n"/>
      <c r="U285" s="1" t="n"/>
      <c r="V285" s="1" t="n"/>
      <c r="W285" s="1" t="n"/>
      <c r="X285" s="1" t="n"/>
      <c r="Y285" s="1" t="n"/>
      <c r="Z285" s="1" t="n"/>
    </row>
    <row r="286" ht="15.75" customHeight="1" s="311">
      <c r="A286" s="145" t="n"/>
      <c r="B286" s="145" t="n"/>
      <c r="C286" s="145" t="n"/>
      <c r="D286" s="145" t="n"/>
      <c r="E286" s="145" t="n"/>
      <c r="F286" s="145" t="n"/>
      <c r="G286" s="145" t="n"/>
      <c r="H286" s="145" t="n"/>
      <c r="I286" s="145" t="n"/>
      <c r="J286" s="145" t="n"/>
      <c r="K286" s="145" t="n"/>
      <c r="L286" s="145" t="n"/>
      <c r="M286" s="145" t="n"/>
      <c r="N286" s="1" t="n"/>
      <c r="O286" s="1" t="n"/>
      <c r="P286" s="1" t="n"/>
      <c r="Q286" s="1" t="n"/>
      <c r="R286" s="1" t="n"/>
      <c r="S286" s="1" t="n"/>
      <c r="T286" s="1" t="n"/>
      <c r="U286" s="1" t="n"/>
      <c r="V286" s="1" t="n"/>
      <c r="W286" s="1" t="n"/>
      <c r="X286" s="1" t="n"/>
      <c r="Y286" s="1" t="n"/>
      <c r="Z286" s="1" t="n"/>
    </row>
    <row r="287" ht="15.75" customHeight="1" s="311">
      <c r="A287" s="145" t="n"/>
      <c r="B287" s="145" t="n"/>
      <c r="C287" s="145" t="n"/>
      <c r="D287" s="145" t="n"/>
      <c r="E287" s="145" t="n"/>
      <c r="F287" s="145" t="n"/>
      <c r="G287" s="145" t="n"/>
      <c r="H287" s="145" t="n"/>
      <c r="I287" s="145" t="n"/>
      <c r="J287" s="145" t="n"/>
      <c r="K287" s="145" t="n"/>
      <c r="L287" s="145" t="n"/>
      <c r="M287" s="145" t="n"/>
      <c r="N287" s="1" t="n"/>
      <c r="O287" s="1" t="n"/>
      <c r="P287" s="1" t="n"/>
      <c r="Q287" s="1" t="n"/>
      <c r="R287" s="1" t="n"/>
      <c r="S287" s="1" t="n"/>
      <c r="T287" s="1" t="n"/>
      <c r="U287" s="1" t="n"/>
      <c r="V287" s="1" t="n"/>
      <c r="W287" s="1" t="n"/>
      <c r="X287" s="1" t="n"/>
      <c r="Y287" s="1" t="n"/>
      <c r="Z287" s="1" t="n"/>
    </row>
    <row r="288" ht="15.75" customHeight="1" s="311">
      <c r="A288" s="145" t="n"/>
      <c r="B288" s="145" t="n"/>
      <c r="C288" s="145" t="n"/>
      <c r="D288" s="145" t="n"/>
      <c r="E288" s="145" t="n"/>
      <c r="F288" s="145" t="n"/>
      <c r="G288" s="145" t="n"/>
      <c r="H288" s="145" t="n"/>
      <c r="I288" s="145" t="n"/>
      <c r="J288" s="145" t="n"/>
      <c r="K288" s="145" t="n"/>
      <c r="L288" s="145" t="n"/>
      <c r="M288" s="145" t="n"/>
      <c r="N288" s="1" t="n"/>
      <c r="O288" s="1" t="n"/>
      <c r="P288" s="1" t="n"/>
      <c r="Q288" s="1" t="n"/>
      <c r="R288" s="1" t="n"/>
      <c r="S288" s="1" t="n"/>
      <c r="T288" s="1" t="n"/>
      <c r="U288" s="1" t="n"/>
      <c r="V288" s="1" t="n"/>
      <c r="W288" s="1" t="n"/>
      <c r="X288" s="1" t="n"/>
      <c r="Y288" s="1" t="n"/>
      <c r="Z288" s="1" t="n"/>
    </row>
    <row r="289" ht="15.75" customHeight="1" s="311">
      <c r="A289" s="145" t="n"/>
      <c r="B289" s="145" t="n"/>
      <c r="C289" s="145" t="n"/>
      <c r="D289" s="145" t="n"/>
      <c r="E289" s="145" t="n"/>
      <c r="F289" s="145" t="n"/>
      <c r="G289" s="145" t="n"/>
      <c r="H289" s="145" t="n"/>
      <c r="I289" s="145" t="n"/>
      <c r="J289" s="145" t="n"/>
      <c r="K289" s="145" t="n"/>
      <c r="L289" s="145" t="n"/>
      <c r="M289" s="145" t="n"/>
      <c r="N289" s="1" t="n"/>
      <c r="O289" s="1" t="n"/>
      <c r="P289" s="1" t="n"/>
      <c r="Q289" s="1" t="n"/>
      <c r="R289" s="1" t="n"/>
      <c r="S289" s="1" t="n"/>
      <c r="T289" s="1" t="n"/>
      <c r="U289" s="1" t="n"/>
      <c r="V289" s="1" t="n"/>
      <c r="W289" s="1" t="n"/>
      <c r="X289" s="1" t="n"/>
      <c r="Y289" s="1" t="n"/>
      <c r="Z289" s="1" t="n"/>
    </row>
    <row r="290" ht="15.75" customHeight="1" s="311">
      <c r="A290" s="145" t="n"/>
      <c r="B290" s="145" t="n"/>
      <c r="C290" s="145" t="n"/>
      <c r="D290" s="145" t="n"/>
      <c r="E290" s="145" t="n"/>
      <c r="F290" s="145" t="n"/>
      <c r="G290" s="145" t="n"/>
      <c r="H290" s="145" t="n"/>
      <c r="I290" s="145" t="n"/>
      <c r="J290" s="145" t="n"/>
      <c r="K290" s="145" t="n"/>
      <c r="L290" s="145" t="n"/>
      <c r="M290" s="145" t="n"/>
      <c r="N290" s="1" t="n"/>
      <c r="O290" s="1" t="n"/>
      <c r="P290" s="1" t="n"/>
      <c r="Q290" s="1" t="n"/>
      <c r="R290" s="1" t="n"/>
      <c r="S290" s="1" t="n"/>
      <c r="T290" s="1" t="n"/>
      <c r="U290" s="1" t="n"/>
      <c r="V290" s="1" t="n"/>
      <c r="W290" s="1" t="n"/>
      <c r="X290" s="1" t="n"/>
      <c r="Y290" s="1" t="n"/>
      <c r="Z290" s="1" t="n"/>
    </row>
    <row r="291" ht="15.75" customHeight="1" s="311">
      <c r="A291" s="145" t="n"/>
      <c r="B291" s="145" t="n"/>
      <c r="C291" s="145" t="n"/>
      <c r="D291" s="145" t="n"/>
      <c r="E291" s="145" t="n"/>
      <c r="F291" s="145" t="n"/>
      <c r="G291" s="145" t="n"/>
      <c r="H291" s="145" t="n"/>
      <c r="I291" s="145" t="n"/>
      <c r="J291" s="145" t="n"/>
      <c r="K291" s="145" t="n"/>
      <c r="L291" s="145" t="n"/>
      <c r="M291" s="145" t="n"/>
      <c r="N291" s="1" t="n"/>
      <c r="O291" s="1" t="n"/>
      <c r="P291" s="1" t="n"/>
      <c r="Q291" s="1" t="n"/>
      <c r="R291" s="1" t="n"/>
      <c r="S291" s="1" t="n"/>
      <c r="T291" s="1" t="n"/>
      <c r="U291" s="1" t="n"/>
      <c r="V291" s="1" t="n"/>
      <c r="W291" s="1" t="n"/>
      <c r="X291" s="1" t="n"/>
      <c r="Y291" s="1" t="n"/>
      <c r="Z291" s="1" t="n"/>
    </row>
    <row r="292" ht="15.75" customHeight="1" s="311">
      <c r="A292" s="145" t="n"/>
      <c r="B292" s="145" t="n"/>
      <c r="C292" s="145" t="n"/>
      <c r="D292" s="145" t="n"/>
      <c r="E292" s="145" t="n"/>
      <c r="F292" s="145" t="n"/>
      <c r="G292" s="145" t="n"/>
      <c r="H292" s="145" t="n"/>
      <c r="I292" s="145" t="n"/>
      <c r="J292" s="145" t="n"/>
      <c r="K292" s="145" t="n"/>
      <c r="L292" s="145" t="n"/>
      <c r="M292" s="145" t="n"/>
      <c r="N292" s="1" t="n"/>
      <c r="O292" s="1" t="n"/>
      <c r="P292" s="1" t="n"/>
      <c r="Q292" s="1" t="n"/>
      <c r="R292" s="1" t="n"/>
      <c r="S292" s="1" t="n"/>
      <c r="T292" s="1" t="n"/>
      <c r="U292" s="1" t="n"/>
      <c r="V292" s="1" t="n"/>
      <c r="W292" s="1" t="n"/>
      <c r="X292" s="1" t="n"/>
      <c r="Y292" s="1" t="n"/>
      <c r="Z292" s="1" t="n"/>
    </row>
    <row r="293" ht="15.75" customHeight="1" s="311">
      <c r="A293" s="145" t="n"/>
      <c r="B293" s="145" t="n"/>
      <c r="C293" s="145" t="n"/>
      <c r="D293" s="145" t="n"/>
      <c r="E293" s="145" t="n"/>
      <c r="F293" s="145" t="n"/>
      <c r="G293" s="145" t="n"/>
      <c r="H293" s="145" t="n"/>
      <c r="I293" s="145" t="n"/>
      <c r="J293" s="145" t="n"/>
      <c r="K293" s="145" t="n"/>
      <c r="L293" s="145" t="n"/>
      <c r="M293" s="145" t="n"/>
      <c r="N293" s="1" t="n"/>
      <c r="O293" s="1" t="n"/>
      <c r="P293" s="1" t="n"/>
      <c r="Q293" s="1" t="n"/>
      <c r="R293" s="1" t="n"/>
      <c r="S293" s="1" t="n"/>
      <c r="T293" s="1" t="n"/>
      <c r="U293" s="1" t="n"/>
      <c r="V293" s="1" t="n"/>
      <c r="W293" s="1" t="n"/>
      <c r="X293" s="1" t="n"/>
      <c r="Y293" s="1" t="n"/>
      <c r="Z293" s="1" t="n"/>
    </row>
    <row r="294" ht="15.75" customHeight="1" s="311">
      <c r="A294" s="145" t="n"/>
      <c r="B294" s="145" t="n"/>
      <c r="C294" s="145" t="n"/>
      <c r="D294" s="145" t="n"/>
      <c r="E294" s="145" t="n"/>
      <c r="F294" s="145" t="n"/>
      <c r="G294" s="145" t="n"/>
      <c r="H294" s="145" t="n"/>
      <c r="I294" s="145" t="n"/>
      <c r="J294" s="145" t="n"/>
      <c r="K294" s="145" t="n"/>
      <c r="L294" s="145" t="n"/>
      <c r="M294" s="145" t="n"/>
      <c r="N294" s="1" t="n"/>
      <c r="O294" s="1" t="n"/>
      <c r="P294" s="1" t="n"/>
      <c r="Q294" s="1" t="n"/>
      <c r="R294" s="1" t="n"/>
      <c r="S294" s="1" t="n"/>
      <c r="T294" s="1" t="n"/>
      <c r="U294" s="1" t="n"/>
      <c r="V294" s="1" t="n"/>
      <c r="W294" s="1" t="n"/>
      <c r="X294" s="1" t="n"/>
      <c r="Y294" s="1" t="n"/>
      <c r="Z294" s="1" t="n"/>
    </row>
    <row r="295" ht="15.75" customHeight="1" s="311">
      <c r="A295" s="145" t="n"/>
      <c r="B295" s="145" t="n"/>
      <c r="C295" s="145" t="n"/>
      <c r="D295" s="145" t="n"/>
      <c r="E295" s="145" t="n"/>
      <c r="F295" s="145" t="n"/>
      <c r="G295" s="145" t="n"/>
      <c r="H295" s="145" t="n"/>
      <c r="I295" s="145" t="n"/>
      <c r="J295" s="145" t="n"/>
      <c r="K295" s="145" t="n"/>
      <c r="L295" s="145" t="n"/>
      <c r="M295" s="145" t="n"/>
      <c r="N295" s="1" t="n"/>
      <c r="O295" s="1" t="n"/>
      <c r="P295" s="1" t="n"/>
      <c r="Q295" s="1" t="n"/>
      <c r="R295" s="1" t="n"/>
      <c r="S295" s="1" t="n"/>
      <c r="T295" s="1" t="n"/>
      <c r="U295" s="1" t="n"/>
      <c r="V295" s="1" t="n"/>
      <c r="W295" s="1" t="n"/>
      <c r="X295" s="1" t="n"/>
      <c r="Y295" s="1" t="n"/>
      <c r="Z295" s="1" t="n"/>
    </row>
    <row r="296" ht="15.75" customHeight="1" s="311">
      <c r="A296" s="145" t="n"/>
      <c r="B296" s="145" t="n"/>
      <c r="C296" s="145" t="n"/>
      <c r="D296" s="145" t="n"/>
      <c r="E296" s="145" t="n"/>
      <c r="F296" s="145" t="n"/>
      <c r="G296" s="145" t="n"/>
      <c r="H296" s="145" t="n"/>
      <c r="I296" s="145" t="n"/>
      <c r="J296" s="145" t="n"/>
      <c r="K296" s="145" t="n"/>
      <c r="L296" s="145" t="n"/>
      <c r="M296" s="145" t="n"/>
      <c r="N296" s="1" t="n"/>
      <c r="O296" s="1" t="n"/>
      <c r="P296" s="1" t="n"/>
      <c r="Q296" s="1" t="n"/>
      <c r="R296" s="1" t="n"/>
      <c r="S296" s="1" t="n"/>
      <c r="T296" s="1" t="n"/>
      <c r="U296" s="1" t="n"/>
      <c r="V296" s="1" t="n"/>
      <c r="W296" s="1" t="n"/>
      <c r="X296" s="1" t="n"/>
      <c r="Y296" s="1" t="n"/>
      <c r="Z296" s="1" t="n"/>
    </row>
    <row r="297" ht="15.75" customHeight="1" s="311">
      <c r="A297" s="145" t="n"/>
      <c r="B297" s="145" t="n"/>
      <c r="C297" s="145" t="n"/>
      <c r="D297" s="145" t="n"/>
      <c r="E297" s="145" t="n"/>
      <c r="F297" s="145" t="n"/>
      <c r="G297" s="145" t="n"/>
      <c r="H297" s="145" t="n"/>
      <c r="I297" s="145" t="n"/>
      <c r="J297" s="145" t="n"/>
      <c r="K297" s="145" t="n"/>
      <c r="L297" s="145" t="n"/>
      <c r="M297" s="145" t="n"/>
      <c r="N297" s="1" t="n"/>
      <c r="O297" s="1" t="n"/>
      <c r="P297" s="1" t="n"/>
      <c r="Q297" s="1" t="n"/>
      <c r="R297" s="1" t="n"/>
      <c r="S297" s="1" t="n"/>
      <c r="T297" s="1" t="n"/>
      <c r="U297" s="1" t="n"/>
      <c r="V297" s="1" t="n"/>
      <c r="W297" s="1" t="n"/>
      <c r="X297" s="1" t="n"/>
      <c r="Y297" s="1" t="n"/>
      <c r="Z297" s="1" t="n"/>
    </row>
    <row r="298" ht="15.75" customHeight="1" s="311">
      <c r="A298" s="145" t="n"/>
      <c r="B298" s="145" t="n"/>
      <c r="C298" s="145" t="n"/>
      <c r="D298" s="145" t="n"/>
      <c r="E298" s="145" t="n"/>
      <c r="F298" s="145" t="n"/>
      <c r="G298" s="145" t="n"/>
      <c r="H298" s="145" t="n"/>
      <c r="I298" s="145" t="n"/>
      <c r="J298" s="145" t="n"/>
      <c r="K298" s="145" t="n"/>
      <c r="L298" s="145" t="n"/>
      <c r="M298" s="145" t="n"/>
      <c r="N298" s="1" t="n"/>
      <c r="O298" s="1" t="n"/>
      <c r="P298" s="1" t="n"/>
      <c r="Q298" s="1" t="n"/>
      <c r="R298" s="1" t="n"/>
      <c r="S298" s="1" t="n"/>
      <c r="T298" s="1" t="n"/>
      <c r="U298" s="1" t="n"/>
      <c r="V298" s="1" t="n"/>
      <c r="W298" s="1" t="n"/>
      <c r="X298" s="1" t="n"/>
      <c r="Y298" s="1" t="n"/>
      <c r="Z298" s="1" t="n"/>
    </row>
    <row r="299" ht="15.75" customHeight="1" s="311">
      <c r="A299" s="145" t="n"/>
      <c r="B299" s="145" t="n"/>
      <c r="C299" s="145" t="n"/>
      <c r="D299" s="145" t="n"/>
      <c r="E299" s="145" t="n"/>
      <c r="F299" s="145" t="n"/>
      <c r="G299" s="145" t="n"/>
      <c r="H299" s="145" t="n"/>
      <c r="I299" s="145" t="n"/>
      <c r="J299" s="145" t="n"/>
      <c r="K299" s="145" t="n"/>
      <c r="L299" s="145" t="n"/>
      <c r="M299" s="145" t="n"/>
      <c r="N299" s="1" t="n"/>
      <c r="O299" s="1" t="n"/>
      <c r="P299" s="1" t="n"/>
      <c r="Q299" s="1" t="n"/>
      <c r="R299" s="1" t="n"/>
      <c r="S299" s="1" t="n"/>
      <c r="T299" s="1" t="n"/>
      <c r="U299" s="1" t="n"/>
      <c r="V299" s="1" t="n"/>
      <c r="W299" s="1" t="n"/>
      <c r="X299" s="1" t="n"/>
      <c r="Y299" s="1" t="n"/>
      <c r="Z299" s="1" t="n"/>
    </row>
    <row r="300" ht="15.75" customHeight="1" s="311">
      <c r="A300" s="145" t="n"/>
      <c r="B300" s="145" t="n"/>
      <c r="C300" s="145" t="n"/>
      <c r="D300" s="145" t="n"/>
      <c r="E300" s="145" t="n"/>
      <c r="F300" s="145" t="n"/>
      <c r="G300" s="145" t="n"/>
      <c r="H300" s="145" t="n"/>
      <c r="I300" s="145" t="n"/>
      <c r="J300" s="145" t="n"/>
      <c r="K300" s="145" t="n"/>
      <c r="L300" s="145" t="n"/>
      <c r="M300" s="145" t="n"/>
      <c r="N300" s="1" t="n"/>
      <c r="O300" s="1" t="n"/>
      <c r="P300" s="1" t="n"/>
      <c r="Q300" s="1" t="n"/>
      <c r="R300" s="1" t="n"/>
      <c r="S300" s="1" t="n"/>
      <c r="T300" s="1" t="n"/>
      <c r="U300" s="1" t="n"/>
      <c r="V300" s="1" t="n"/>
      <c r="W300" s="1" t="n"/>
      <c r="X300" s="1" t="n"/>
      <c r="Y300" s="1" t="n"/>
      <c r="Z300" s="1" t="n"/>
    </row>
    <row r="301" ht="15.75" customHeight="1" s="311">
      <c r="A301" s="145" t="n"/>
      <c r="B301" s="145" t="n"/>
      <c r="C301" s="145" t="n"/>
      <c r="D301" s="145" t="n"/>
      <c r="E301" s="145" t="n"/>
      <c r="F301" s="145" t="n"/>
      <c r="G301" s="145" t="n"/>
      <c r="H301" s="145" t="n"/>
      <c r="I301" s="145" t="n"/>
      <c r="J301" s="145" t="n"/>
      <c r="K301" s="145" t="n"/>
      <c r="L301" s="145" t="n"/>
      <c r="M301" s="145" t="n"/>
      <c r="N301" s="1" t="n"/>
      <c r="O301" s="1" t="n"/>
      <c r="P301" s="1" t="n"/>
      <c r="Q301" s="1" t="n"/>
      <c r="R301" s="1" t="n"/>
      <c r="S301" s="1" t="n"/>
      <c r="T301" s="1" t="n"/>
      <c r="U301" s="1" t="n"/>
      <c r="V301" s="1" t="n"/>
      <c r="W301" s="1" t="n"/>
      <c r="X301" s="1" t="n"/>
      <c r="Y301" s="1" t="n"/>
      <c r="Z301" s="1" t="n"/>
    </row>
    <row r="302" ht="15.75" customHeight="1" s="311">
      <c r="A302" s="145" t="n"/>
      <c r="B302" s="145" t="n"/>
      <c r="C302" s="145" t="n"/>
      <c r="D302" s="145" t="n"/>
      <c r="E302" s="145" t="n"/>
      <c r="F302" s="145" t="n"/>
      <c r="G302" s="145" t="n"/>
      <c r="H302" s="145" t="n"/>
      <c r="I302" s="145" t="n"/>
      <c r="J302" s="145" t="n"/>
      <c r="K302" s="145" t="n"/>
      <c r="L302" s="145" t="n"/>
      <c r="M302" s="145" t="n"/>
      <c r="N302" s="1" t="n"/>
      <c r="O302" s="1" t="n"/>
      <c r="P302" s="1" t="n"/>
      <c r="Q302" s="1" t="n"/>
      <c r="R302" s="1" t="n"/>
      <c r="S302" s="1" t="n"/>
      <c r="T302" s="1" t="n"/>
      <c r="U302" s="1" t="n"/>
      <c r="V302" s="1" t="n"/>
      <c r="W302" s="1" t="n"/>
      <c r="X302" s="1" t="n"/>
      <c r="Y302" s="1" t="n"/>
      <c r="Z302" s="1" t="n"/>
    </row>
    <row r="303" ht="15.75" customHeight="1" s="311">
      <c r="A303" s="145" t="n"/>
      <c r="B303" s="145" t="n"/>
      <c r="C303" s="145" t="n"/>
      <c r="D303" s="145" t="n"/>
      <c r="E303" s="145" t="n"/>
      <c r="F303" s="145" t="n"/>
      <c r="G303" s="145" t="n"/>
      <c r="H303" s="145" t="n"/>
      <c r="I303" s="145" t="n"/>
      <c r="J303" s="145" t="n"/>
      <c r="K303" s="145" t="n"/>
      <c r="L303" s="145" t="n"/>
      <c r="M303" s="145" t="n"/>
      <c r="N303" s="1" t="n"/>
      <c r="O303" s="1" t="n"/>
      <c r="P303" s="1" t="n"/>
      <c r="Q303" s="1" t="n"/>
      <c r="R303" s="1" t="n"/>
      <c r="S303" s="1" t="n"/>
      <c r="T303" s="1" t="n"/>
      <c r="U303" s="1" t="n"/>
      <c r="V303" s="1" t="n"/>
      <c r="W303" s="1" t="n"/>
      <c r="X303" s="1" t="n"/>
      <c r="Y303" s="1" t="n"/>
      <c r="Z303" s="1" t="n"/>
    </row>
    <row r="304" ht="15.75" customHeight="1" s="311">
      <c r="A304" s="145" t="n"/>
      <c r="B304" s="145" t="n"/>
      <c r="C304" s="145" t="n"/>
      <c r="D304" s="145" t="n"/>
      <c r="E304" s="145" t="n"/>
      <c r="F304" s="145" t="n"/>
      <c r="G304" s="145" t="n"/>
      <c r="H304" s="145" t="n"/>
      <c r="I304" s="145" t="n"/>
      <c r="J304" s="145" t="n"/>
      <c r="K304" s="145" t="n"/>
      <c r="L304" s="145" t="n"/>
      <c r="M304" s="145" t="n"/>
      <c r="N304" s="1" t="n"/>
      <c r="O304" s="1" t="n"/>
      <c r="P304" s="1" t="n"/>
      <c r="Q304" s="1" t="n"/>
      <c r="R304" s="1" t="n"/>
      <c r="S304" s="1" t="n"/>
      <c r="T304" s="1" t="n"/>
      <c r="U304" s="1" t="n"/>
      <c r="V304" s="1" t="n"/>
      <c r="W304" s="1" t="n"/>
      <c r="X304" s="1" t="n"/>
      <c r="Y304" s="1" t="n"/>
      <c r="Z304" s="1" t="n"/>
    </row>
    <row r="305" ht="15.75" customHeight="1" s="311">
      <c r="A305" s="145" t="n"/>
      <c r="B305" s="145" t="n"/>
      <c r="C305" s="145" t="n"/>
      <c r="D305" s="145" t="n"/>
      <c r="E305" s="145" t="n"/>
      <c r="F305" s="145" t="n"/>
      <c r="G305" s="145" t="n"/>
      <c r="H305" s="145" t="n"/>
      <c r="I305" s="145" t="n"/>
      <c r="J305" s="145" t="n"/>
      <c r="K305" s="145" t="n"/>
      <c r="L305" s="145" t="n"/>
      <c r="M305" s="145" t="n"/>
      <c r="N305" s="1" t="n"/>
      <c r="O305" s="1" t="n"/>
      <c r="P305" s="1" t="n"/>
      <c r="Q305" s="1" t="n"/>
      <c r="R305" s="1" t="n"/>
      <c r="S305" s="1" t="n"/>
      <c r="T305" s="1" t="n"/>
      <c r="U305" s="1" t="n"/>
      <c r="V305" s="1" t="n"/>
      <c r="W305" s="1" t="n"/>
      <c r="X305" s="1" t="n"/>
      <c r="Y305" s="1" t="n"/>
      <c r="Z305" s="1" t="n"/>
    </row>
    <row r="306" ht="15.75" customHeight="1" s="311">
      <c r="A306" s="145" t="n"/>
      <c r="B306" s="145" t="n"/>
      <c r="C306" s="145" t="n"/>
      <c r="D306" s="145" t="n"/>
      <c r="E306" s="145" t="n"/>
      <c r="F306" s="145" t="n"/>
      <c r="G306" s="145" t="n"/>
      <c r="H306" s="145" t="n"/>
      <c r="I306" s="145" t="n"/>
      <c r="J306" s="145" t="n"/>
      <c r="K306" s="145" t="n"/>
      <c r="L306" s="145" t="n"/>
      <c r="M306" s="145" t="n"/>
      <c r="N306" s="1" t="n"/>
      <c r="O306" s="1" t="n"/>
      <c r="P306" s="1" t="n"/>
      <c r="Q306" s="1" t="n"/>
      <c r="R306" s="1" t="n"/>
      <c r="S306" s="1" t="n"/>
      <c r="T306" s="1" t="n"/>
      <c r="U306" s="1" t="n"/>
      <c r="V306" s="1" t="n"/>
      <c r="W306" s="1" t="n"/>
      <c r="X306" s="1" t="n"/>
      <c r="Y306" s="1" t="n"/>
      <c r="Z306" s="1" t="n"/>
    </row>
    <row r="307" ht="15.75" customHeight="1" s="311">
      <c r="A307" s="145" t="n"/>
      <c r="B307" s="145" t="n"/>
      <c r="C307" s="145" t="n"/>
      <c r="D307" s="145" t="n"/>
      <c r="E307" s="145" t="n"/>
      <c r="F307" s="145" t="n"/>
      <c r="G307" s="145" t="n"/>
      <c r="H307" s="145" t="n"/>
      <c r="I307" s="145" t="n"/>
      <c r="J307" s="145" t="n"/>
      <c r="K307" s="145" t="n"/>
      <c r="L307" s="145" t="n"/>
      <c r="M307" s="145" t="n"/>
      <c r="N307" s="1" t="n"/>
      <c r="O307" s="1" t="n"/>
      <c r="P307" s="1" t="n"/>
      <c r="Q307" s="1" t="n"/>
      <c r="R307" s="1" t="n"/>
      <c r="S307" s="1" t="n"/>
      <c r="T307" s="1" t="n"/>
      <c r="U307" s="1" t="n"/>
      <c r="V307" s="1" t="n"/>
      <c r="W307" s="1" t="n"/>
      <c r="X307" s="1" t="n"/>
      <c r="Y307" s="1" t="n"/>
      <c r="Z307" s="1" t="n"/>
    </row>
    <row r="308" ht="15.75" customHeight="1" s="311">
      <c r="A308" s="145" t="n"/>
      <c r="B308" s="145" t="n"/>
      <c r="C308" s="145" t="n"/>
      <c r="D308" s="145" t="n"/>
      <c r="E308" s="145" t="n"/>
      <c r="F308" s="145" t="n"/>
      <c r="G308" s="145" t="n"/>
      <c r="H308" s="145" t="n"/>
      <c r="I308" s="145" t="n"/>
      <c r="J308" s="145" t="n"/>
      <c r="K308" s="145" t="n"/>
      <c r="L308" s="145" t="n"/>
      <c r="M308" s="145" t="n"/>
      <c r="N308" s="1" t="n"/>
      <c r="O308" s="1" t="n"/>
      <c r="P308" s="1" t="n"/>
      <c r="Q308" s="1" t="n"/>
      <c r="R308" s="1" t="n"/>
      <c r="S308" s="1" t="n"/>
      <c r="T308" s="1" t="n"/>
      <c r="U308" s="1" t="n"/>
      <c r="V308" s="1" t="n"/>
      <c r="W308" s="1" t="n"/>
      <c r="X308" s="1" t="n"/>
      <c r="Y308" s="1" t="n"/>
      <c r="Z308" s="1" t="n"/>
    </row>
    <row r="309" ht="15.75" customHeight="1" s="311">
      <c r="A309" s="145" t="n"/>
      <c r="B309" s="145" t="n"/>
      <c r="C309" s="145" t="n"/>
      <c r="D309" s="145" t="n"/>
      <c r="E309" s="145" t="n"/>
      <c r="F309" s="145" t="n"/>
      <c r="G309" s="145" t="n"/>
      <c r="H309" s="145" t="n"/>
      <c r="I309" s="145" t="n"/>
      <c r="J309" s="145" t="n"/>
      <c r="K309" s="145" t="n"/>
      <c r="L309" s="145" t="n"/>
      <c r="M309" s="145" t="n"/>
      <c r="N309" s="1" t="n"/>
      <c r="O309" s="1" t="n"/>
      <c r="P309" s="1" t="n"/>
      <c r="Q309" s="1" t="n"/>
      <c r="R309" s="1" t="n"/>
      <c r="S309" s="1" t="n"/>
      <c r="T309" s="1" t="n"/>
      <c r="U309" s="1" t="n"/>
      <c r="V309" s="1" t="n"/>
      <c r="W309" s="1" t="n"/>
      <c r="X309" s="1" t="n"/>
      <c r="Y309" s="1" t="n"/>
      <c r="Z309" s="1" t="n"/>
    </row>
    <row r="310" ht="15.75" customHeight="1" s="311">
      <c r="A310" s="145" t="n"/>
      <c r="B310" s="145" t="n"/>
      <c r="C310" s="145" t="n"/>
      <c r="D310" s="145" t="n"/>
      <c r="E310" s="145" t="n"/>
      <c r="F310" s="145" t="n"/>
      <c r="G310" s="145" t="n"/>
      <c r="H310" s="145" t="n"/>
      <c r="I310" s="145" t="n"/>
      <c r="J310" s="145" t="n"/>
      <c r="K310" s="145" t="n"/>
      <c r="L310" s="145" t="n"/>
      <c r="M310" s="145" t="n"/>
      <c r="N310" s="1" t="n"/>
      <c r="O310" s="1" t="n"/>
      <c r="P310" s="1" t="n"/>
      <c r="Q310" s="1" t="n"/>
      <c r="R310" s="1" t="n"/>
      <c r="S310" s="1" t="n"/>
      <c r="T310" s="1" t="n"/>
      <c r="U310" s="1" t="n"/>
      <c r="V310" s="1" t="n"/>
      <c r="W310" s="1" t="n"/>
      <c r="X310" s="1" t="n"/>
      <c r="Y310" s="1" t="n"/>
      <c r="Z310" s="1" t="n"/>
    </row>
    <row r="311" ht="15.75" customHeight="1" s="311">
      <c r="A311" s="145" t="n"/>
      <c r="B311" s="145" t="n"/>
      <c r="C311" s="145" t="n"/>
      <c r="D311" s="145" t="n"/>
      <c r="E311" s="145" t="n"/>
      <c r="F311" s="145" t="n"/>
      <c r="G311" s="145" t="n"/>
      <c r="H311" s="145" t="n"/>
      <c r="I311" s="145" t="n"/>
      <c r="J311" s="145" t="n"/>
      <c r="K311" s="145" t="n"/>
      <c r="L311" s="145" t="n"/>
      <c r="M311" s="145" t="n"/>
      <c r="N311" s="1" t="n"/>
      <c r="O311" s="1" t="n"/>
      <c r="P311" s="1" t="n"/>
      <c r="Q311" s="1" t="n"/>
      <c r="R311" s="1" t="n"/>
      <c r="S311" s="1" t="n"/>
      <c r="T311" s="1" t="n"/>
      <c r="U311" s="1" t="n"/>
      <c r="V311" s="1" t="n"/>
      <c r="W311" s="1" t="n"/>
      <c r="X311" s="1" t="n"/>
      <c r="Y311" s="1" t="n"/>
      <c r="Z311" s="1" t="n"/>
    </row>
    <row r="312" ht="15.75" customHeight="1" s="311">
      <c r="A312" s="145" t="n"/>
      <c r="B312" s="145" t="n"/>
      <c r="C312" s="145" t="n"/>
      <c r="D312" s="145" t="n"/>
      <c r="E312" s="145" t="n"/>
      <c r="F312" s="145" t="n"/>
      <c r="G312" s="145" t="n"/>
      <c r="H312" s="145" t="n"/>
      <c r="I312" s="145" t="n"/>
      <c r="J312" s="145" t="n"/>
      <c r="K312" s="145" t="n"/>
      <c r="L312" s="145" t="n"/>
      <c r="M312" s="145" t="n"/>
      <c r="N312" s="1" t="n"/>
      <c r="O312" s="1" t="n"/>
      <c r="P312" s="1" t="n"/>
      <c r="Q312" s="1" t="n"/>
      <c r="R312" s="1" t="n"/>
      <c r="S312" s="1" t="n"/>
      <c r="T312" s="1" t="n"/>
      <c r="U312" s="1" t="n"/>
      <c r="V312" s="1" t="n"/>
      <c r="W312" s="1" t="n"/>
      <c r="X312" s="1" t="n"/>
      <c r="Y312" s="1" t="n"/>
      <c r="Z312" s="1" t="n"/>
    </row>
    <row r="313" ht="15.75" customHeight="1" s="311">
      <c r="A313" s="145" t="n"/>
      <c r="B313" s="145" t="n"/>
      <c r="C313" s="145" t="n"/>
      <c r="D313" s="145" t="n"/>
      <c r="E313" s="145" t="n"/>
      <c r="F313" s="145" t="n"/>
      <c r="G313" s="145" t="n"/>
      <c r="H313" s="145" t="n"/>
      <c r="I313" s="145" t="n"/>
      <c r="J313" s="145" t="n"/>
      <c r="K313" s="145" t="n"/>
      <c r="L313" s="145" t="n"/>
      <c r="M313" s="145" t="n"/>
      <c r="N313" s="1" t="n"/>
      <c r="O313" s="1" t="n"/>
      <c r="P313" s="1" t="n"/>
      <c r="Q313" s="1" t="n"/>
      <c r="R313" s="1" t="n"/>
      <c r="S313" s="1" t="n"/>
      <c r="T313" s="1" t="n"/>
      <c r="U313" s="1" t="n"/>
      <c r="V313" s="1" t="n"/>
      <c r="W313" s="1" t="n"/>
      <c r="X313" s="1" t="n"/>
      <c r="Y313" s="1" t="n"/>
      <c r="Z313" s="1" t="n"/>
    </row>
    <row r="314" ht="15.75" customHeight="1" s="311">
      <c r="A314" s="145" t="n"/>
      <c r="B314" s="145" t="n"/>
      <c r="C314" s="145" t="n"/>
      <c r="D314" s="145" t="n"/>
      <c r="E314" s="145" t="n"/>
      <c r="F314" s="145" t="n"/>
      <c r="G314" s="145" t="n"/>
      <c r="H314" s="145" t="n"/>
      <c r="I314" s="145" t="n"/>
      <c r="J314" s="145" t="n"/>
      <c r="K314" s="145" t="n"/>
      <c r="L314" s="145" t="n"/>
      <c r="M314" s="145" t="n"/>
      <c r="N314" s="1" t="n"/>
      <c r="O314" s="1" t="n"/>
      <c r="P314" s="1" t="n"/>
      <c r="Q314" s="1" t="n"/>
      <c r="R314" s="1" t="n"/>
      <c r="S314" s="1" t="n"/>
      <c r="T314" s="1" t="n"/>
      <c r="U314" s="1" t="n"/>
      <c r="V314" s="1" t="n"/>
      <c r="W314" s="1" t="n"/>
      <c r="X314" s="1" t="n"/>
      <c r="Y314" s="1" t="n"/>
      <c r="Z314" s="1" t="n"/>
    </row>
    <row r="315" ht="15.75" customHeight="1" s="311">
      <c r="A315" s="145" t="n"/>
      <c r="B315" s="145" t="n"/>
      <c r="C315" s="145" t="n"/>
      <c r="D315" s="145" t="n"/>
      <c r="E315" s="145" t="n"/>
      <c r="F315" s="145" t="n"/>
      <c r="G315" s="145" t="n"/>
      <c r="H315" s="145" t="n"/>
      <c r="I315" s="145" t="n"/>
      <c r="J315" s="145" t="n"/>
      <c r="K315" s="145" t="n"/>
      <c r="L315" s="145" t="n"/>
      <c r="M315" s="145" t="n"/>
      <c r="N315" s="1" t="n"/>
      <c r="O315" s="1" t="n"/>
      <c r="P315" s="1" t="n"/>
      <c r="Q315" s="1" t="n"/>
      <c r="R315" s="1" t="n"/>
      <c r="S315" s="1" t="n"/>
      <c r="T315" s="1" t="n"/>
      <c r="U315" s="1" t="n"/>
      <c r="V315" s="1" t="n"/>
      <c r="W315" s="1" t="n"/>
      <c r="X315" s="1" t="n"/>
      <c r="Y315" s="1" t="n"/>
      <c r="Z315" s="1" t="n"/>
    </row>
    <row r="316" ht="15.75" customHeight="1" s="311">
      <c r="A316" s="145" t="n"/>
      <c r="B316" s="145" t="n"/>
      <c r="C316" s="145" t="n"/>
      <c r="D316" s="145" t="n"/>
      <c r="E316" s="145" t="n"/>
      <c r="F316" s="145" t="n"/>
      <c r="G316" s="145" t="n"/>
      <c r="H316" s="145" t="n"/>
      <c r="I316" s="145" t="n"/>
      <c r="J316" s="145" t="n"/>
      <c r="K316" s="145" t="n"/>
      <c r="L316" s="145" t="n"/>
      <c r="M316" s="145" t="n"/>
      <c r="N316" s="1" t="n"/>
      <c r="O316" s="1" t="n"/>
      <c r="P316" s="1" t="n"/>
      <c r="Q316" s="1" t="n"/>
      <c r="R316" s="1" t="n"/>
      <c r="S316" s="1" t="n"/>
      <c r="T316" s="1" t="n"/>
      <c r="U316" s="1" t="n"/>
      <c r="V316" s="1" t="n"/>
      <c r="W316" s="1" t="n"/>
      <c r="X316" s="1" t="n"/>
      <c r="Y316" s="1" t="n"/>
      <c r="Z316" s="1" t="n"/>
    </row>
    <row r="317" ht="15.75" customHeight="1" s="311">
      <c r="A317" s="145" t="n"/>
      <c r="B317" s="145" t="n"/>
      <c r="C317" s="145" t="n"/>
      <c r="D317" s="145" t="n"/>
      <c r="E317" s="145" t="n"/>
      <c r="F317" s="145" t="n"/>
      <c r="G317" s="145" t="n"/>
      <c r="H317" s="145" t="n"/>
      <c r="I317" s="145" t="n"/>
      <c r="J317" s="145" t="n"/>
      <c r="K317" s="145" t="n"/>
      <c r="L317" s="145" t="n"/>
      <c r="M317" s="145" t="n"/>
      <c r="N317" s="1" t="n"/>
      <c r="O317" s="1" t="n"/>
      <c r="P317" s="1" t="n"/>
      <c r="Q317" s="1" t="n"/>
      <c r="R317" s="1" t="n"/>
      <c r="S317" s="1" t="n"/>
      <c r="T317" s="1" t="n"/>
      <c r="U317" s="1" t="n"/>
      <c r="V317" s="1" t="n"/>
      <c r="W317" s="1" t="n"/>
      <c r="X317" s="1" t="n"/>
      <c r="Y317" s="1" t="n"/>
      <c r="Z317" s="1" t="n"/>
    </row>
    <row r="318" ht="15.75" customHeight="1" s="311">
      <c r="A318" s="145" t="n"/>
      <c r="B318" s="145" t="n"/>
      <c r="C318" s="145" t="n"/>
      <c r="D318" s="145" t="n"/>
      <c r="E318" s="145" t="n"/>
      <c r="F318" s="145" t="n"/>
      <c r="G318" s="145" t="n"/>
      <c r="H318" s="145" t="n"/>
      <c r="I318" s="145" t="n"/>
      <c r="J318" s="145" t="n"/>
      <c r="K318" s="145" t="n"/>
      <c r="L318" s="145" t="n"/>
      <c r="M318" s="145" t="n"/>
      <c r="N318" s="1" t="n"/>
      <c r="O318" s="1" t="n"/>
      <c r="P318" s="1" t="n"/>
      <c r="Q318" s="1" t="n"/>
      <c r="R318" s="1" t="n"/>
      <c r="S318" s="1" t="n"/>
      <c r="T318" s="1" t="n"/>
      <c r="U318" s="1" t="n"/>
      <c r="V318" s="1" t="n"/>
      <c r="W318" s="1" t="n"/>
      <c r="X318" s="1" t="n"/>
      <c r="Y318" s="1" t="n"/>
      <c r="Z318" s="1" t="n"/>
    </row>
    <row r="319" ht="15.75" customHeight="1" s="311">
      <c r="A319" s="145" t="n"/>
      <c r="B319" s="145" t="n"/>
      <c r="C319" s="145" t="n"/>
      <c r="D319" s="145" t="n"/>
      <c r="E319" s="145" t="n"/>
      <c r="F319" s="145" t="n"/>
      <c r="G319" s="145" t="n"/>
      <c r="H319" s="145" t="n"/>
      <c r="I319" s="145" t="n"/>
      <c r="J319" s="145" t="n"/>
      <c r="K319" s="145" t="n"/>
      <c r="L319" s="145" t="n"/>
      <c r="M319" s="145" t="n"/>
      <c r="N319" s="1" t="n"/>
      <c r="O319" s="1" t="n"/>
      <c r="P319" s="1" t="n"/>
      <c r="Q319" s="1" t="n"/>
      <c r="R319" s="1" t="n"/>
      <c r="S319" s="1" t="n"/>
      <c r="T319" s="1" t="n"/>
      <c r="U319" s="1" t="n"/>
      <c r="V319" s="1" t="n"/>
      <c r="W319" s="1" t="n"/>
      <c r="X319" s="1" t="n"/>
      <c r="Y319" s="1" t="n"/>
      <c r="Z319" s="1" t="n"/>
    </row>
    <row r="320" ht="15.75" customHeight="1" s="311">
      <c r="A320" s="145" t="n"/>
      <c r="B320" s="145" t="n"/>
      <c r="C320" s="145" t="n"/>
      <c r="D320" s="145" t="n"/>
      <c r="E320" s="145" t="n"/>
      <c r="F320" s="145" t="n"/>
      <c r="G320" s="145" t="n"/>
      <c r="H320" s="145" t="n"/>
      <c r="I320" s="145" t="n"/>
      <c r="J320" s="145" t="n"/>
      <c r="K320" s="145" t="n"/>
      <c r="L320" s="145" t="n"/>
      <c r="M320" s="145" t="n"/>
      <c r="N320" s="1" t="n"/>
      <c r="O320" s="1" t="n"/>
      <c r="P320" s="1" t="n"/>
      <c r="Q320" s="1" t="n"/>
      <c r="R320" s="1" t="n"/>
      <c r="S320" s="1" t="n"/>
      <c r="T320" s="1" t="n"/>
      <c r="U320" s="1" t="n"/>
      <c r="V320" s="1" t="n"/>
      <c r="W320" s="1" t="n"/>
      <c r="X320" s="1" t="n"/>
      <c r="Y320" s="1" t="n"/>
      <c r="Z320" s="1" t="n"/>
    </row>
    <row r="321" ht="15.75" customHeight="1" s="311">
      <c r="A321" s="145" t="n"/>
      <c r="B321" s="145" t="n"/>
      <c r="C321" s="145" t="n"/>
      <c r="D321" s="145" t="n"/>
      <c r="E321" s="145" t="n"/>
      <c r="F321" s="145" t="n"/>
      <c r="G321" s="145" t="n"/>
      <c r="H321" s="145" t="n"/>
      <c r="I321" s="145" t="n"/>
      <c r="J321" s="145" t="n"/>
      <c r="K321" s="145" t="n"/>
      <c r="L321" s="145" t="n"/>
      <c r="M321" s="145" t="n"/>
      <c r="N321" s="1" t="n"/>
      <c r="O321" s="1" t="n"/>
      <c r="P321" s="1" t="n"/>
      <c r="Q321" s="1" t="n"/>
      <c r="R321" s="1" t="n"/>
      <c r="S321" s="1" t="n"/>
      <c r="T321" s="1" t="n"/>
      <c r="U321" s="1" t="n"/>
      <c r="V321" s="1" t="n"/>
      <c r="W321" s="1" t="n"/>
      <c r="X321" s="1" t="n"/>
      <c r="Y321" s="1" t="n"/>
      <c r="Z321" s="1" t="n"/>
    </row>
    <row r="322" ht="15.75" customHeight="1" s="311">
      <c r="A322" s="145" t="n"/>
      <c r="B322" s="145" t="n"/>
      <c r="C322" s="145" t="n"/>
      <c r="D322" s="145" t="n"/>
      <c r="E322" s="145" t="n"/>
      <c r="F322" s="145" t="n"/>
      <c r="G322" s="145" t="n"/>
      <c r="H322" s="145" t="n"/>
      <c r="I322" s="145" t="n"/>
      <c r="J322" s="145" t="n"/>
      <c r="K322" s="145" t="n"/>
      <c r="L322" s="145" t="n"/>
      <c r="M322" s="145" t="n"/>
      <c r="N322" s="1" t="n"/>
      <c r="O322" s="1" t="n"/>
      <c r="P322" s="1" t="n"/>
      <c r="Q322" s="1" t="n"/>
      <c r="R322" s="1" t="n"/>
      <c r="S322" s="1" t="n"/>
      <c r="T322" s="1" t="n"/>
      <c r="U322" s="1" t="n"/>
      <c r="V322" s="1" t="n"/>
      <c r="W322" s="1" t="n"/>
      <c r="X322" s="1" t="n"/>
      <c r="Y322" s="1" t="n"/>
      <c r="Z322" s="1" t="n"/>
    </row>
    <row r="323" ht="15.75" customHeight="1" s="311">
      <c r="A323" s="145" t="n"/>
      <c r="B323" s="145" t="n"/>
      <c r="C323" s="145" t="n"/>
      <c r="D323" s="145" t="n"/>
      <c r="E323" s="145" t="n"/>
      <c r="F323" s="145" t="n"/>
      <c r="G323" s="145" t="n"/>
      <c r="H323" s="145" t="n"/>
      <c r="I323" s="145" t="n"/>
      <c r="J323" s="145" t="n"/>
      <c r="K323" s="145" t="n"/>
      <c r="L323" s="145" t="n"/>
      <c r="M323" s="145" t="n"/>
      <c r="N323" s="1" t="n"/>
      <c r="O323" s="1" t="n"/>
      <c r="P323" s="1" t="n"/>
      <c r="Q323" s="1" t="n"/>
      <c r="R323" s="1" t="n"/>
      <c r="S323" s="1" t="n"/>
      <c r="T323" s="1" t="n"/>
      <c r="U323" s="1" t="n"/>
      <c r="V323" s="1" t="n"/>
      <c r="W323" s="1" t="n"/>
      <c r="X323" s="1" t="n"/>
      <c r="Y323" s="1" t="n"/>
      <c r="Z323" s="1" t="n"/>
    </row>
    <row r="324" ht="15.75" customHeight="1" s="311">
      <c r="A324" s="145" t="n"/>
      <c r="B324" s="145" t="n"/>
      <c r="C324" s="145" t="n"/>
      <c r="D324" s="145" t="n"/>
      <c r="E324" s="145" t="n"/>
      <c r="F324" s="145" t="n"/>
      <c r="G324" s="145" t="n"/>
      <c r="H324" s="145" t="n"/>
      <c r="I324" s="145" t="n"/>
      <c r="J324" s="145" t="n"/>
      <c r="K324" s="145" t="n"/>
      <c r="L324" s="145" t="n"/>
      <c r="M324" s="145" t="n"/>
      <c r="N324" s="1" t="n"/>
      <c r="O324" s="1" t="n"/>
      <c r="P324" s="1" t="n"/>
      <c r="Q324" s="1" t="n"/>
      <c r="R324" s="1" t="n"/>
      <c r="S324" s="1" t="n"/>
      <c r="T324" s="1" t="n"/>
      <c r="U324" s="1" t="n"/>
      <c r="V324" s="1" t="n"/>
      <c r="W324" s="1" t="n"/>
      <c r="X324" s="1" t="n"/>
      <c r="Y324" s="1" t="n"/>
      <c r="Z324" s="1" t="n"/>
    </row>
    <row r="325" ht="15.75" customHeight="1" s="311">
      <c r="A325" s="145" t="n"/>
      <c r="B325" s="145" t="n"/>
      <c r="C325" s="145" t="n"/>
      <c r="D325" s="145" t="n"/>
      <c r="E325" s="145" t="n"/>
      <c r="F325" s="145" t="n"/>
      <c r="G325" s="145" t="n"/>
      <c r="H325" s="145" t="n"/>
      <c r="I325" s="145" t="n"/>
      <c r="J325" s="145" t="n"/>
      <c r="K325" s="145" t="n"/>
      <c r="L325" s="145" t="n"/>
      <c r="M325" s="145" t="n"/>
      <c r="N325" s="1" t="n"/>
      <c r="O325" s="1" t="n"/>
      <c r="P325" s="1" t="n"/>
      <c r="Q325" s="1" t="n"/>
      <c r="R325" s="1" t="n"/>
      <c r="S325" s="1" t="n"/>
      <c r="T325" s="1" t="n"/>
      <c r="U325" s="1" t="n"/>
      <c r="V325" s="1" t="n"/>
      <c r="W325" s="1" t="n"/>
      <c r="X325" s="1" t="n"/>
      <c r="Y325" s="1" t="n"/>
      <c r="Z325" s="1" t="n"/>
    </row>
    <row r="326" ht="15.75" customHeight="1" s="311">
      <c r="A326" s="145" t="n"/>
      <c r="B326" s="145" t="n"/>
      <c r="C326" s="145" t="n"/>
      <c r="D326" s="145" t="n"/>
      <c r="E326" s="145" t="n"/>
      <c r="F326" s="145" t="n"/>
      <c r="G326" s="145" t="n"/>
      <c r="H326" s="145" t="n"/>
      <c r="I326" s="145" t="n"/>
      <c r="J326" s="145" t="n"/>
      <c r="K326" s="145" t="n"/>
      <c r="L326" s="145" t="n"/>
      <c r="M326" s="145" t="n"/>
      <c r="N326" s="1" t="n"/>
      <c r="O326" s="1" t="n"/>
      <c r="P326" s="1" t="n"/>
      <c r="Q326" s="1" t="n"/>
      <c r="R326" s="1" t="n"/>
      <c r="S326" s="1" t="n"/>
      <c r="T326" s="1" t="n"/>
      <c r="U326" s="1" t="n"/>
      <c r="V326" s="1" t="n"/>
      <c r="W326" s="1" t="n"/>
      <c r="X326" s="1" t="n"/>
      <c r="Y326" s="1" t="n"/>
      <c r="Z326" s="1" t="n"/>
    </row>
    <row r="327" ht="15.75" customHeight="1" s="311">
      <c r="A327" s="145" t="n"/>
      <c r="B327" s="145" t="n"/>
      <c r="C327" s="145" t="n"/>
      <c r="D327" s="145" t="n"/>
      <c r="E327" s="145" t="n"/>
      <c r="F327" s="145" t="n"/>
      <c r="G327" s="145" t="n"/>
      <c r="H327" s="145" t="n"/>
      <c r="I327" s="145" t="n"/>
      <c r="J327" s="145" t="n"/>
      <c r="K327" s="145" t="n"/>
      <c r="L327" s="145" t="n"/>
      <c r="M327" s="145" t="n"/>
      <c r="N327" s="1" t="n"/>
      <c r="O327" s="1" t="n"/>
      <c r="P327" s="1" t="n"/>
      <c r="Q327" s="1" t="n"/>
      <c r="R327" s="1" t="n"/>
      <c r="S327" s="1" t="n"/>
      <c r="T327" s="1" t="n"/>
      <c r="U327" s="1" t="n"/>
      <c r="V327" s="1" t="n"/>
      <c r="W327" s="1" t="n"/>
      <c r="X327" s="1" t="n"/>
      <c r="Y327" s="1" t="n"/>
      <c r="Z327" s="1" t="n"/>
    </row>
    <row r="328" ht="15.75" customHeight="1" s="311">
      <c r="A328" s="1" t="n"/>
      <c r="B328" s="1" t="n"/>
      <c r="C328" s="1" t="n"/>
      <c r="D328" s="1" t="n"/>
      <c r="E328" s="1" t="n"/>
      <c r="F328" s="1" t="n"/>
      <c r="G328" s="1" t="n"/>
      <c r="H328" s="1" t="n"/>
      <c r="I328" s="1" t="n"/>
      <c r="J328" s="1" t="n"/>
      <c r="K328" s="1" t="n"/>
      <c r="L328" s="1" t="n"/>
      <c r="M328" s="1" t="n"/>
    </row>
    <row r="329" ht="15.75" customHeight="1" s="311">
      <c r="A329" s="1" t="n"/>
      <c r="B329" s="1" t="n"/>
      <c r="C329" s="1" t="n"/>
      <c r="D329" s="1" t="n"/>
      <c r="E329" s="1" t="n"/>
      <c r="F329" s="1" t="n"/>
      <c r="G329" s="1" t="n"/>
      <c r="H329" s="1" t="n"/>
      <c r="I329" s="1" t="n"/>
      <c r="J329" s="1" t="n"/>
      <c r="K329" s="1" t="n"/>
      <c r="L329" s="1" t="n"/>
      <c r="M329" s="1" t="n"/>
    </row>
    <row r="330" ht="15.75" customHeight="1" s="311">
      <c r="A330" s="1" t="n"/>
      <c r="B330" s="1" t="n"/>
      <c r="C330" s="1" t="n"/>
      <c r="D330" s="1" t="n"/>
      <c r="E330" s="1" t="n"/>
      <c r="F330" s="1" t="n"/>
      <c r="G330" s="1" t="n"/>
      <c r="H330" s="1" t="n"/>
      <c r="I330" s="1" t="n"/>
      <c r="J330" s="1" t="n"/>
      <c r="K330" s="1" t="n"/>
      <c r="L330" s="1" t="n"/>
      <c r="M330" s="1" t="n"/>
    </row>
    <row r="331" ht="15.75" customHeight="1" s="311">
      <c r="A331" s="1" t="n"/>
      <c r="B331" s="1" t="n"/>
      <c r="C331" s="1" t="n"/>
      <c r="D331" s="1" t="n"/>
      <c r="E331" s="1" t="n"/>
      <c r="F331" s="1" t="n"/>
      <c r="G331" s="1" t="n"/>
      <c r="H331" s="1" t="n"/>
      <c r="I331" s="1" t="n"/>
      <c r="J331" s="1" t="n"/>
      <c r="K331" s="1" t="n"/>
      <c r="L331" s="1" t="n"/>
      <c r="M331" s="1" t="n"/>
    </row>
    <row r="332" ht="15.75" customHeight="1" s="311">
      <c r="A332" s="1" t="n"/>
      <c r="B332" s="1" t="n"/>
      <c r="C332" s="1" t="n"/>
      <c r="D332" s="1" t="n"/>
      <c r="E332" s="1" t="n"/>
      <c r="F332" s="1" t="n"/>
      <c r="G332" s="1" t="n"/>
      <c r="H332" s="1" t="n"/>
      <c r="I332" s="1" t="n"/>
      <c r="J332" s="1" t="n"/>
      <c r="K332" s="1" t="n"/>
      <c r="L332" s="1" t="n"/>
      <c r="M332" s="1" t="n"/>
    </row>
    <row r="333" ht="15.75" customHeight="1" s="311">
      <c r="A333" s="1" t="n"/>
      <c r="B333" s="1" t="n"/>
      <c r="C333" s="1" t="n"/>
      <c r="D333" s="1" t="n"/>
      <c r="E333" s="1" t="n"/>
      <c r="F333" s="1" t="n"/>
      <c r="G333" s="1" t="n"/>
      <c r="H333" s="1" t="n"/>
      <c r="I333" s="1" t="n"/>
      <c r="J333" s="1" t="n"/>
      <c r="K333" s="1" t="n"/>
      <c r="L333" s="1" t="n"/>
      <c r="M333" s="1" t="n"/>
    </row>
    <row r="334" ht="15.75" customHeight="1" s="311">
      <c r="A334" s="1" t="n"/>
      <c r="B334" s="1" t="n"/>
      <c r="C334" s="1" t="n"/>
      <c r="D334" s="1" t="n"/>
      <c r="E334" s="1" t="n"/>
      <c r="F334" s="1" t="n"/>
      <c r="G334" s="1" t="n"/>
      <c r="H334" s="1" t="n"/>
      <c r="I334" s="1" t="n"/>
      <c r="J334" s="1" t="n"/>
      <c r="K334" s="1" t="n"/>
      <c r="L334" s="1" t="n"/>
      <c r="M334" s="1" t="n"/>
    </row>
    <row r="335" ht="15.75" customHeight="1" s="311">
      <c r="A335" s="1" t="n"/>
      <c r="B335" s="1" t="n"/>
      <c r="C335" s="1" t="n"/>
      <c r="D335" s="1" t="n"/>
      <c r="E335" s="1" t="n"/>
      <c r="F335" s="1" t="n"/>
      <c r="G335" s="1" t="n"/>
      <c r="H335" s="1" t="n"/>
      <c r="I335" s="1" t="n"/>
      <c r="J335" s="1" t="n"/>
      <c r="K335" s="1" t="n"/>
      <c r="L335" s="1" t="n"/>
      <c r="M335" s="1" t="n"/>
    </row>
    <row r="336" ht="15.75" customHeight="1" s="311">
      <c r="A336" s="1" t="n"/>
      <c r="B336" s="1" t="n"/>
      <c r="C336" s="1" t="n"/>
      <c r="D336" s="1" t="n"/>
      <c r="E336" s="1" t="n"/>
      <c r="F336" s="1" t="n"/>
      <c r="G336" s="1" t="n"/>
      <c r="H336" s="1" t="n"/>
      <c r="I336" s="1" t="n"/>
      <c r="J336" s="1" t="n"/>
      <c r="K336" s="1" t="n"/>
      <c r="L336" s="1" t="n"/>
      <c r="M336" s="1" t="n"/>
    </row>
    <row r="337" ht="15.75" customHeight="1" s="311">
      <c r="A337" s="1" t="n"/>
      <c r="B337" s="1" t="n"/>
      <c r="C337" s="1" t="n"/>
      <c r="D337" s="1" t="n"/>
      <c r="E337" s="1" t="n"/>
      <c r="F337" s="1" t="n"/>
      <c r="G337" s="1" t="n"/>
      <c r="H337" s="1" t="n"/>
      <c r="I337" s="1" t="n"/>
      <c r="J337" s="1" t="n"/>
      <c r="K337" s="1" t="n"/>
      <c r="L337" s="1" t="n"/>
      <c r="M337" s="1" t="n"/>
    </row>
    <row r="338" ht="15.75" customHeight="1" s="311">
      <c r="A338" s="1" t="n"/>
      <c r="B338" s="1" t="n"/>
      <c r="C338" s="1" t="n"/>
      <c r="D338" s="1" t="n"/>
      <c r="E338" s="1" t="n"/>
      <c r="F338" s="1" t="n"/>
      <c r="G338" s="1" t="n"/>
      <c r="H338" s="1" t="n"/>
      <c r="I338" s="1" t="n"/>
      <c r="J338" s="1" t="n"/>
      <c r="K338" s="1" t="n"/>
      <c r="L338" s="1" t="n"/>
      <c r="M338" s="1" t="n"/>
    </row>
    <row r="339" ht="15.75" customHeight="1" s="311">
      <c r="A339" s="1" t="n"/>
      <c r="B339" s="1" t="n"/>
      <c r="C339" s="1" t="n"/>
      <c r="D339" s="1" t="n"/>
      <c r="E339" s="1" t="n"/>
      <c r="F339" s="1" t="n"/>
      <c r="G339" s="1" t="n"/>
      <c r="H339" s="1" t="n"/>
      <c r="I339" s="1" t="n"/>
      <c r="J339" s="1" t="n"/>
      <c r="K339" s="1" t="n"/>
      <c r="L339" s="1" t="n"/>
      <c r="M339" s="1" t="n"/>
    </row>
    <row r="340" ht="15.75" customHeight="1" s="311">
      <c r="A340" s="1" t="n"/>
      <c r="B340" s="1" t="n"/>
      <c r="C340" s="1" t="n"/>
      <c r="D340" s="1" t="n"/>
      <c r="E340" s="1" t="n"/>
      <c r="F340" s="1" t="n"/>
      <c r="G340" s="1" t="n"/>
      <c r="H340" s="1" t="n"/>
      <c r="I340" s="1" t="n"/>
      <c r="J340" s="1" t="n"/>
      <c r="K340" s="1" t="n"/>
      <c r="L340" s="1" t="n"/>
      <c r="M340" s="1" t="n"/>
    </row>
    <row r="341" ht="15.75" customHeight="1" s="311">
      <c r="A341" s="1" t="n"/>
      <c r="B341" s="1" t="n"/>
      <c r="C341" s="1" t="n"/>
      <c r="D341" s="1" t="n"/>
      <c r="E341" s="1" t="n"/>
      <c r="F341" s="1" t="n"/>
      <c r="G341" s="1" t="n"/>
      <c r="H341" s="1" t="n"/>
      <c r="I341" s="1" t="n"/>
      <c r="J341" s="1" t="n"/>
      <c r="K341" s="1" t="n"/>
      <c r="L341" s="1" t="n"/>
      <c r="M341" s="1" t="n"/>
    </row>
    <row r="342" ht="15.75" customHeight="1" s="311">
      <c r="A342" s="1" t="n"/>
      <c r="B342" s="1" t="n"/>
      <c r="C342" s="1" t="n"/>
      <c r="D342" s="1" t="n"/>
      <c r="E342" s="1" t="n"/>
      <c r="F342" s="1" t="n"/>
      <c r="G342" s="1" t="n"/>
      <c r="H342" s="1" t="n"/>
      <c r="I342" s="1" t="n"/>
      <c r="J342" s="1" t="n"/>
      <c r="K342" s="1" t="n"/>
      <c r="L342" s="1" t="n"/>
      <c r="M342" s="1" t="n"/>
    </row>
    <row r="343" ht="15.75" customHeight="1" s="311">
      <c r="A343" s="1" t="n"/>
      <c r="B343" s="1" t="n"/>
      <c r="C343" s="1" t="n"/>
      <c r="D343" s="1" t="n"/>
      <c r="E343" s="1" t="n"/>
      <c r="F343" s="1" t="n"/>
      <c r="G343" s="1" t="n"/>
      <c r="H343" s="1" t="n"/>
      <c r="I343" s="1" t="n"/>
      <c r="J343" s="1" t="n"/>
      <c r="K343" s="1" t="n"/>
      <c r="L343" s="1" t="n"/>
      <c r="M343" s="1" t="n"/>
    </row>
    <row r="344" ht="15.75" customHeight="1" s="311">
      <c r="A344" s="1" t="n"/>
      <c r="B344" s="1" t="n"/>
      <c r="C344" s="1" t="n"/>
      <c r="D344" s="1" t="n"/>
      <c r="E344" s="1" t="n"/>
      <c r="F344" s="1" t="n"/>
      <c r="G344" s="1" t="n"/>
      <c r="H344" s="1" t="n"/>
      <c r="I344" s="1" t="n"/>
      <c r="J344" s="1" t="n"/>
      <c r="K344" s="1" t="n"/>
      <c r="L344" s="1" t="n"/>
      <c r="M344" s="1" t="n"/>
    </row>
    <row r="345" ht="15.75" customHeight="1" s="311">
      <c r="A345" s="1" t="n"/>
      <c r="B345" s="1" t="n"/>
      <c r="C345" s="1" t="n"/>
      <c r="D345" s="1" t="n"/>
      <c r="E345" s="1" t="n"/>
      <c r="F345" s="1" t="n"/>
      <c r="G345" s="1" t="n"/>
      <c r="H345" s="1" t="n"/>
      <c r="I345" s="1" t="n"/>
      <c r="J345" s="1" t="n"/>
      <c r="K345" s="1" t="n"/>
      <c r="L345" s="1" t="n"/>
      <c r="M345" s="1" t="n"/>
    </row>
    <row r="346" ht="15.75" customHeight="1" s="311">
      <c r="A346" s="1" t="n"/>
      <c r="B346" s="1" t="n"/>
      <c r="C346" s="1" t="n"/>
      <c r="D346" s="1" t="n"/>
      <c r="E346" s="1" t="n"/>
      <c r="F346" s="1" t="n"/>
      <c r="G346" s="1" t="n"/>
      <c r="H346" s="1" t="n"/>
      <c r="I346" s="1" t="n"/>
      <c r="J346" s="1" t="n"/>
      <c r="K346" s="1" t="n"/>
      <c r="L346" s="1" t="n"/>
      <c r="M346" s="1" t="n"/>
    </row>
    <row r="347" ht="15.75" customHeight="1" s="311">
      <c r="A347" s="1" t="n"/>
      <c r="B347" s="1" t="n"/>
      <c r="C347" s="1" t="n"/>
      <c r="D347" s="1" t="n"/>
      <c r="E347" s="1" t="n"/>
      <c r="F347" s="1" t="n"/>
      <c r="G347" s="1" t="n"/>
      <c r="H347" s="1" t="n"/>
      <c r="I347" s="1" t="n"/>
      <c r="J347" s="1" t="n"/>
      <c r="K347" s="1" t="n"/>
      <c r="L347" s="1" t="n"/>
      <c r="M347" s="1" t="n"/>
    </row>
    <row r="348" ht="15.75" customHeight="1" s="311">
      <c r="A348" s="1" t="n"/>
      <c r="B348" s="1" t="n"/>
      <c r="C348" s="1" t="n"/>
      <c r="D348" s="1" t="n"/>
      <c r="E348" s="1" t="n"/>
      <c r="F348" s="1" t="n"/>
      <c r="G348" s="1" t="n"/>
      <c r="H348" s="1" t="n"/>
      <c r="I348" s="1" t="n"/>
      <c r="J348" s="1" t="n"/>
      <c r="K348" s="1" t="n"/>
      <c r="L348" s="1" t="n"/>
      <c r="M348" s="1" t="n"/>
    </row>
    <row r="349" ht="15.75" customHeight="1" s="311">
      <c r="A349" s="1" t="n"/>
      <c r="B349" s="1" t="n"/>
      <c r="C349" s="1" t="n"/>
      <c r="D349" s="1" t="n"/>
      <c r="E349" s="1" t="n"/>
      <c r="F349" s="1" t="n"/>
      <c r="G349" s="1" t="n"/>
      <c r="H349" s="1" t="n"/>
      <c r="I349" s="1" t="n"/>
      <c r="J349" s="1" t="n"/>
      <c r="K349" s="1" t="n"/>
      <c r="L349" s="1" t="n"/>
      <c r="M349" s="1" t="n"/>
    </row>
    <row r="350" ht="15.75" customHeight="1" s="311">
      <c r="A350" s="1" t="n"/>
      <c r="B350" s="1" t="n"/>
      <c r="C350" s="1" t="n"/>
      <c r="D350" s="1" t="n"/>
      <c r="E350" s="1" t="n"/>
      <c r="F350" s="1" t="n"/>
      <c r="G350" s="1" t="n"/>
      <c r="H350" s="1" t="n"/>
      <c r="I350" s="1" t="n"/>
      <c r="J350" s="1" t="n"/>
      <c r="K350" s="1" t="n"/>
      <c r="L350" s="1" t="n"/>
      <c r="M350" s="1" t="n"/>
    </row>
    <row r="351" ht="15.75" customHeight="1" s="311">
      <c r="A351" s="1" t="n"/>
      <c r="B351" s="1" t="n"/>
      <c r="C351" s="1" t="n"/>
      <c r="D351" s="1" t="n"/>
      <c r="E351" s="1" t="n"/>
      <c r="F351" s="1" t="n"/>
      <c r="G351" s="1" t="n"/>
      <c r="H351" s="1" t="n"/>
      <c r="I351" s="1" t="n"/>
      <c r="J351" s="1" t="n"/>
      <c r="K351" s="1" t="n"/>
      <c r="L351" s="1" t="n"/>
      <c r="M351" s="1" t="n"/>
    </row>
    <row r="352" ht="15.75" customHeight="1" s="311">
      <c r="A352" s="1" t="n"/>
      <c r="B352" s="1" t="n"/>
      <c r="C352" s="1" t="n"/>
      <c r="D352" s="1" t="n"/>
      <c r="E352" s="1" t="n"/>
      <c r="F352" s="1" t="n"/>
      <c r="G352" s="1" t="n"/>
      <c r="H352" s="1" t="n"/>
      <c r="I352" s="1" t="n"/>
      <c r="J352" s="1" t="n"/>
      <c r="K352" s="1" t="n"/>
      <c r="L352" s="1" t="n"/>
      <c r="M352" s="1" t="n"/>
    </row>
    <row r="353" ht="15.75" customHeight="1" s="311">
      <c r="A353" s="1" t="n"/>
      <c r="B353" s="1" t="n"/>
      <c r="C353" s="1" t="n"/>
      <c r="D353" s="1" t="n"/>
      <c r="E353" s="1" t="n"/>
      <c r="F353" s="1" t="n"/>
      <c r="G353" s="1" t="n"/>
      <c r="H353" s="1" t="n"/>
      <c r="I353" s="1" t="n"/>
      <c r="J353" s="1" t="n"/>
      <c r="K353" s="1" t="n"/>
      <c r="L353" s="1" t="n"/>
      <c r="M353" s="1" t="n"/>
    </row>
    <row r="354" ht="15.75" customHeight="1" s="311">
      <c r="A354" s="1" t="n"/>
      <c r="B354" s="1" t="n"/>
      <c r="C354" s="1" t="n"/>
      <c r="D354" s="1" t="n"/>
      <c r="E354" s="1" t="n"/>
      <c r="F354" s="1" t="n"/>
      <c r="G354" s="1" t="n"/>
      <c r="H354" s="1" t="n"/>
      <c r="I354" s="1" t="n"/>
      <c r="J354" s="1" t="n"/>
      <c r="K354" s="1" t="n"/>
      <c r="L354" s="1" t="n"/>
      <c r="M354" s="1" t="n"/>
    </row>
    <row r="355" ht="15.75" customHeight="1" s="311">
      <c r="A355" s="1" t="n"/>
      <c r="B355" s="1" t="n"/>
      <c r="C355" s="1" t="n"/>
      <c r="D355" s="1" t="n"/>
      <c r="E355" s="1" t="n"/>
      <c r="F355" s="1" t="n"/>
      <c r="G355" s="1" t="n"/>
      <c r="H355" s="1" t="n"/>
      <c r="I355" s="1" t="n"/>
      <c r="J355" s="1" t="n"/>
      <c r="K355" s="1" t="n"/>
      <c r="L355" s="1" t="n"/>
      <c r="M355" s="1" t="n"/>
    </row>
    <row r="356" ht="15.75" customHeight="1" s="311">
      <c r="A356" s="1" t="n"/>
      <c r="B356" s="1" t="n"/>
      <c r="C356" s="1" t="n"/>
      <c r="D356" s="1" t="n"/>
      <c r="E356" s="1" t="n"/>
      <c r="F356" s="1" t="n"/>
      <c r="G356" s="1" t="n"/>
      <c r="H356" s="1" t="n"/>
      <c r="I356" s="1" t="n"/>
      <c r="J356" s="1" t="n"/>
      <c r="K356" s="1" t="n"/>
      <c r="L356" s="1" t="n"/>
      <c r="M356" s="1" t="n"/>
    </row>
    <row r="357" ht="15.75" customHeight="1" s="311">
      <c r="A357" s="1" t="n"/>
      <c r="B357" s="1" t="n"/>
      <c r="C357" s="1" t="n"/>
      <c r="D357" s="1" t="n"/>
      <c r="E357" s="1" t="n"/>
      <c r="F357" s="1" t="n"/>
      <c r="G357" s="1" t="n"/>
      <c r="H357" s="1" t="n"/>
      <c r="I357" s="1" t="n"/>
      <c r="J357" s="1" t="n"/>
      <c r="K357" s="1" t="n"/>
      <c r="L357" s="1" t="n"/>
      <c r="M357" s="1" t="n"/>
    </row>
    <row r="358" ht="15.75" customHeight="1" s="311">
      <c r="A358" s="1" t="n"/>
      <c r="B358" s="1" t="n"/>
      <c r="C358" s="1" t="n"/>
      <c r="D358" s="1" t="n"/>
      <c r="E358" s="1" t="n"/>
      <c r="F358" s="1" t="n"/>
      <c r="G358" s="1" t="n"/>
      <c r="H358" s="1" t="n"/>
      <c r="I358" s="1" t="n"/>
      <c r="J358" s="1" t="n"/>
      <c r="K358" s="1" t="n"/>
      <c r="L358" s="1" t="n"/>
      <c r="M358" s="1" t="n"/>
    </row>
    <row r="359" ht="15.75" customHeight="1" s="311">
      <c r="A359" s="1" t="n"/>
      <c r="B359" s="1" t="n"/>
      <c r="C359" s="1" t="n"/>
      <c r="D359" s="1" t="n"/>
      <c r="E359" s="1" t="n"/>
      <c r="F359" s="1" t="n"/>
      <c r="G359" s="1" t="n"/>
      <c r="H359" s="1" t="n"/>
      <c r="I359" s="1" t="n"/>
      <c r="J359" s="1" t="n"/>
      <c r="K359" s="1" t="n"/>
      <c r="L359" s="1" t="n"/>
      <c r="M359" s="1" t="n"/>
    </row>
    <row r="360" ht="15.75" customHeight="1" s="311">
      <c r="A360" s="1" t="n"/>
      <c r="B360" s="1" t="n"/>
      <c r="C360" s="1" t="n"/>
      <c r="D360" s="1" t="n"/>
      <c r="E360" s="1" t="n"/>
      <c r="F360" s="1" t="n"/>
      <c r="G360" s="1" t="n"/>
      <c r="H360" s="1" t="n"/>
      <c r="I360" s="1" t="n"/>
      <c r="J360" s="1" t="n"/>
      <c r="K360" s="1" t="n"/>
      <c r="L360" s="1" t="n"/>
      <c r="M360" s="1" t="n"/>
    </row>
    <row r="361" ht="15.75" customHeight="1" s="311">
      <c r="A361" s="1" t="n"/>
      <c r="B361" s="1" t="n"/>
      <c r="C361" s="1" t="n"/>
      <c r="D361" s="1" t="n"/>
      <c r="E361" s="1" t="n"/>
      <c r="F361" s="1" t="n"/>
      <c r="G361" s="1" t="n"/>
      <c r="H361" s="1" t="n"/>
      <c r="I361" s="1" t="n"/>
      <c r="J361" s="1" t="n"/>
      <c r="K361" s="1" t="n"/>
      <c r="L361" s="1" t="n"/>
      <c r="M361" s="1" t="n"/>
    </row>
    <row r="362" ht="15.75" customHeight="1" s="311">
      <c r="A362" s="1" t="n"/>
      <c r="B362" s="1" t="n"/>
      <c r="C362" s="1" t="n"/>
      <c r="D362" s="1" t="n"/>
      <c r="E362" s="1" t="n"/>
      <c r="F362" s="1" t="n"/>
      <c r="G362" s="1" t="n"/>
      <c r="H362" s="1" t="n"/>
      <c r="I362" s="1" t="n"/>
      <c r="J362" s="1" t="n"/>
      <c r="K362" s="1" t="n"/>
      <c r="L362" s="1" t="n"/>
      <c r="M362" s="1" t="n"/>
    </row>
    <row r="363" ht="15.75" customHeight="1" s="311">
      <c r="A363" s="1" t="n"/>
      <c r="B363" s="1" t="n"/>
      <c r="C363" s="1" t="n"/>
      <c r="D363" s="1" t="n"/>
      <c r="E363" s="1" t="n"/>
      <c r="F363" s="1" t="n"/>
      <c r="G363" s="1" t="n"/>
      <c r="H363" s="1" t="n"/>
      <c r="I363" s="1" t="n"/>
      <c r="J363" s="1" t="n"/>
      <c r="K363" s="1" t="n"/>
      <c r="L363" s="1" t="n"/>
      <c r="M363" s="1" t="n"/>
    </row>
    <row r="364" ht="15.75" customHeight="1" s="311">
      <c r="A364" s="1" t="n"/>
      <c r="B364" s="1" t="n"/>
      <c r="C364" s="1" t="n"/>
      <c r="D364" s="1" t="n"/>
      <c r="E364" s="1" t="n"/>
      <c r="F364" s="1" t="n"/>
      <c r="G364" s="1" t="n"/>
      <c r="H364" s="1" t="n"/>
      <c r="I364" s="1" t="n"/>
      <c r="J364" s="1" t="n"/>
      <c r="K364" s="1" t="n"/>
      <c r="L364" s="1" t="n"/>
      <c r="M364" s="1" t="n"/>
    </row>
    <row r="365" ht="15.75" customHeight="1" s="311">
      <c r="A365" s="1" t="n"/>
      <c r="B365" s="1" t="n"/>
      <c r="C365" s="1" t="n"/>
      <c r="D365" s="1" t="n"/>
      <c r="E365" s="1" t="n"/>
      <c r="F365" s="1" t="n"/>
      <c r="G365" s="1" t="n"/>
      <c r="H365" s="1" t="n"/>
      <c r="I365" s="1" t="n"/>
      <c r="J365" s="1" t="n"/>
      <c r="K365" s="1" t="n"/>
      <c r="L365" s="1" t="n"/>
      <c r="M365" s="1" t="n"/>
    </row>
    <row r="366" ht="15.75" customHeight="1" s="311">
      <c r="A366" s="1" t="n"/>
      <c r="B366" s="1" t="n"/>
      <c r="C366" s="1" t="n"/>
      <c r="D366" s="1" t="n"/>
      <c r="E366" s="1" t="n"/>
      <c r="F366" s="1" t="n"/>
      <c r="G366" s="1" t="n"/>
      <c r="H366" s="1" t="n"/>
      <c r="I366" s="1" t="n"/>
      <c r="J366" s="1" t="n"/>
      <c r="K366" s="1" t="n"/>
      <c r="L366" s="1" t="n"/>
      <c r="M366" s="1" t="n"/>
    </row>
    <row r="367" ht="15.75" customHeight="1" s="311">
      <c r="A367" s="1" t="n"/>
      <c r="B367" s="1" t="n"/>
      <c r="C367" s="1" t="n"/>
      <c r="D367" s="1" t="n"/>
      <c r="E367" s="1" t="n"/>
      <c r="F367" s="1" t="n"/>
      <c r="G367" s="1" t="n"/>
      <c r="H367" s="1" t="n"/>
      <c r="I367" s="1" t="n"/>
      <c r="J367" s="1" t="n"/>
      <c r="K367" s="1" t="n"/>
      <c r="L367" s="1" t="n"/>
      <c r="M367" s="1" t="n"/>
    </row>
    <row r="368" ht="15.75" customHeight="1" s="311">
      <c r="A368" s="1" t="n"/>
      <c r="B368" s="1" t="n"/>
      <c r="C368" s="1" t="n"/>
      <c r="D368" s="1" t="n"/>
      <c r="E368" s="1" t="n"/>
      <c r="F368" s="1" t="n"/>
      <c r="G368" s="1" t="n"/>
      <c r="H368" s="1" t="n"/>
      <c r="I368" s="1" t="n"/>
      <c r="J368" s="1" t="n"/>
      <c r="K368" s="1" t="n"/>
      <c r="L368" s="1" t="n"/>
      <c r="M368" s="1" t="n"/>
    </row>
    <row r="369" ht="15.75" customHeight="1" s="311">
      <c r="A369" s="1" t="n"/>
      <c r="B369" s="1" t="n"/>
      <c r="C369" s="1" t="n"/>
      <c r="D369" s="1" t="n"/>
      <c r="E369" s="1" t="n"/>
      <c r="F369" s="1" t="n"/>
      <c r="G369" s="1" t="n"/>
      <c r="H369" s="1" t="n"/>
      <c r="I369" s="1" t="n"/>
      <c r="J369" s="1" t="n"/>
      <c r="K369" s="1" t="n"/>
      <c r="L369" s="1" t="n"/>
      <c r="M369" s="1" t="n"/>
    </row>
    <row r="370" ht="15.75" customHeight="1" s="311">
      <c r="A370" s="1" t="n"/>
      <c r="B370" s="1" t="n"/>
      <c r="C370" s="1" t="n"/>
      <c r="D370" s="1" t="n"/>
      <c r="E370" s="1" t="n"/>
      <c r="F370" s="1" t="n"/>
      <c r="G370" s="1" t="n"/>
      <c r="H370" s="1" t="n"/>
      <c r="I370" s="1" t="n"/>
      <c r="J370" s="1" t="n"/>
      <c r="K370" s="1" t="n"/>
      <c r="L370" s="1" t="n"/>
      <c r="M370" s="1" t="n"/>
    </row>
    <row r="371" ht="15.75" customHeight="1" s="311">
      <c r="A371" s="1" t="n"/>
      <c r="B371" s="1" t="n"/>
      <c r="C371" s="1" t="n"/>
      <c r="D371" s="1" t="n"/>
      <c r="E371" s="1" t="n"/>
      <c r="F371" s="1" t="n"/>
      <c r="G371" s="1" t="n"/>
      <c r="H371" s="1" t="n"/>
      <c r="I371" s="1" t="n"/>
      <c r="J371" s="1" t="n"/>
      <c r="K371" s="1" t="n"/>
      <c r="L371" s="1" t="n"/>
      <c r="M371" s="1" t="n"/>
    </row>
    <row r="372" ht="15.75" customHeight="1" s="311">
      <c r="A372" s="1" t="n"/>
      <c r="B372" s="1" t="n"/>
      <c r="C372" s="1" t="n"/>
      <c r="D372" s="1" t="n"/>
      <c r="E372" s="1" t="n"/>
      <c r="F372" s="1" t="n"/>
      <c r="G372" s="1" t="n"/>
      <c r="H372" s="1" t="n"/>
      <c r="I372" s="1" t="n"/>
      <c r="J372" s="1" t="n"/>
      <c r="K372" s="1" t="n"/>
      <c r="L372" s="1" t="n"/>
      <c r="M372" s="1" t="n"/>
    </row>
    <row r="373" ht="15.75" customHeight="1" s="311">
      <c r="A373" s="1" t="n"/>
      <c r="B373" s="1" t="n"/>
      <c r="C373" s="1" t="n"/>
      <c r="D373" s="1" t="n"/>
      <c r="E373" s="1" t="n"/>
      <c r="F373" s="1" t="n"/>
      <c r="G373" s="1" t="n"/>
      <c r="H373" s="1" t="n"/>
      <c r="I373" s="1" t="n"/>
      <c r="J373" s="1" t="n"/>
      <c r="K373" s="1" t="n"/>
      <c r="L373" s="1" t="n"/>
      <c r="M373" s="1" t="n"/>
    </row>
    <row r="374" ht="15.75" customHeight="1" s="311">
      <c r="A374" s="1" t="n"/>
      <c r="B374" s="1" t="n"/>
      <c r="C374" s="1" t="n"/>
      <c r="D374" s="1" t="n"/>
      <c r="E374" s="1" t="n"/>
      <c r="F374" s="1" t="n"/>
      <c r="G374" s="1" t="n"/>
      <c r="H374" s="1" t="n"/>
      <c r="I374" s="1" t="n"/>
      <c r="J374" s="1" t="n"/>
      <c r="K374" s="1" t="n"/>
      <c r="L374" s="1" t="n"/>
      <c r="M374" s="1" t="n"/>
    </row>
    <row r="375" ht="15.75" customHeight="1" s="311">
      <c r="A375" s="1" t="n"/>
      <c r="B375" s="1" t="n"/>
      <c r="C375" s="1" t="n"/>
      <c r="D375" s="1" t="n"/>
      <c r="E375" s="1" t="n"/>
      <c r="F375" s="1" t="n"/>
      <c r="G375" s="1" t="n"/>
      <c r="H375" s="1" t="n"/>
      <c r="I375" s="1" t="n"/>
      <c r="J375" s="1" t="n"/>
      <c r="K375" s="1" t="n"/>
      <c r="L375" s="1" t="n"/>
      <c r="M375" s="1" t="n"/>
    </row>
    <row r="376" ht="15.75" customHeight="1" s="311">
      <c r="A376" s="1" t="n"/>
      <c r="B376" s="1" t="n"/>
      <c r="C376" s="1" t="n"/>
      <c r="D376" s="1" t="n"/>
      <c r="E376" s="1" t="n"/>
      <c r="F376" s="1" t="n"/>
      <c r="G376" s="1" t="n"/>
      <c r="H376" s="1" t="n"/>
      <c r="I376" s="1" t="n"/>
      <c r="J376" s="1" t="n"/>
      <c r="K376" s="1" t="n"/>
      <c r="L376" s="1" t="n"/>
      <c r="M376" s="1" t="n"/>
    </row>
    <row r="377" ht="15.75" customHeight="1" s="311">
      <c r="A377" s="1" t="n"/>
      <c r="B377" s="1" t="n"/>
      <c r="C377" s="1" t="n"/>
      <c r="D377" s="1" t="n"/>
      <c r="E377" s="1" t="n"/>
      <c r="F377" s="1" t="n"/>
      <c r="G377" s="1" t="n"/>
      <c r="H377" s="1" t="n"/>
      <c r="I377" s="1" t="n"/>
      <c r="J377" s="1" t="n"/>
      <c r="K377" s="1" t="n"/>
      <c r="L377" s="1" t="n"/>
      <c r="M377" s="1" t="n"/>
    </row>
    <row r="378" ht="15.75" customHeight="1" s="311">
      <c r="A378" s="1" t="n"/>
      <c r="B378" s="1" t="n"/>
      <c r="C378" s="1" t="n"/>
      <c r="D378" s="1" t="n"/>
      <c r="E378" s="1" t="n"/>
      <c r="F378" s="1" t="n"/>
      <c r="G378" s="1" t="n"/>
      <c r="H378" s="1" t="n"/>
      <c r="I378" s="1" t="n"/>
      <c r="J378" s="1" t="n"/>
      <c r="K378" s="1" t="n"/>
      <c r="L378" s="1" t="n"/>
      <c r="M378" s="1" t="n"/>
    </row>
    <row r="379" ht="15.75" customHeight="1" s="311">
      <c r="A379" s="1" t="n"/>
      <c r="B379" s="1" t="n"/>
      <c r="C379" s="1" t="n"/>
      <c r="D379" s="1" t="n"/>
      <c r="E379" s="1" t="n"/>
      <c r="F379" s="1" t="n"/>
      <c r="G379" s="1" t="n"/>
      <c r="H379" s="1" t="n"/>
      <c r="I379" s="1" t="n"/>
      <c r="J379" s="1" t="n"/>
      <c r="K379" s="1" t="n"/>
      <c r="L379" s="1" t="n"/>
      <c r="M379" s="1" t="n"/>
    </row>
    <row r="380" ht="15.75" customHeight="1" s="311">
      <c r="A380" s="1" t="n"/>
      <c r="B380" s="1" t="n"/>
      <c r="C380" s="1" t="n"/>
      <c r="D380" s="1" t="n"/>
      <c r="E380" s="1" t="n"/>
      <c r="F380" s="1" t="n"/>
      <c r="G380" s="1" t="n"/>
      <c r="H380" s="1" t="n"/>
      <c r="I380" s="1" t="n"/>
      <c r="J380" s="1" t="n"/>
      <c r="K380" s="1" t="n"/>
      <c r="L380" s="1" t="n"/>
      <c r="M380" s="1" t="n"/>
    </row>
    <row r="381" ht="15.75" customHeight="1" s="311">
      <c r="A381" s="1" t="n"/>
      <c r="B381" s="1" t="n"/>
      <c r="C381" s="1" t="n"/>
      <c r="D381" s="1" t="n"/>
      <c r="E381" s="1" t="n"/>
      <c r="F381" s="1" t="n"/>
      <c r="G381" s="1" t="n"/>
      <c r="H381" s="1" t="n"/>
      <c r="I381" s="1" t="n"/>
      <c r="J381" s="1" t="n"/>
      <c r="K381" s="1" t="n"/>
      <c r="L381" s="1" t="n"/>
      <c r="M381" s="1" t="n"/>
    </row>
    <row r="382" ht="15.75" customHeight="1" s="311">
      <c r="A382" s="1" t="n"/>
      <c r="B382" s="1" t="n"/>
      <c r="C382" s="1" t="n"/>
      <c r="D382" s="1" t="n"/>
      <c r="E382" s="1" t="n"/>
      <c r="F382" s="1" t="n"/>
      <c r="G382" s="1" t="n"/>
      <c r="H382" s="1" t="n"/>
      <c r="I382" s="1" t="n"/>
      <c r="J382" s="1" t="n"/>
      <c r="K382" s="1" t="n"/>
      <c r="L382" s="1" t="n"/>
      <c r="M382" s="1" t="n"/>
    </row>
    <row r="383" ht="15.75" customHeight="1" s="311">
      <c r="A383" s="1" t="n"/>
      <c r="B383" s="1" t="n"/>
      <c r="C383" s="1" t="n"/>
      <c r="D383" s="1" t="n"/>
      <c r="E383" s="1" t="n"/>
      <c r="F383" s="1" t="n"/>
      <c r="G383" s="1" t="n"/>
      <c r="H383" s="1" t="n"/>
      <c r="I383" s="1" t="n"/>
      <c r="J383" s="1" t="n"/>
      <c r="K383" s="1" t="n"/>
      <c r="L383" s="1" t="n"/>
      <c r="M383" s="1" t="n"/>
    </row>
    <row r="384" ht="15.75" customHeight="1" s="311">
      <c r="A384" s="1" t="n"/>
      <c r="B384" s="1" t="n"/>
      <c r="C384" s="1" t="n"/>
      <c r="D384" s="1" t="n"/>
      <c r="E384" s="1" t="n"/>
      <c r="F384" s="1" t="n"/>
      <c r="G384" s="1" t="n"/>
      <c r="H384" s="1" t="n"/>
      <c r="I384" s="1" t="n"/>
      <c r="J384" s="1" t="n"/>
      <c r="K384" s="1" t="n"/>
      <c r="L384" s="1" t="n"/>
      <c r="M384" s="1" t="n"/>
    </row>
    <row r="385" ht="15.75" customHeight="1" s="311">
      <c r="A385" s="1" t="n"/>
      <c r="B385" s="1" t="n"/>
      <c r="C385" s="1" t="n"/>
      <c r="D385" s="1" t="n"/>
      <c r="E385" s="1" t="n"/>
      <c r="F385" s="1" t="n"/>
      <c r="G385" s="1" t="n"/>
      <c r="H385" s="1" t="n"/>
      <c r="I385" s="1" t="n"/>
      <c r="J385" s="1" t="n"/>
      <c r="K385" s="1" t="n"/>
      <c r="L385" s="1" t="n"/>
      <c r="M385" s="1" t="n"/>
    </row>
    <row r="386" ht="15.75" customHeight="1" s="311">
      <c r="A386" s="1" t="n"/>
      <c r="B386" s="1" t="n"/>
      <c r="C386" s="1" t="n"/>
      <c r="D386" s="1" t="n"/>
      <c r="E386" s="1" t="n"/>
      <c r="F386" s="1" t="n"/>
      <c r="G386" s="1" t="n"/>
      <c r="H386" s="1" t="n"/>
      <c r="I386" s="1" t="n"/>
      <c r="J386" s="1" t="n"/>
      <c r="K386" s="1" t="n"/>
      <c r="L386" s="1" t="n"/>
      <c r="M386" s="1" t="n"/>
    </row>
    <row r="387" ht="15.75" customHeight="1" s="311">
      <c r="A387" s="1" t="n"/>
      <c r="B387" s="1" t="n"/>
      <c r="C387" s="1" t="n"/>
      <c r="D387" s="1" t="n"/>
      <c r="E387" s="1" t="n"/>
      <c r="F387" s="1" t="n"/>
      <c r="G387" s="1" t="n"/>
      <c r="H387" s="1" t="n"/>
      <c r="I387" s="1" t="n"/>
      <c r="J387" s="1" t="n"/>
      <c r="K387" s="1" t="n"/>
      <c r="L387" s="1" t="n"/>
      <c r="M387" s="1" t="n"/>
    </row>
    <row r="388" ht="15.75" customHeight="1" s="311">
      <c r="A388" s="1" t="n"/>
      <c r="B388" s="1" t="n"/>
      <c r="C388" s="1" t="n"/>
      <c r="D388" s="1" t="n"/>
      <c r="E388" s="1" t="n"/>
      <c r="F388" s="1" t="n"/>
      <c r="G388" s="1" t="n"/>
      <c r="H388" s="1" t="n"/>
      <c r="I388" s="1" t="n"/>
      <c r="J388" s="1" t="n"/>
      <c r="K388" s="1" t="n"/>
      <c r="L388" s="1" t="n"/>
      <c r="M388" s="1" t="n"/>
    </row>
    <row r="389" ht="15.75" customHeight="1" s="311">
      <c r="A389" s="1" t="n"/>
      <c r="B389" s="1" t="n"/>
      <c r="C389" s="1" t="n"/>
      <c r="D389" s="1" t="n"/>
      <c r="E389" s="1" t="n"/>
      <c r="F389" s="1" t="n"/>
      <c r="G389" s="1" t="n"/>
      <c r="H389" s="1" t="n"/>
      <c r="I389" s="1" t="n"/>
      <c r="J389" s="1" t="n"/>
      <c r="K389" s="1" t="n"/>
      <c r="L389" s="1" t="n"/>
      <c r="M389" s="1" t="n"/>
    </row>
    <row r="390" ht="15.75" customHeight="1" s="311">
      <c r="A390" s="1" t="n"/>
      <c r="B390" s="1" t="n"/>
      <c r="C390" s="1" t="n"/>
      <c r="D390" s="1" t="n"/>
      <c r="E390" s="1" t="n"/>
      <c r="F390" s="1" t="n"/>
      <c r="G390" s="1" t="n"/>
      <c r="H390" s="1" t="n"/>
      <c r="I390" s="1" t="n"/>
      <c r="J390" s="1" t="n"/>
      <c r="K390" s="1" t="n"/>
      <c r="L390" s="1" t="n"/>
      <c r="M390" s="1" t="n"/>
    </row>
    <row r="391" ht="15.75" customHeight="1" s="311">
      <c r="A391" s="1" t="n"/>
      <c r="B391" s="1" t="n"/>
      <c r="C391" s="1" t="n"/>
      <c r="D391" s="1" t="n"/>
      <c r="E391" s="1" t="n"/>
      <c r="F391" s="1" t="n"/>
      <c r="G391" s="1" t="n"/>
      <c r="H391" s="1" t="n"/>
      <c r="I391" s="1" t="n"/>
      <c r="J391" s="1" t="n"/>
      <c r="K391" s="1" t="n"/>
      <c r="L391" s="1" t="n"/>
      <c r="M391" s="1" t="n"/>
    </row>
    <row r="392" ht="15.75" customHeight="1" s="311">
      <c r="A392" s="1" t="n"/>
      <c r="B392" s="1" t="n"/>
      <c r="C392" s="1" t="n"/>
      <c r="D392" s="1" t="n"/>
      <c r="E392" s="1" t="n"/>
      <c r="F392" s="1" t="n"/>
      <c r="G392" s="1" t="n"/>
      <c r="H392" s="1" t="n"/>
      <c r="I392" s="1" t="n"/>
      <c r="J392" s="1" t="n"/>
      <c r="K392" s="1" t="n"/>
      <c r="L392" s="1" t="n"/>
      <c r="M392" s="1" t="n"/>
    </row>
    <row r="393" ht="15.75" customHeight="1" s="311">
      <c r="A393" s="1" t="n"/>
      <c r="B393" s="1" t="n"/>
      <c r="C393" s="1" t="n"/>
      <c r="D393" s="1" t="n"/>
      <c r="E393" s="1" t="n"/>
      <c r="F393" s="1" t="n"/>
      <c r="G393" s="1" t="n"/>
      <c r="H393" s="1" t="n"/>
      <c r="I393" s="1" t="n"/>
      <c r="J393" s="1" t="n"/>
      <c r="K393" s="1" t="n"/>
      <c r="L393" s="1" t="n"/>
      <c r="M393" s="1" t="n"/>
    </row>
    <row r="394" ht="15.75" customHeight="1" s="311">
      <c r="A394" s="1" t="n"/>
      <c r="B394" s="1" t="n"/>
      <c r="C394" s="1" t="n"/>
      <c r="D394" s="1" t="n"/>
      <c r="E394" s="1" t="n"/>
      <c r="F394" s="1" t="n"/>
      <c r="G394" s="1" t="n"/>
      <c r="H394" s="1" t="n"/>
      <c r="I394" s="1" t="n"/>
      <c r="J394" s="1" t="n"/>
      <c r="K394" s="1" t="n"/>
      <c r="L394" s="1" t="n"/>
      <c r="M394" s="1" t="n"/>
    </row>
    <row r="395" ht="15.75" customHeight="1" s="311">
      <c r="A395" s="1" t="n"/>
      <c r="B395" s="1" t="n"/>
      <c r="C395" s="1" t="n"/>
      <c r="D395" s="1" t="n"/>
      <c r="E395" s="1" t="n"/>
      <c r="F395" s="1" t="n"/>
      <c r="G395" s="1" t="n"/>
      <c r="H395" s="1" t="n"/>
      <c r="I395" s="1" t="n"/>
      <c r="J395" s="1" t="n"/>
      <c r="K395" s="1" t="n"/>
      <c r="L395" s="1" t="n"/>
      <c r="M395" s="1" t="n"/>
    </row>
    <row r="396" ht="15.75" customHeight="1" s="311">
      <c r="A396" s="1" t="n"/>
      <c r="B396" s="1" t="n"/>
      <c r="C396" s="1" t="n"/>
      <c r="D396" s="1" t="n"/>
      <c r="E396" s="1" t="n"/>
      <c r="F396" s="1" t="n"/>
      <c r="G396" s="1" t="n"/>
      <c r="H396" s="1" t="n"/>
      <c r="I396" s="1" t="n"/>
      <c r="J396" s="1" t="n"/>
      <c r="K396" s="1" t="n"/>
      <c r="L396" s="1" t="n"/>
      <c r="M396" s="1" t="n"/>
    </row>
    <row r="397" ht="15.75" customHeight="1" s="311">
      <c r="A397" s="1" t="n"/>
      <c r="B397" s="1" t="n"/>
      <c r="C397" s="1" t="n"/>
      <c r="D397" s="1" t="n"/>
      <c r="E397" s="1" t="n"/>
      <c r="F397" s="1" t="n"/>
      <c r="G397" s="1" t="n"/>
      <c r="H397" s="1" t="n"/>
      <c r="I397" s="1" t="n"/>
      <c r="J397" s="1" t="n"/>
      <c r="K397" s="1" t="n"/>
      <c r="L397" s="1" t="n"/>
      <c r="M397" s="1" t="n"/>
    </row>
    <row r="398" ht="15.75" customHeight="1" s="311">
      <c r="A398" s="1" t="n"/>
      <c r="B398" s="1" t="n"/>
      <c r="C398" s="1" t="n"/>
      <c r="D398" s="1" t="n"/>
      <c r="E398" s="1" t="n"/>
      <c r="F398" s="1" t="n"/>
      <c r="G398" s="1" t="n"/>
      <c r="H398" s="1" t="n"/>
      <c r="I398" s="1" t="n"/>
      <c r="J398" s="1" t="n"/>
      <c r="K398" s="1" t="n"/>
      <c r="L398" s="1" t="n"/>
      <c r="M398" s="1" t="n"/>
    </row>
    <row r="399" ht="15.75" customHeight="1" s="311">
      <c r="A399" s="1" t="n"/>
      <c r="B399" s="1" t="n"/>
      <c r="C399" s="1" t="n"/>
      <c r="D399" s="1" t="n"/>
      <c r="E399" s="1" t="n"/>
      <c r="F399" s="1" t="n"/>
      <c r="G399" s="1" t="n"/>
      <c r="H399" s="1" t="n"/>
      <c r="I399" s="1" t="n"/>
      <c r="J399" s="1" t="n"/>
      <c r="K399" s="1" t="n"/>
      <c r="L399" s="1" t="n"/>
      <c r="M399" s="1" t="n"/>
    </row>
    <row r="400" ht="15.75" customHeight="1" s="311">
      <c r="A400" s="1" t="n"/>
      <c r="B400" s="1" t="n"/>
      <c r="C400" s="1" t="n"/>
      <c r="D400" s="1" t="n"/>
      <c r="E400" s="1" t="n"/>
      <c r="F400" s="1" t="n"/>
      <c r="G400" s="1" t="n"/>
      <c r="H400" s="1" t="n"/>
      <c r="I400" s="1" t="n"/>
      <c r="J400" s="1" t="n"/>
      <c r="K400" s="1" t="n"/>
      <c r="L400" s="1" t="n"/>
      <c r="M400" s="1" t="n"/>
    </row>
    <row r="401" ht="15.75" customHeight="1" s="311">
      <c r="A401" s="1" t="n"/>
      <c r="B401" s="1" t="n"/>
      <c r="C401" s="1" t="n"/>
      <c r="D401" s="1" t="n"/>
      <c r="E401" s="1" t="n"/>
      <c r="F401" s="1" t="n"/>
      <c r="G401" s="1" t="n"/>
      <c r="H401" s="1" t="n"/>
      <c r="I401" s="1" t="n"/>
      <c r="J401" s="1" t="n"/>
      <c r="K401" s="1" t="n"/>
      <c r="L401" s="1" t="n"/>
      <c r="M401" s="1" t="n"/>
    </row>
    <row r="402" ht="15.75" customHeight="1" s="311">
      <c r="A402" s="1" t="n"/>
      <c r="B402" s="1" t="n"/>
      <c r="C402" s="1" t="n"/>
      <c r="D402" s="1" t="n"/>
      <c r="E402" s="1" t="n"/>
      <c r="F402" s="1" t="n"/>
      <c r="G402" s="1" t="n"/>
      <c r="H402" s="1" t="n"/>
      <c r="I402" s="1" t="n"/>
      <c r="J402" s="1" t="n"/>
      <c r="K402" s="1" t="n"/>
      <c r="L402" s="1" t="n"/>
      <c r="M402" s="1" t="n"/>
    </row>
    <row r="403" ht="15.75" customHeight="1" s="311">
      <c r="A403" s="1" t="n"/>
      <c r="B403" s="1" t="n"/>
      <c r="C403" s="1" t="n"/>
      <c r="D403" s="1" t="n"/>
      <c r="E403" s="1" t="n"/>
      <c r="F403" s="1" t="n"/>
      <c r="G403" s="1" t="n"/>
      <c r="H403" s="1" t="n"/>
      <c r="I403" s="1" t="n"/>
      <c r="J403" s="1" t="n"/>
      <c r="K403" s="1" t="n"/>
      <c r="L403" s="1" t="n"/>
      <c r="M403" s="1" t="n"/>
    </row>
    <row r="404" ht="15.75" customHeight="1" s="311">
      <c r="A404" s="1" t="n"/>
      <c r="B404" s="1" t="n"/>
      <c r="C404" s="1" t="n"/>
      <c r="D404" s="1" t="n"/>
      <c r="E404" s="1" t="n"/>
      <c r="F404" s="1" t="n"/>
      <c r="G404" s="1" t="n"/>
      <c r="H404" s="1" t="n"/>
      <c r="I404" s="1" t="n"/>
      <c r="J404" s="1" t="n"/>
      <c r="K404" s="1" t="n"/>
      <c r="L404" s="1" t="n"/>
      <c r="M404" s="1" t="n"/>
    </row>
    <row r="405" ht="15.75" customHeight="1" s="311">
      <c r="A405" s="1" t="n"/>
      <c r="B405" s="1" t="n"/>
      <c r="C405" s="1" t="n"/>
      <c r="D405" s="1" t="n"/>
      <c r="E405" s="1" t="n"/>
      <c r="F405" s="1" t="n"/>
      <c r="G405" s="1" t="n"/>
      <c r="H405" s="1" t="n"/>
      <c r="I405" s="1" t="n"/>
      <c r="J405" s="1" t="n"/>
      <c r="K405" s="1" t="n"/>
      <c r="L405" s="1" t="n"/>
      <c r="M405" s="1" t="n"/>
    </row>
    <row r="406" ht="15.75" customHeight="1" s="311">
      <c r="A406" s="1" t="n"/>
      <c r="B406" s="1" t="n"/>
      <c r="C406" s="1" t="n"/>
      <c r="D406" s="1" t="n"/>
      <c r="E406" s="1" t="n"/>
      <c r="F406" s="1" t="n"/>
      <c r="G406" s="1" t="n"/>
      <c r="H406" s="1" t="n"/>
      <c r="I406" s="1" t="n"/>
      <c r="J406" s="1" t="n"/>
      <c r="K406" s="1" t="n"/>
      <c r="L406" s="1" t="n"/>
      <c r="M406" s="1" t="n"/>
    </row>
    <row r="407" ht="15.75" customHeight="1" s="311">
      <c r="A407" s="1" t="n"/>
      <c r="B407" s="1" t="n"/>
      <c r="C407" s="1" t="n"/>
      <c r="D407" s="1" t="n"/>
      <c r="E407" s="1" t="n"/>
      <c r="F407" s="1" t="n"/>
      <c r="G407" s="1" t="n"/>
      <c r="H407" s="1" t="n"/>
      <c r="I407" s="1" t="n"/>
      <c r="J407" s="1" t="n"/>
      <c r="K407" s="1" t="n"/>
      <c r="L407" s="1" t="n"/>
      <c r="M407" s="1" t="n"/>
    </row>
    <row r="408" ht="15.75" customHeight="1" s="311">
      <c r="A408" s="1" t="n"/>
      <c r="B408" s="1" t="n"/>
      <c r="C408" s="1" t="n"/>
      <c r="D408" s="1" t="n"/>
      <c r="E408" s="1" t="n"/>
      <c r="F408" s="1" t="n"/>
      <c r="G408" s="1" t="n"/>
      <c r="H408" s="1" t="n"/>
      <c r="I408" s="1" t="n"/>
      <c r="J408" s="1" t="n"/>
      <c r="K408" s="1" t="n"/>
      <c r="L408" s="1" t="n"/>
      <c r="M408" s="1" t="n"/>
    </row>
    <row r="409" ht="15.75" customHeight="1" s="311">
      <c r="A409" s="1" t="n"/>
      <c r="B409" s="1" t="n"/>
      <c r="C409" s="1" t="n"/>
      <c r="D409" s="1" t="n"/>
      <c r="E409" s="1" t="n"/>
      <c r="F409" s="1" t="n"/>
      <c r="G409" s="1" t="n"/>
      <c r="H409" s="1" t="n"/>
      <c r="I409" s="1" t="n"/>
      <c r="J409" s="1" t="n"/>
      <c r="K409" s="1" t="n"/>
      <c r="L409" s="1" t="n"/>
      <c r="M409" s="1" t="n"/>
    </row>
    <row r="410" ht="15.75" customHeight="1" s="311">
      <c r="A410" s="1" t="n"/>
      <c r="B410" s="1" t="n"/>
      <c r="C410" s="1" t="n"/>
      <c r="D410" s="1" t="n"/>
      <c r="E410" s="1" t="n"/>
      <c r="F410" s="1" t="n"/>
      <c r="G410" s="1" t="n"/>
      <c r="H410" s="1" t="n"/>
      <c r="I410" s="1" t="n"/>
      <c r="J410" s="1" t="n"/>
      <c r="K410" s="1" t="n"/>
      <c r="L410" s="1" t="n"/>
      <c r="M410" s="1" t="n"/>
    </row>
    <row r="411" ht="15.75" customHeight="1" s="311">
      <c r="A411" s="1" t="n"/>
      <c r="B411" s="1" t="n"/>
      <c r="C411" s="1" t="n"/>
      <c r="D411" s="1" t="n"/>
      <c r="E411" s="1" t="n"/>
      <c r="F411" s="1" t="n"/>
      <c r="G411" s="1" t="n"/>
      <c r="H411" s="1" t="n"/>
      <c r="I411" s="1" t="n"/>
      <c r="J411" s="1" t="n"/>
      <c r="K411" s="1" t="n"/>
      <c r="L411" s="1" t="n"/>
      <c r="M411" s="1" t="n"/>
    </row>
    <row r="412" ht="15.75" customHeight="1" s="311">
      <c r="A412" s="1" t="n"/>
      <c r="B412" s="1" t="n"/>
      <c r="C412" s="1" t="n"/>
      <c r="D412" s="1" t="n"/>
      <c r="E412" s="1" t="n"/>
      <c r="F412" s="1" t="n"/>
      <c r="G412" s="1" t="n"/>
      <c r="H412" s="1" t="n"/>
      <c r="I412" s="1" t="n"/>
      <c r="J412" s="1" t="n"/>
      <c r="K412" s="1" t="n"/>
      <c r="L412" s="1" t="n"/>
      <c r="M412" s="1" t="n"/>
    </row>
    <row r="413" ht="15.75" customHeight="1" s="311">
      <c r="A413" s="1" t="n"/>
      <c r="B413" s="1" t="n"/>
      <c r="C413" s="1" t="n"/>
      <c r="D413" s="1" t="n"/>
      <c r="E413" s="1" t="n"/>
      <c r="F413" s="1" t="n"/>
      <c r="G413" s="1" t="n"/>
      <c r="H413" s="1" t="n"/>
      <c r="I413" s="1" t="n"/>
      <c r="J413" s="1" t="n"/>
      <c r="K413" s="1" t="n"/>
      <c r="L413" s="1" t="n"/>
      <c r="M413" s="1" t="n"/>
    </row>
    <row r="414" ht="15.75" customHeight="1" s="311">
      <c r="A414" s="1" t="n"/>
      <c r="B414" s="1" t="n"/>
      <c r="C414" s="1" t="n"/>
      <c r="D414" s="1" t="n"/>
      <c r="E414" s="1" t="n"/>
      <c r="F414" s="1" t="n"/>
      <c r="G414" s="1" t="n"/>
      <c r="H414" s="1" t="n"/>
      <c r="I414" s="1" t="n"/>
      <c r="J414" s="1" t="n"/>
      <c r="K414" s="1" t="n"/>
      <c r="L414" s="1" t="n"/>
      <c r="M414" s="1" t="n"/>
    </row>
    <row r="415" ht="15.75" customHeight="1" s="311">
      <c r="A415" s="1" t="n"/>
      <c r="B415" s="1" t="n"/>
      <c r="C415" s="1" t="n"/>
      <c r="D415" s="1" t="n"/>
      <c r="E415" s="1" t="n"/>
      <c r="F415" s="1" t="n"/>
      <c r="G415" s="1" t="n"/>
      <c r="H415" s="1" t="n"/>
      <c r="I415" s="1" t="n"/>
      <c r="J415" s="1" t="n"/>
      <c r="K415" s="1" t="n"/>
      <c r="L415" s="1" t="n"/>
      <c r="M415" s="1" t="n"/>
    </row>
    <row r="416" ht="15.75" customHeight="1" s="311">
      <c r="A416" s="1" t="n"/>
      <c r="B416" s="1" t="n"/>
      <c r="C416" s="1" t="n"/>
      <c r="D416" s="1" t="n"/>
      <c r="E416" s="1" t="n"/>
      <c r="F416" s="1" t="n"/>
      <c r="G416" s="1" t="n"/>
      <c r="H416" s="1" t="n"/>
      <c r="I416" s="1" t="n"/>
      <c r="J416" s="1" t="n"/>
      <c r="K416" s="1" t="n"/>
      <c r="L416" s="1" t="n"/>
      <c r="M416" s="1" t="n"/>
    </row>
    <row r="417" ht="15.75" customHeight="1" s="311">
      <c r="A417" s="1" t="n"/>
      <c r="B417" s="1" t="n"/>
      <c r="C417" s="1" t="n"/>
      <c r="D417" s="1" t="n"/>
      <c r="E417" s="1" t="n"/>
      <c r="F417" s="1" t="n"/>
      <c r="G417" s="1" t="n"/>
      <c r="H417" s="1" t="n"/>
      <c r="I417" s="1" t="n"/>
      <c r="J417" s="1" t="n"/>
      <c r="K417" s="1" t="n"/>
      <c r="L417" s="1" t="n"/>
      <c r="M417" s="1" t="n"/>
    </row>
    <row r="418" ht="15.75" customHeight="1" s="311">
      <c r="A418" s="1" t="n"/>
      <c r="B418" s="1" t="n"/>
      <c r="C418" s="1" t="n"/>
      <c r="D418" s="1" t="n"/>
      <c r="E418" s="1" t="n"/>
      <c r="F418" s="1" t="n"/>
      <c r="G418" s="1" t="n"/>
      <c r="H418" s="1" t="n"/>
      <c r="I418" s="1" t="n"/>
      <c r="J418" s="1" t="n"/>
      <c r="K418" s="1" t="n"/>
      <c r="L418" s="1" t="n"/>
      <c r="M418" s="1" t="n"/>
    </row>
    <row r="419" ht="15.75" customHeight="1" s="311">
      <c r="A419" s="1" t="n"/>
      <c r="B419" s="1" t="n"/>
      <c r="C419" s="1" t="n"/>
      <c r="D419" s="1" t="n"/>
      <c r="E419" s="1" t="n"/>
      <c r="F419" s="1" t="n"/>
      <c r="G419" s="1" t="n"/>
      <c r="H419" s="1" t="n"/>
      <c r="I419" s="1" t="n"/>
      <c r="J419" s="1" t="n"/>
      <c r="K419" s="1" t="n"/>
      <c r="L419" s="1" t="n"/>
      <c r="M419" s="1" t="n"/>
    </row>
    <row r="420" ht="15.75" customHeight="1" s="311">
      <c r="A420" s="1" t="n"/>
      <c r="B420" s="1" t="n"/>
      <c r="C420" s="1" t="n"/>
      <c r="D420" s="1" t="n"/>
      <c r="E420" s="1" t="n"/>
      <c r="F420" s="1" t="n"/>
      <c r="G420" s="1" t="n"/>
      <c r="H420" s="1" t="n"/>
      <c r="I420" s="1" t="n"/>
      <c r="J420" s="1" t="n"/>
      <c r="K420" s="1" t="n"/>
      <c r="L420" s="1" t="n"/>
      <c r="M420" s="1" t="n"/>
    </row>
    <row r="421" ht="15.75" customHeight="1" s="311">
      <c r="A421" s="1" t="n"/>
      <c r="B421" s="1" t="n"/>
      <c r="C421" s="1" t="n"/>
      <c r="D421" s="1" t="n"/>
      <c r="E421" s="1" t="n"/>
      <c r="F421" s="1" t="n"/>
      <c r="G421" s="1" t="n"/>
      <c r="H421" s="1" t="n"/>
      <c r="I421" s="1" t="n"/>
      <c r="J421" s="1" t="n"/>
      <c r="K421" s="1" t="n"/>
      <c r="L421" s="1" t="n"/>
      <c r="M421" s="1" t="n"/>
    </row>
    <row r="422" ht="15.75" customHeight="1" s="311">
      <c r="A422" s="1" t="n"/>
      <c r="B422" s="1" t="n"/>
      <c r="C422" s="1" t="n"/>
      <c r="D422" s="1" t="n"/>
      <c r="E422" s="1" t="n"/>
      <c r="F422" s="1" t="n"/>
      <c r="G422" s="1" t="n"/>
      <c r="H422" s="1" t="n"/>
      <c r="I422" s="1" t="n"/>
      <c r="J422" s="1" t="n"/>
      <c r="K422" s="1" t="n"/>
      <c r="L422" s="1" t="n"/>
      <c r="M422" s="1" t="n"/>
    </row>
    <row r="423" ht="15.75" customHeight="1" s="311">
      <c r="A423" s="1" t="n"/>
      <c r="B423" s="1" t="n"/>
      <c r="C423" s="1" t="n"/>
      <c r="D423" s="1" t="n"/>
      <c r="E423" s="1" t="n"/>
      <c r="F423" s="1" t="n"/>
      <c r="G423" s="1" t="n"/>
      <c r="H423" s="1" t="n"/>
      <c r="I423" s="1" t="n"/>
      <c r="J423" s="1" t="n"/>
      <c r="K423" s="1" t="n"/>
      <c r="L423" s="1" t="n"/>
      <c r="M423" s="1" t="n"/>
    </row>
    <row r="424" ht="15.75" customHeight="1" s="311">
      <c r="A424" s="1" t="n"/>
      <c r="B424" s="1" t="n"/>
      <c r="C424" s="1" t="n"/>
      <c r="D424" s="1" t="n"/>
      <c r="E424" s="1" t="n"/>
      <c r="F424" s="1" t="n"/>
      <c r="G424" s="1" t="n"/>
      <c r="H424" s="1" t="n"/>
      <c r="I424" s="1" t="n"/>
      <c r="J424" s="1" t="n"/>
      <c r="K424" s="1" t="n"/>
      <c r="L424" s="1" t="n"/>
      <c r="M424" s="1" t="n"/>
    </row>
    <row r="425" ht="15.75" customHeight="1" s="311">
      <c r="A425" s="1" t="n"/>
      <c r="B425" s="1" t="n"/>
      <c r="C425" s="1" t="n"/>
      <c r="D425" s="1" t="n"/>
      <c r="E425" s="1" t="n"/>
      <c r="F425" s="1" t="n"/>
      <c r="G425" s="1" t="n"/>
      <c r="H425" s="1" t="n"/>
      <c r="I425" s="1" t="n"/>
      <c r="J425" s="1" t="n"/>
      <c r="K425" s="1" t="n"/>
      <c r="L425" s="1" t="n"/>
      <c r="M425" s="1" t="n"/>
    </row>
    <row r="426" ht="15.75" customHeight="1" s="311">
      <c r="A426" s="1" t="n"/>
      <c r="B426" s="1" t="n"/>
      <c r="C426" s="1" t="n"/>
      <c r="D426" s="1" t="n"/>
      <c r="E426" s="1" t="n"/>
      <c r="F426" s="1" t="n"/>
      <c r="G426" s="1" t="n"/>
      <c r="H426" s="1" t="n"/>
      <c r="I426" s="1" t="n"/>
      <c r="J426" s="1" t="n"/>
      <c r="K426" s="1" t="n"/>
      <c r="L426" s="1" t="n"/>
      <c r="M426" s="1" t="n"/>
    </row>
    <row r="427" ht="15.75" customHeight="1" s="311">
      <c r="A427" s="1" t="n"/>
      <c r="B427" s="1" t="n"/>
      <c r="C427" s="1" t="n"/>
      <c r="D427" s="1" t="n"/>
      <c r="E427" s="1" t="n"/>
      <c r="F427" s="1" t="n"/>
      <c r="G427" s="1" t="n"/>
      <c r="H427" s="1" t="n"/>
      <c r="I427" s="1" t="n"/>
      <c r="J427" s="1" t="n"/>
      <c r="K427" s="1" t="n"/>
      <c r="L427" s="1" t="n"/>
      <c r="M427" s="1" t="n"/>
    </row>
    <row r="428" ht="15.75" customHeight="1" s="311">
      <c r="A428" s="1" t="n"/>
      <c r="B428" s="1" t="n"/>
      <c r="C428" s="1" t="n"/>
      <c r="D428" s="1" t="n"/>
      <c r="E428" s="1" t="n"/>
      <c r="F428" s="1" t="n"/>
      <c r="G428" s="1" t="n"/>
      <c r="H428" s="1" t="n"/>
      <c r="I428" s="1" t="n"/>
      <c r="J428" s="1" t="n"/>
      <c r="K428" s="1" t="n"/>
      <c r="L428" s="1" t="n"/>
      <c r="M428" s="1" t="n"/>
    </row>
    <row r="429" ht="15.75" customHeight="1" s="311">
      <c r="A429" s="1" t="n"/>
      <c r="B429" s="1" t="n"/>
      <c r="C429" s="1" t="n"/>
      <c r="D429" s="1" t="n"/>
      <c r="E429" s="1" t="n"/>
      <c r="F429" s="1" t="n"/>
      <c r="G429" s="1" t="n"/>
      <c r="H429" s="1" t="n"/>
      <c r="I429" s="1" t="n"/>
      <c r="J429" s="1" t="n"/>
      <c r="K429" s="1" t="n"/>
      <c r="L429" s="1" t="n"/>
      <c r="M429" s="1" t="n"/>
    </row>
    <row r="430" ht="15.75" customHeight="1" s="311">
      <c r="A430" s="1" t="n"/>
      <c r="B430" s="1" t="n"/>
      <c r="C430" s="1" t="n"/>
      <c r="D430" s="1" t="n"/>
      <c r="E430" s="1" t="n"/>
      <c r="F430" s="1" t="n"/>
      <c r="G430" s="1" t="n"/>
      <c r="H430" s="1" t="n"/>
      <c r="I430" s="1" t="n"/>
      <c r="J430" s="1" t="n"/>
      <c r="K430" s="1" t="n"/>
      <c r="L430" s="1" t="n"/>
      <c r="M430" s="1" t="n"/>
    </row>
    <row r="431" ht="15.75" customHeight="1" s="311">
      <c r="A431" s="1" t="n"/>
      <c r="B431" s="1" t="n"/>
      <c r="C431" s="1" t="n"/>
      <c r="D431" s="1" t="n"/>
      <c r="E431" s="1" t="n"/>
      <c r="F431" s="1" t="n"/>
      <c r="G431" s="1" t="n"/>
      <c r="H431" s="1" t="n"/>
      <c r="I431" s="1" t="n"/>
      <c r="J431" s="1" t="n"/>
      <c r="K431" s="1" t="n"/>
      <c r="L431" s="1" t="n"/>
      <c r="M431" s="1" t="n"/>
    </row>
    <row r="432" ht="15.75" customHeight="1" s="311">
      <c r="A432" s="1" t="n"/>
      <c r="B432" s="1" t="n"/>
      <c r="C432" s="1" t="n"/>
      <c r="D432" s="1" t="n"/>
      <c r="E432" s="1" t="n"/>
      <c r="F432" s="1" t="n"/>
      <c r="G432" s="1" t="n"/>
      <c r="H432" s="1" t="n"/>
      <c r="I432" s="1" t="n"/>
      <c r="J432" s="1" t="n"/>
      <c r="K432" s="1" t="n"/>
      <c r="L432" s="1" t="n"/>
      <c r="M432" s="1" t="n"/>
    </row>
    <row r="433" ht="15.75" customHeight="1" s="311">
      <c r="A433" s="1" t="n"/>
      <c r="B433" s="1" t="n"/>
      <c r="C433" s="1" t="n"/>
      <c r="D433" s="1" t="n"/>
      <c r="E433" s="1" t="n"/>
      <c r="F433" s="1" t="n"/>
      <c r="G433" s="1" t="n"/>
      <c r="H433" s="1" t="n"/>
      <c r="I433" s="1" t="n"/>
      <c r="J433" s="1" t="n"/>
      <c r="K433" s="1" t="n"/>
      <c r="L433" s="1" t="n"/>
      <c r="M433" s="1" t="n"/>
    </row>
    <row r="434" ht="15.75" customHeight="1" s="311">
      <c r="A434" s="1" t="n"/>
      <c r="B434" s="1" t="n"/>
      <c r="C434" s="1" t="n"/>
      <c r="D434" s="1" t="n"/>
      <c r="E434" s="1" t="n"/>
      <c r="F434" s="1" t="n"/>
      <c r="G434" s="1" t="n"/>
      <c r="H434" s="1" t="n"/>
      <c r="I434" s="1" t="n"/>
      <c r="J434" s="1" t="n"/>
      <c r="K434" s="1" t="n"/>
      <c r="L434" s="1" t="n"/>
      <c r="M434" s="1" t="n"/>
    </row>
    <row r="435" ht="15.75" customHeight="1" s="311">
      <c r="A435" s="1" t="n"/>
      <c r="B435" s="1" t="n"/>
      <c r="C435" s="1" t="n"/>
      <c r="D435" s="1" t="n"/>
      <c r="E435" s="1" t="n"/>
      <c r="F435" s="1" t="n"/>
      <c r="G435" s="1" t="n"/>
      <c r="H435" s="1" t="n"/>
      <c r="I435" s="1" t="n"/>
      <c r="J435" s="1" t="n"/>
      <c r="K435" s="1" t="n"/>
      <c r="L435" s="1" t="n"/>
      <c r="M435" s="1" t="n"/>
    </row>
    <row r="436" ht="15.75" customHeight="1" s="311">
      <c r="A436" s="1" t="n"/>
      <c r="B436" s="1" t="n"/>
      <c r="C436" s="1" t="n"/>
      <c r="D436" s="1" t="n"/>
      <c r="E436" s="1" t="n"/>
      <c r="F436" s="1" t="n"/>
      <c r="G436" s="1" t="n"/>
      <c r="H436" s="1" t="n"/>
      <c r="I436" s="1" t="n"/>
      <c r="J436" s="1" t="n"/>
      <c r="K436" s="1" t="n"/>
      <c r="L436" s="1" t="n"/>
      <c r="M436" s="1" t="n"/>
    </row>
    <row r="437" ht="15.75" customHeight="1" s="311">
      <c r="A437" s="1" t="n"/>
      <c r="B437" s="1" t="n"/>
      <c r="C437" s="1" t="n"/>
      <c r="D437" s="1" t="n"/>
      <c r="E437" s="1" t="n"/>
      <c r="F437" s="1" t="n"/>
      <c r="G437" s="1" t="n"/>
      <c r="H437" s="1" t="n"/>
      <c r="I437" s="1" t="n"/>
      <c r="J437" s="1" t="n"/>
      <c r="K437" s="1" t="n"/>
      <c r="L437" s="1" t="n"/>
      <c r="M437" s="1" t="n"/>
    </row>
    <row r="438" ht="15.75" customHeight="1" s="311">
      <c r="A438" s="1" t="n"/>
      <c r="B438" s="1" t="n"/>
      <c r="C438" s="1" t="n"/>
      <c r="D438" s="1" t="n"/>
      <c r="E438" s="1" t="n"/>
      <c r="F438" s="1" t="n"/>
      <c r="G438" s="1" t="n"/>
      <c r="H438" s="1" t="n"/>
      <c r="I438" s="1" t="n"/>
      <c r="J438" s="1" t="n"/>
      <c r="K438" s="1" t="n"/>
      <c r="L438" s="1" t="n"/>
      <c r="M438" s="1" t="n"/>
    </row>
    <row r="439" ht="15.75" customHeight="1" s="311">
      <c r="A439" s="1" t="n"/>
      <c r="B439" s="1" t="n"/>
      <c r="C439" s="1" t="n"/>
      <c r="D439" s="1" t="n"/>
      <c r="E439" s="1" t="n"/>
      <c r="F439" s="1" t="n"/>
      <c r="G439" s="1" t="n"/>
      <c r="H439" s="1" t="n"/>
      <c r="I439" s="1" t="n"/>
      <c r="J439" s="1" t="n"/>
      <c r="K439" s="1" t="n"/>
      <c r="L439" s="1" t="n"/>
      <c r="M439" s="1" t="n"/>
    </row>
    <row r="440" ht="15.75" customHeight="1" s="311">
      <c r="A440" s="1" t="n"/>
      <c r="B440" s="1" t="n"/>
      <c r="C440" s="1" t="n"/>
      <c r="D440" s="1" t="n"/>
      <c r="E440" s="1" t="n"/>
      <c r="F440" s="1" t="n"/>
      <c r="G440" s="1" t="n"/>
      <c r="H440" s="1" t="n"/>
      <c r="I440" s="1" t="n"/>
      <c r="J440" s="1" t="n"/>
      <c r="K440" s="1" t="n"/>
      <c r="L440" s="1" t="n"/>
      <c r="M440" s="1" t="n"/>
    </row>
    <row r="441" ht="15.75" customHeight="1" s="311">
      <c r="A441" s="1" t="n"/>
      <c r="B441" s="1" t="n"/>
      <c r="C441" s="1" t="n"/>
      <c r="D441" s="1" t="n"/>
      <c r="E441" s="1" t="n"/>
      <c r="F441" s="1" t="n"/>
      <c r="G441" s="1" t="n"/>
      <c r="H441" s="1" t="n"/>
      <c r="I441" s="1" t="n"/>
      <c r="J441" s="1" t="n"/>
      <c r="K441" s="1" t="n"/>
      <c r="L441" s="1" t="n"/>
      <c r="M441" s="1" t="n"/>
    </row>
    <row r="442" ht="15.75" customHeight="1" s="311">
      <c r="A442" s="1" t="n"/>
      <c r="B442" s="1" t="n"/>
      <c r="C442" s="1" t="n"/>
      <c r="D442" s="1" t="n"/>
      <c r="E442" s="1" t="n"/>
      <c r="F442" s="1" t="n"/>
      <c r="G442" s="1" t="n"/>
      <c r="H442" s="1" t="n"/>
      <c r="I442" s="1" t="n"/>
      <c r="J442" s="1" t="n"/>
      <c r="K442" s="1" t="n"/>
      <c r="L442" s="1" t="n"/>
      <c r="M442" s="1" t="n"/>
    </row>
    <row r="443" ht="15.75" customHeight="1" s="311">
      <c r="A443" s="1" t="n"/>
      <c r="B443" s="1" t="n"/>
      <c r="C443" s="1" t="n"/>
      <c r="D443" s="1" t="n"/>
      <c r="E443" s="1" t="n"/>
      <c r="F443" s="1" t="n"/>
      <c r="G443" s="1" t="n"/>
      <c r="H443" s="1" t="n"/>
      <c r="I443" s="1" t="n"/>
      <c r="J443" s="1" t="n"/>
      <c r="K443" s="1" t="n"/>
      <c r="L443" s="1" t="n"/>
      <c r="M443" s="1" t="n"/>
    </row>
    <row r="444" ht="15.75" customHeight="1" s="311">
      <c r="A444" s="1" t="n"/>
      <c r="B444" s="1" t="n"/>
      <c r="C444" s="1" t="n"/>
      <c r="D444" s="1" t="n"/>
      <c r="E444" s="1" t="n"/>
      <c r="F444" s="1" t="n"/>
      <c r="G444" s="1" t="n"/>
      <c r="H444" s="1" t="n"/>
      <c r="I444" s="1" t="n"/>
      <c r="J444" s="1" t="n"/>
      <c r="K444" s="1" t="n"/>
      <c r="L444" s="1" t="n"/>
      <c r="M444" s="1" t="n"/>
    </row>
    <row r="445" ht="15.75" customHeight="1" s="311">
      <c r="A445" s="1" t="n"/>
      <c r="B445" s="1" t="n"/>
      <c r="C445" s="1" t="n"/>
      <c r="D445" s="1" t="n"/>
      <c r="E445" s="1" t="n"/>
      <c r="F445" s="1" t="n"/>
      <c r="G445" s="1" t="n"/>
      <c r="H445" s="1" t="n"/>
      <c r="I445" s="1" t="n"/>
      <c r="J445" s="1" t="n"/>
      <c r="K445" s="1" t="n"/>
      <c r="L445" s="1" t="n"/>
      <c r="M445" s="1" t="n"/>
    </row>
    <row r="446" ht="15.75" customHeight="1" s="311">
      <c r="A446" s="1" t="n"/>
      <c r="B446" s="1" t="n"/>
      <c r="C446" s="1" t="n"/>
      <c r="D446" s="1" t="n"/>
      <c r="E446" s="1" t="n"/>
      <c r="F446" s="1" t="n"/>
      <c r="G446" s="1" t="n"/>
      <c r="H446" s="1" t="n"/>
      <c r="I446" s="1" t="n"/>
      <c r="J446" s="1" t="n"/>
      <c r="K446" s="1" t="n"/>
      <c r="L446" s="1" t="n"/>
      <c r="M446" s="1" t="n"/>
    </row>
    <row r="447" ht="15.75" customHeight="1" s="311">
      <c r="A447" s="1" t="n"/>
      <c r="B447" s="1" t="n"/>
      <c r="C447" s="1" t="n"/>
      <c r="D447" s="1" t="n"/>
      <c r="E447" s="1" t="n"/>
      <c r="F447" s="1" t="n"/>
      <c r="G447" s="1" t="n"/>
      <c r="H447" s="1" t="n"/>
      <c r="I447" s="1" t="n"/>
      <c r="J447" s="1" t="n"/>
      <c r="K447" s="1" t="n"/>
      <c r="L447" s="1" t="n"/>
      <c r="M447" s="1" t="n"/>
    </row>
    <row r="448" ht="15.75" customHeight="1" s="311">
      <c r="A448" s="1" t="n"/>
      <c r="B448" s="1" t="n"/>
      <c r="C448" s="1" t="n"/>
      <c r="D448" s="1" t="n"/>
      <c r="E448" s="1" t="n"/>
      <c r="F448" s="1" t="n"/>
      <c r="G448" s="1" t="n"/>
      <c r="H448" s="1" t="n"/>
      <c r="I448" s="1" t="n"/>
      <c r="J448" s="1" t="n"/>
      <c r="K448" s="1" t="n"/>
      <c r="L448" s="1" t="n"/>
      <c r="M448" s="1" t="n"/>
    </row>
    <row r="449" ht="15.75" customHeight="1" s="311">
      <c r="A449" s="1" t="n"/>
      <c r="B449" s="1" t="n"/>
      <c r="C449" s="1" t="n"/>
      <c r="D449" s="1" t="n"/>
      <c r="E449" s="1" t="n"/>
      <c r="F449" s="1" t="n"/>
      <c r="G449" s="1" t="n"/>
      <c r="H449" s="1" t="n"/>
      <c r="I449" s="1" t="n"/>
      <c r="J449" s="1" t="n"/>
      <c r="K449" s="1" t="n"/>
      <c r="L449" s="1" t="n"/>
      <c r="M449" s="1" t="n"/>
    </row>
    <row r="450" ht="15.75" customHeight="1" s="311">
      <c r="A450" s="1" t="n"/>
      <c r="B450" s="1" t="n"/>
      <c r="C450" s="1" t="n"/>
      <c r="D450" s="1" t="n"/>
      <c r="E450" s="1" t="n"/>
      <c r="F450" s="1" t="n"/>
      <c r="G450" s="1" t="n"/>
      <c r="H450" s="1" t="n"/>
      <c r="I450" s="1" t="n"/>
      <c r="J450" s="1" t="n"/>
      <c r="K450" s="1" t="n"/>
      <c r="L450" s="1" t="n"/>
      <c r="M450" s="1" t="n"/>
    </row>
    <row r="451" ht="15.75" customHeight="1" s="311">
      <c r="A451" s="1" t="n"/>
      <c r="B451" s="1" t="n"/>
      <c r="C451" s="1" t="n"/>
      <c r="D451" s="1" t="n"/>
      <c r="E451" s="1" t="n"/>
      <c r="F451" s="1" t="n"/>
      <c r="G451" s="1" t="n"/>
      <c r="H451" s="1" t="n"/>
      <c r="I451" s="1" t="n"/>
      <c r="J451" s="1" t="n"/>
      <c r="K451" s="1" t="n"/>
      <c r="L451" s="1" t="n"/>
      <c r="M451" s="1" t="n"/>
    </row>
    <row r="452" ht="15.75" customHeight="1" s="311">
      <c r="A452" s="1" t="n"/>
      <c r="B452" s="1" t="n"/>
      <c r="C452" s="1" t="n"/>
      <c r="D452" s="1" t="n"/>
      <c r="E452" s="1" t="n"/>
      <c r="F452" s="1" t="n"/>
      <c r="G452" s="1" t="n"/>
      <c r="H452" s="1" t="n"/>
      <c r="I452" s="1" t="n"/>
      <c r="J452" s="1" t="n"/>
      <c r="K452" s="1" t="n"/>
      <c r="L452" s="1" t="n"/>
      <c r="M452" s="1" t="n"/>
    </row>
    <row r="453" ht="15.75" customHeight="1" s="311">
      <c r="A453" s="1" t="n"/>
      <c r="B453" s="1" t="n"/>
      <c r="C453" s="1" t="n"/>
      <c r="D453" s="1" t="n"/>
      <c r="E453" s="1" t="n"/>
      <c r="F453" s="1" t="n"/>
      <c r="G453" s="1" t="n"/>
      <c r="H453" s="1" t="n"/>
      <c r="I453" s="1" t="n"/>
      <c r="J453" s="1" t="n"/>
      <c r="K453" s="1" t="n"/>
      <c r="L453" s="1" t="n"/>
      <c r="M453" s="1" t="n"/>
    </row>
    <row r="454" ht="15.75" customHeight="1" s="311">
      <c r="A454" s="1" t="n"/>
      <c r="B454" s="1" t="n"/>
      <c r="C454" s="1" t="n"/>
      <c r="D454" s="1" t="n"/>
      <c r="E454" s="1" t="n"/>
      <c r="F454" s="1" t="n"/>
      <c r="G454" s="1" t="n"/>
      <c r="H454" s="1" t="n"/>
      <c r="I454" s="1" t="n"/>
      <c r="J454" s="1" t="n"/>
      <c r="K454" s="1" t="n"/>
      <c r="L454" s="1" t="n"/>
      <c r="M454" s="1" t="n"/>
    </row>
    <row r="455" ht="15.75" customHeight="1" s="311">
      <c r="A455" s="1" t="n"/>
      <c r="B455" s="1" t="n"/>
      <c r="C455" s="1" t="n"/>
      <c r="D455" s="1" t="n"/>
      <c r="E455" s="1" t="n"/>
      <c r="F455" s="1" t="n"/>
      <c r="G455" s="1" t="n"/>
      <c r="H455" s="1" t="n"/>
      <c r="I455" s="1" t="n"/>
      <c r="J455" s="1" t="n"/>
      <c r="K455" s="1" t="n"/>
      <c r="L455" s="1" t="n"/>
      <c r="M455" s="1" t="n"/>
    </row>
    <row r="456" ht="15.75" customHeight="1" s="311">
      <c r="A456" s="1" t="n"/>
      <c r="B456" s="1" t="n"/>
      <c r="C456" s="1" t="n"/>
      <c r="D456" s="1" t="n"/>
      <c r="E456" s="1" t="n"/>
      <c r="F456" s="1" t="n"/>
      <c r="G456" s="1" t="n"/>
      <c r="H456" s="1" t="n"/>
      <c r="I456" s="1" t="n"/>
      <c r="J456" s="1" t="n"/>
      <c r="K456" s="1" t="n"/>
      <c r="L456" s="1" t="n"/>
      <c r="M456" s="1" t="n"/>
    </row>
    <row r="457" ht="15.75" customHeight="1" s="311">
      <c r="A457" s="1" t="n"/>
      <c r="B457" s="1" t="n"/>
      <c r="C457" s="1" t="n"/>
      <c r="D457" s="1" t="n"/>
      <c r="E457" s="1" t="n"/>
      <c r="F457" s="1" t="n"/>
      <c r="G457" s="1" t="n"/>
      <c r="H457" s="1" t="n"/>
      <c r="I457" s="1" t="n"/>
      <c r="J457" s="1" t="n"/>
      <c r="K457" s="1" t="n"/>
      <c r="L457" s="1" t="n"/>
      <c r="M457" s="1" t="n"/>
    </row>
    <row r="458" ht="15.75" customHeight="1" s="311">
      <c r="A458" s="1" t="n"/>
      <c r="B458" s="1" t="n"/>
      <c r="C458" s="1" t="n"/>
      <c r="D458" s="1" t="n"/>
      <c r="E458" s="1" t="n"/>
      <c r="F458" s="1" t="n"/>
      <c r="G458" s="1" t="n"/>
      <c r="H458" s="1" t="n"/>
      <c r="I458" s="1" t="n"/>
      <c r="J458" s="1" t="n"/>
      <c r="K458" s="1" t="n"/>
      <c r="L458" s="1" t="n"/>
      <c r="M458" s="1" t="n"/>
    </row>
    <row r="459" ht="15.75" customHeight="1" s="311">
      <c r="A459" s="1" t="n"/>
      <c r="B459" s="1" t="n"/>
      <c r="C459" s="1" t="n"/>
      <c r="D459" s="1" t="n"/>
      <c r="E459" s="1" t="n"/>
      <c r="F459" s="1" t="n"/>
      <c r="G459" s="1" t="n"/>
      <c r="H459" s="1" t="n"/>
      <c r="I459" s="1" t="n"/>
      <c r="J459" s="1" t="n"/>
      <c r="K459" s="1" t="n"/>
      <c r="L459" s="1" t="n"/>
      <c r="M459" s="1" t="n"/>
    </row>
    <row r="460" ht="15.75" customHeight="1" s="311">
      <c r="A460" s="1" t="n"/>
      <c r="B460" s="1" t="n"/>
      <c r="C460" s="1" t="n"/>
      <c r="D460" s="1" t="n"/>
      <c r="E460" s="1" t="n"/>
      <c r="F460" s="1" t="n"/>
      <c r="G460" s="1" t="n"/>
      <c r="H460" s="1" t="n"/>
      <c r="I460" s="1" t="n"/>
      <c r="J460" s="1" t="n"/>
      <c r="K460" s="1" t="n"/>
      <c r="L460" s="1" t="n"/>
      <c r="M460" s="1" t="n"/>
    </row>
    <row r="461" ht="15.75" customHeight="1" s="311">
      <c r="A461" s="1" t="n"/>
      <c r="B461" s="1" t="n"/>
      <c r="C461" s="1" t="n"/>
      <c r="D461" s="1" t="n"/>
      <c r="E461" s="1" t="n"/>
      <c r="F461" s="1" t="n"/>
      <c r="G461" s="1" t="n"/>
      <c r="H461" s="1" t="n"/>
      <c r="I461" s="1" t="n"/>
      <c r="J461" s="1" t="n"/>
      <c r="K461" s="1" t="n"/>
      <c r="L461" s="1" t="n"/>
      <c r="M461" s="1" t="n"/>
    </row>
    <row r="462" ht="15.75" customHeight="1" s="311">
      <c r="A462" s="1" t="n"/>
      <c r="B462" s="1" t="n"/>
      <c r="C462" s="1" t="n"/>
      <c r="D462" s="1" t="n"/>
      <c r="E462" s="1" t="n"/>
      <c r="F462" s="1" t="n"/>
      <c r="G462" s="1" t="n"/>
      <c r="H462" s="1" t="n"/>
      <c r="I462" s="1" t="n"/>
      <c r="J462" s="1" t="n"/>
      <c r="K462" s="1" t="n"/>
      <c r="L462" s="1" t="n"/>
      <c r="M462" s="1" t="n"/>
    </row>
    <row r="463" ht="15.75" customHeight="1" s="311">
      <c r="A463" s="1" t="n"/>
      <c r="B463" s="1" t="n"/>
      <c r="C463" s="1" t="n"/>
      <c r="D463" s="1" t="n"/>
      <c r="E463" s="1" t="n"/>
      <c r="F463" s="1" t="n"/>
      <c r="G463" s="1" t="n"/>
      <c r="H463" s="1" t="n"/>
      <c r="I463" s="1" t="n"/>
      <c r="J463" s="1" t="n"/>
      <c r="K463" s="1" t="n"/>
      <c r="L463" s="1" t="n"/>
      <c r="M463" s="1" t="n"/>
    </row>
    <row r="464" ht="15.75" customHeight="1" s="311">
      <c r="A464" s="1" t="n"/>
      <c r="B464" s="1" t="n"/>
      <c r="C464" s="1" t="n"/>
      <c r="D464" s="1" t="n"/>
      <c r="E464" s="1" t="n"/>
      <c r="F464" s="1" t="n"/>
      <c r="G464" s="1" t="n"/>
      <c r="H464" s="1" t="n"/>
      <c r="I464" s="1" t="n"/>
      <c r="J464" s="1" t="n"/>
      <c r="K464" s="1" t="n"/>
      <c r="L464" s="1" t="n"/>
      <c r="M464" s="1" t="n"/>
    </row>
    <row r="465" ht="15.75" customHeight="1" s="311">
      <c r="A465" s="1" t="n"/>
      <c r="B465" s="1" t="n"/>
      <c r="C465" s="1" t="n"/>
      <c r="D465" s="1" t="n"/>
      <c r="E465" s="1" t="n"/>
      <c r="F465" s="1" t="n"/>
      <c r="G465" s="1" t="n"/>
      <c r="H465" s="1" t="n"/>
      <c r="I465" s="1" t="n"/>
      <c r="J465" s="1" t="n"/>
      <c r="K465" s="1" t="n"/>
      <c r="L465" s="1" t="n"/>
      <c r="M465" s="1" t="n"/>
    </row>
    <row r="466" ht="15.75" customHeight="1" s="311">
      <c r="A466" s="1" t="n"/>
      <c r="B466" s="1" t="n"/>
      <c r="C466" s="1" t="n"/>
      <c r="D466" s="1" t="n"/>
      <c r="E466" s="1" t="n"/>
      <c r="F466" s="1" t="n"/>
      <c r="G466" s="1" t="n"/>
      <c r="H466" s="1" t="n"/>
      <c r="I466" s="1" t="n"/>
      <c r="J466" s="1" t="n"/>
      <c r="K466" s="1" t="n"/>
      <c r="L466" s="1" t="n"/>
      <c r="M466" s="1" t="n"/>
    </row>
    <row r="467" ht="15.75" customHeight="1" s="311">
      <c r="A467" s="1" t="n"/>
      <c r="B467" s="1" t="n"/>
      <c r="C467" s="1" t="n"/>
      <c r="D467" s="1" t="n"/>
      <c r="E467" s="1" t="n"/>
      <c r="F467" s="1" t="n"/>
      <c r="G467" s="1" t="n"/>
      <c r="H467" s="1" t="n"/>
      <c r="I467" s="1" t="n"/>
      <c r="J467" s="1" t="n"/>
      <c r="K467" s="1" t="n"/>
      <c r="L467" s="1" t="n"/>
      <c r="M467" s="1" t="n"/>
    </row>
    <row r="468" ht="15.75" customHeight="1" s="311">
      <c r="A468" s="1" t="n"/>
      <c r="B468" s="1" t="n"/>
      <c r="C468" s="1" t="n"/>
      <c r="D468" s="1" t="n"/>
      <c r="E468" s="1" t="n"/>
      <c r="F468" s="1" t="n"/>
      <c r="G468" s="1" t="n"/>
      <c r="H468" s="1" t="n"/>
      <c r="I468" s="1" t="n"/>
      <c r="J468" s="1" t="n"/>
      <c r="K468" s="1" t="n"/>
      <c r="L468" s="1" t="n"/>
      <c r="M468" s="1" t="n"/>
    </row>
    <row r="469" ht="15.75" customHeight="1" s="311">
      <c r="A469" s="1" t="n"/>
      <c r="B469" s="1" t="n"/>
      <c r="C469" s="1" t="n"/>
      <c r="D469" s="1" t="n"/>
      <c r="E469" s="1" t="n"/>
      <c r="F469" s="1" t="n"/>
      <c r="G469" s="1" t="n"/>
      <c r="H469" s="1" t="n"/>
      <c r="I469" s="1" t="n"/>
      <c r="J469" s="1" t="n"/>
      <c r="K469" s="1" t="n"/>
      <c r="L469" s="1" t="n"/>
      <c r="M469" s="1" t="n"/>
    </row>
    <row r="470" ht="15.75" customHeight="1" s="311">
      <c r="A470" s="1" t="n"/>
      <c r="B470" s="1" t="n"/>
      <c r="C470" s="1" t="n"/>
      <c r="D470" s="1" t="n"/>
      <c r="E470" s="1" t="n"/>
      <c r="F470" s="1" t="n"/>
      <c r="G470" s="1" t="n"/>
      <c r="H470" s="1" t="n"/>
      <c r="I470" s="1" t="n"/>
      <c r="J470" s="1" t="n"/>
      <c r="K470" s="1" t="n"/>
      <c r="L470" s="1" t="n"/>
      <c r="M470" s="1" t="n"/>
    </row>
    <row r="471" ht="15.75" customHeight="1" s="311">
      <c r="A471" s="1" t="n"/>
      <c r="B471" s="1" t="n"/>
      <c r="C471" s="1" t="n"/>
      <c r="D471" s="1" t="n"/>
      <c r="E471" s="1" t="n"/>
      <c r="F471" s="1" t="n"/>
      <c r="G471" s="1" t="n"/>
      <c r="H471" s="1" t="n"/>
      <c r="I471" s="1" t="n"/>
      <c r="J471" s="1" t="n"/>
      <c r="K471" s="1" t="n"/>
      <c r="L471" s="1" t="n"/>
      <c r="M471" s="1" t="n"/>
    </row>
    <row r="472" ht="15.75" customHeight="1" s="311">
      <c r="A472" s="1" t="n"/>
      <c r="B472" s="1" t="n"/>
      <c r="C472" s="1" t="n"/>
      <c r="D472" s="1" t="n"/>
      <c r="E472" s="1" t="n"/>
      <c r="F472" s="1" t="n"/>
      <c r="G472" s="1" t="n"/>
      <c r="H472" s="1" t="n"/>
      <c r="I472" s="1" t="n"/>
      <c r="J472" s="1" t="n"/>
      <c r="K472" s="1" t="n"/>
      <c r="L472" s="1" t="n"/>
      <c r="M472" s="1" t="n"/>
    </row>
    <row r="473" ht="15.75" customHeight="1" s="311">
      <c r="A473" s="1" t="n"/>
      <c r="B473" s="1" t="n"/>
      <c r="C473" s="1" t="n"/>
      <c r="D473" s="1" t="n"/>
      <c r="E473" s="1" t="n"/>
      <c r="F473" s="1" t="n"/>
      <c r="G473" s="1" t="n"/>
      <c r="H473" s="1" t="n"/>
      <c r="I473" s="1" t="n"/>
      <c r="J473" s="1" t="n"/>
      <c r="K473" s="1" t="n"/>
      <c r="L473" s="1" t="n"/>
      <c r="M473" s="1" t="n"/>
    </row>
    <row r="474" ht="15.75" customHeight="1" s="311">
      <c r="A474" s="1" t="n"/>
      <c r="B474" s="1" t="n"/>
      <c r="C474" s="1" t="n"/>
      <c r="D474" s="1" t="n"/>
      <c r="E474" s="1" t="n"/>
      <c r="F474" s="1" t="n"/>
      <c r="G474" s="1" t="n"/>
      <c r="H474" s="1" t="n"/>
      <c r="I474" s="1" t="n"/>
      <c r="J474" s="1" t="n"/>
      <c r="K474" s="1" t="n"/>
      <c r="L474" s="1" t="n"/>
      <c r="M474" s="1" t="n"/>
    </row>
    <row r="475" ht="15.75" customHeight="1" s="311">
      <c r="A475" s="1" t="n"/>
      <c r="B475" s="1" t="n"/>
      <c r="C475" s="1" t="n"/>
      <c r="D475" s="1" t="n"/>
      <c r="E475" s="1" t="n"/>
      <c r="F475" s="1" t="n"/>
      <c r="G475" s="1" t="n"/>
      <c r="H475" s="1" t="n"/>
      <c r="I475" s="1" t="n"/>
      <c r="J475" s="1" t="n"/>
      <c r="K475" s="1" t="n"/>
      <c r="L475" s="1" t="n"/>
      <c r="M475" s="1" t="n"/>
    </row>
    <row r="476" ht="15.75" customHeight="1" s="311">
      <c r="A476" s="1" t="n"/>
      <c r="B476" s="1" t="n"/>
      <c r="C476" s="1" t="n"/>
      <c r="D476" s="1" t="n"/>
      <c r="E476" s="1" t="n"/>
      <c r="F476" s="1" t="n"/>
      <c r="G476" s="1" t="n"/>
      <c r="H476" s="1" t="n"/>
      <c r="I476" s="1" t="n"/>
      <c r="J476" s="1" t="n"/>
      <c r="K476" s="1" t="n"/>
      <c r="L476" s="1" t="n"/>
      <c r="M476" s="1" t="n"/>
    </row>
    <row r="477" ht="15.75" customHeight="1" s="311">
      <c r="A477" s="1" t="n"/>
      <c r="B477" s="1" t="n"/>
      <c r="C477" s="1" t="n"/>
      <c r="D477" s="1" t="n"/>
      <c r="E477" s="1" t="n"/>
      <c r="F477" s="1" t="n"/>
      <c r="G477" s="1" t="n"/>
      <c r="H477" s="1" t="n"/>
      <c r="I477" s="1" t="n"/>
      <c r="J477" s="1" t="n"/>
      <c r="K477" s="1" t="n"/>
      <c r="L477" s="1" t="n"/>
      <c r="M477" s="1" t="n"/>
    </row>
    <row r="478" ht="15.75" customHeight="1" s="311">
      <c r="A478" s="1" t="n"/>
      <c r="B478" s="1" t="n"/>
      <c r="C478" s="1" t="n"/>
      <c r="D478" s="1" t="n"/>
      <c r="E478" s="1" t="n"/>
      <c r="F478" s="1" t="n"/>
      <c r="G478" s="1" t="n"/>
      <c r="H478" s="1" t="n"/>
      <c r="I478" s="1" t="n"/>
      <c r="J478" s="1" t="n"/>
      <c r="K478" s="1" t="n"/>
      <c r="L478" s="1" t="n"/>
      <c r="M478" s="1" t="n"/>
    </row>
    <row r="479" ht="15.75" customHeight="1" s="311">
      <c r="A479" s="1" t="n"/>
      <c r="B479" s="1" t="n"/>
      <c r="C479" s="1" t="n"/>
      <c r="D479" s="1" t="n"/>
      <c r="E479" s="1" t="n"/>
      <c r="F479" s="1" t="n"/>
      <c r="G479" s="1" t="n"/>
      <c r="H479" s="1" t="n"/>
      <c r="I479" s="1" t="n"/>
      <c r="J479" s="1" t="n"/>
      <c r="K479" s="1" t="n"/>
      <c r="L479" s="1" t="n"/>
      <c r="M479" s="1" t="n"/>
    </row>
    <row r="480" ht="15.75" customHeight="1" s="311">
      <c r="A480" s="1" t="n"/>
      <c r="B480" s="1" t="n"/>
      <c r="C480" s="1" t="n"/>
      <c r="D480" s="1" t="n"/>
      <c r="E480" s="1" t="n"/>
      <c r="F480" s="1" t="n"/>
      <c r="G480" s="1" t="n"/>
      <c r="H480" s="1" t="n"/>
      <c r="I480" s="1" t="n"/>
      <c r="J480" s="1" t="n"/>
      <c r="K480" s="1" t="n"/>
      <c r="L480" s="1" t="n"/>
      <c r="M480" s="1" t="n"/>
    </row>
    <row r="481" ht="15.75" customHeight="1" s="311">
      <c r="A481" s="1" t="n"/>
      <c r="B481" s="1" t="n"/>
      <c r="C481" s="1" t="n"/>
      <c r="D481" s="1" t="n"/>
      <c r="E481" s="1" t="n"/>
      <c r="F481" s="1" t="n"/>
      <c r="G481" s="1" t="n"/>
      <c r="H481" s="1" t="n"/>
      <c r="I481" s="1" t="n"/>
      <c r="J481" s="1" t="n"/>
      <c r="K481" s="1" t="n"/>
      <c r="L481" s="1" t="n"/>
      <c r="M481" s="1" t="n"/>
    </row>
    <row r="482" ht="15.75" customHeight="1" s="311">
      <c r="A482" s="1" t="n"/>
      <c r="B482" s="1" t="n"/>
      <c r="C482" s="1" t="n"/>
      <c r="D482" s="1" t="n"/>
      <c r="E482" s="1" t="n"/>
      <c r="F482" s="1" t="n"/>
      <c r="G482" s="1" t="n"/>
      <c r="H482" s="1" t="n"/>
      <c r="I482" s="1" t="n"/>
      <c r="J482" s="1" t="n"/>
      <c r="K482" s="1" t="n"/>
      <c r="L482" s="1" t="n"/>
      <c r="M482" s="1" t="n"/>
    </row>
    <row r="483" ht="15.75" customHeight="1" s="311">
      <c r="A483" s="1" t="n"/>
      <c r="B483" s="1" t="n"/>
      <c r="C483" s="1" t="n"/>
      <c r="D483" s="1" t="n"/>
      <c r="E483" s="1" t="n"/>
      <c r="F483" s="1" t="n"/>
      <c r="G483" s="1" t="n"/>
      <c r="H483" s="1" t="n"/>
      <c r="I483" s="1" t="n"/>
      <c r="J483" s="1" t="n"/>
      <c r="K483" s="1" t="n"/>
      <c r="L483" s="1" t="n"/>
      <c r="M483" s="1" t="n"/>
    </row>
    <row r="484" ht="15.75" customHeight="1" s="311">
      <c r="A484" s="1" t="n"/>
      <c r="B484" s="1" t="n"/>
      <c r="C484" s="1" t="n"/>
      <c r="D484" s="1" t="n"/>
      <c r="E484" s="1" t="n"/>
      <c r="F484" s="1" t="n"/>
      <c r="G484" s="1" t="n"/>
      <c r="H484" s="1" t="n"/>
      <c r="I484" s="1" t="n"/>
      <c r="J484" s="1" t="n"/>
      <c r="K484" s="1" t="n"/>
      <c r="L484" s="1" t="n"/>
      <c r="M484" s="1" t="n"/>
    </row>
    <row r="485" ht="15.75" customHeight="1" s="311">
      <c r="A485" s="1" t="n"/>
      <c r="B485" s="1" t="n"/>
      <c r="C485" s="1" t="n"/>
      <c r="D485" s="1" t="n"/>
      <c r="E485" s="1" t="n"/>
      <c r="F485" s="1" t="n"/>
      <c r="G485" s="1" t="n"/>
      <c r="H485" s="1" t="n"/>
      <c r="I485" s="1" t="n"/>
      <c r="J485" s="1" t="n"/>
      <c r="K485" s="1" t="n"/>
      <c r="L485" s="1" t="n"/>
      <c r="M485" s="1" t="n"/>
    </row>
    <row r="486" ht="15.75" customHeight="1" s="311">
      <c r="A486" s="1" t="n"/>
      <c r="B486" s="1" t="n"/>
      <c r="C486" s="1" t="n"/>
      <c r="D486" s="1" t="n"/>
      <c r="E486" s="1" t="n"/>
      <c r="F486" s="1" t="n"/>
      <c r="G486" s="1" t="n"/>
      <c r="H486" s="1" t="n"/>
      <c r="I486" s="1" t="n"/>
      <c r="J486" s="1" t="n"/>
      <c r="K486" s="1" t="n"/>
      <c r="L486" s="1" t="n"/>
      <c r="M486" s="1" t="n"/>
    </row>
    <row r="487" ht="15.75" customHeight="1" s="311">
      <c r="A487" s="1" t="n"/>
      <c r="B487" s="1" t="n"/>
      <c r="C487" s="1" t="n"/>
      <c r="D487" s="1" t="n"/>
      <c r="E487" s="1" t="n"/>
      <c r="F487" s="1" t="n"/>
      <c r="G487" s="1" t="n"/>
      <c r="H487" s="1" t="n"/>
      <c r="I487" s="1" t="n"/>
      <c r="J487" s="1" t="n"/>
      <c r="K487" s="1" t="n"/>
      <c r="L487" s="1" t="n"/>
      <c r="M487" s="1" t="n"/>
    </row>
    <row r="488" ht="15.75" customHeight="1" s="311">
      <c r="A488" s="1" t="n"/>
      <c r="B488" s="1" t="n"/>
      <c r="C488" s="1" t="n"/>
      <c r="D488" s="1" t="n"/>
      <c r="E488" s="1" t="n"/>
      <c r="F488" s="1" t="n"/>
      <c r="G488" s="1" t="n"/>
      <c r="H488" s="1" t="n"/>
      <c r="I488" s="1" t="n"/>
      <c r="J488" s="1" t="n"/>
      <c r="K488" s="1" t="n"/>
      <c r="L488" s="1" t="n"/>
      <c r="M488" s="1" t="n"/>
    </row>
    <row r="489" ht="15.75" customHeight="1" s="311">
      <c r="A489" s="1" t="n"/>
      <c r="B489" s="1" t="n"/>
      <c r="C489" s="1" t="n"/>
      <c r="D489" s="1" t="n"/>
      <c r="E489" s="1" t="n"/>
      <c r="F489" s="1" t="n"/>
      <c r="G489" s="1" t="n"/>
      <c r="H489" s="1" t="n"/>
      <c r="I489" s="1" t="n"/>
      <c r="J489" s="1" t="n"/>
      <c r="K489" s="1" t="n"/>
      <c r="L489" s="1" t="n"/>
      <c r="M489" s="1" t="n"/>
    </row>
    <row r="490" ht="15.75" customHeight="1" s="311">
      <c r="A490" s="1" t="n"/>
      <c r="B490" s="1" t="n"/>
      <c r="C490" s="1" t="n"/>
      <c r="D490" s="1" t="n"/>
      <c r="E490" s="1" t="n"/>
      <c r="F490" s="1" t="n"/>
      <c r="G490" s="1" t="n"/>
      <c r="H490" s="1" t="n"/>
      <c r="I490" s="1" t="n"/>
      <c r="J490" s="1" t="n"/>
      <c r="K490" s="1" t="n"/>
      <c r="L490" s="1" t="n"/>
      <c r="M490" s="1" t="n"/>
    </row>
    <row r="491" ht="15.75" customHeight="1" s="311">
      <c r="A491" s="1" t="n"/>
      <c r="B491" s="1" t="n"/>
      <c r="C491" s="1" t="n"/>
      <c r="D491" s="1" t="n"/>
      <c r="E491" s="1" t="n"/>
      <c r="F491" s="1" t="n"/>
      <c r="G491" s="1" t="n"/>
      <c r="H491" s="1" t="n"/>
      <c r="I491" s="1" t="n"/>
      <c r="J491" s="1" t="n"/>
      <c r="K491" s="1" t="n"/>
      <c r="L491" s="1" t="n"/>
      <c r="M491" s="1" t="n"/>
    </row>
    <row r="492" ht="15.75" customHeight="1" s="311">
      <c r="A492" s="1" t="n"/>
      <c r="B492" s="1" t="n"/>
      <c r="C492" s="1" t="n"/>
      <c r="D492" s="1" t="n"/>
      <c r="E492" s="1" t="n"/>
      <c r="F492" s="1" t="n"/>
      <c r="G492" s="1" t="n"/>
      <c r="H492" s="1" t="n"/>
      <c r="I492" s="1" t="n"/>
      <c r="J492" s="1" t="n"/>
      <c r="K492" s="1" t="n"/>
      <c r="L492" s="1" t="n"/>
      <c r="M492" s="1" t="n"/>
    </row>
    <row r="493" ht="15.75" customHeight="1" s="311">
      <c r="A493" s="1" t="n"/>
      <c r="B493" s="1" t="n"/>
      <c r="C493" s="1" t="n"/>
      <c r="D493" s="1" t="n"/>
      <c r="E493" s="1" t="n"/>
      <c r="F493" s="1" t="n"/>
      <c r="G493" s="1" t="n"/>
      <c r="H493" s="1" t="n"/>
      <c r="I493" s="1" t="n"/>
      <c r="J493" s="1" t="n"/>
      <c r="K493" s="1" t="n"/>
      <c r="L493" s="1" t="n"/>
      <c r="M493" s="1" t="n"/>
    </row>
    <row r="494" ht="15.75" customHeight="1" s="311">
      <c r="A494" s="1" t="n"/>
      <c r="B494" s="1" t="n"/>
      <c r="C494" s="1" t="n"/>
      <c r="D494" s="1" t="n"/>
      <c r="E494" s="1" t="n"/>
      <c r="F494" s="1" t="n"/>
      <c r="G494" s="1" t="n"/>
      <c r="H494" s="1" t="n"/>
      <c r="I494" s="1" t="n"/>
      <c r="J494" s="1" t="n"/>
      <c r="K494" s="1" t="n"/>
      <c r="L494" s="1" t="n"/>
      <c r="M494" s="1" t="n"/>
    </row>
    <row r="495" ht="15.75" customHeight="1" s="311">
      <c r="A495" s="1" t="n"/>
      <c r="B495" s="1" t="n"/>
      <c r="C495" s="1" t="n"/>
      <c r="D495" s="1" t="n"/>
      <c r="E495" s="1" t="n"/>
      <c r="F495" s="1" t="n"/>
      <c r="G495" s="1" t="n"/>
      <c r="H495" s="1" t="n"/>
      <c r="I495" s="1" t="n"/>
      <c r="J495" s="1" t="n"/>
      <c r="K495" s="1" t="n"/>
      <c r="L495" s="1" t="n"/>
      <c r="M495" s="1" t="n"/>
    </row>
    <row r="496" ht="15.75" customHeight="1" s="311">
      <c r="A496" s="1" t="n"/>
      <c r="B496" s="1" t="n"/>
      <c r="C496" s="1" t="n"/>
      <c r="D496" s="1" t="n"/>
      <c r="E496" s="1" t="n"/>
      <c r="F496" s="1" t="n"/>
      <c r="G496" s="1" t="n"/>
      <c r="H496" s="1" t="n"/>
      <c r="I496" s="1" t="n"/>
      <c r="J496" s="1" t="n"/>
      <c r="K496" s="1" t="n"/>
      <c r="L496" s="1" t="n"/>
      <c r="M496" s="1" t="n"/>
    </row>
    <row r="497" ht="15.75" customHeight="1" s="311">
      <c r="A497" s="1" t="n"/>
      <c r="B497" s="1" t="n"/>
      <c r="C497" s="1" t="n"/>
      <c r="D497" s="1" t="n"/>
      <c r="E497" s="1" t="n"/>
      <c r="F497" s="1" t="n"/>
      <c r="G497" s="1" t="n"/>
      <c r="H497" s="1" t="n"/>
      <c r="I497" s="1" t="n"/>
      <c r="J497" s="1" t="n"/>
      <c r="K497" s="1" t="n"/>
      <c r="L497" s="1" t="n"/>
      <c r="M497" s="1" t="n"/>
    </row>
    <row r="498" ht="15.75" customHeight="1" s="311">
      <c r="A498" s="1" t="n"/>
      <c r="B498" s="1" t="n"/>
      <c r="C498" s="1" t="n"/>
      <c r="D498" s="1" t="n"/>
      <c r="E498" s="1" t="n"/>
      <c r="F498" s="1" t="n"/>
      <c r="G498" s="1" t="n"/>
      <c r="H498" s="1" t="n"/>
      <c r="I498" s="1" t="n"/>
      <c r="J498" s="1" t="n"/>
      <c r="K498" s="1" t="n"/>
      <c r="L498" s="1" t="n"/>
      <c r="M498" s="1" t="n"/>
    </row>
    <row r="499" ht="15.75" customHeight="1" s="311">
      <c r="A499" s="1" t="n"/>
      <c r="B499" s="1" t="n"/>
      <c r="C499" s="1" t="n"/>
      <c r="D499" s="1" t="n"/>
      <c r="E499" s="1" t="n"/>
      <c r="F499" s="1" t="n"/>
      <c r="G499" s="1" t="n"/>
      <c r="H499" s="1" t="n"/>
      <c r="I499" s="1" t="n"/>
      <c r="J499" s="1" t="n"/>
      <c r="K499" s="1" t="n"/>
      <c r="L499" s="1" t="n"/>
      <c r="M499" s="1" t="n"/>
    </row>
    <row r="500" ht="15.75" customHeight="1" s="311">
      <c r="A500" s="1" t="n"/>
      <c r="B500" s="1" t="n"/>
      <c r="C500" s="1" t="n"/>
      <c r="D500" s="1" t="n"/>
      <c r="E500" s="1" t="n"/>
      <c r="F500" s="1" t="n"/>
      <c r="G500" s="1" t="n"/>
      <c r="H500" s="1" t="n"/>
      <c r="I500" s="1" t="n"/>
      <c r="J500" s="1" t="n"/>
      <c r="K500" s="1" t="n"/>
      <c r="L500" s="1" t="n"/>
      <c r="M500" s="1" t="n"/>
    </row>
    <row r="501" ht="15.75" customHeight="1" s="311">
      <c r="A501" s="1" t="n"/>
      <c r="B501" s="1" t="n"/>
      <c r="C501" s="1" t="n"/>
      <c r="D501" s="1" t="n"/>
      <c r="E501" s="1" t="n"/>
      <c r="F501" s="1" t="n"/>
      <c r="G501" s="1" t="n"/>
      <c r="H501" s="1" t="n"/>
      <c r="I501" s="1" t="n"/>
      <c r="J501" s="1" t="n"/>
      <c r="K501" s="1" t="n"/>
      <c r="L501" s="1" t="n"/>
      <c r="M501" s="1" t="n"/>
    </row>
    <row r="502" ht="15.75" customHeight="1" s="311">
      <c r="A502" s="1" t="n"/>
      <c r="B502" s="1" t="n"/>
      <c r="C502" s="1" t="n"/>
      <c r="D502" s="1" t="n"/>
      <c r="E502" s="1" t="n"/>
      <c r="F502" s="1" t="n"/>
      <c r="G502" s="1" t="n"/>
      <c r="H502" s="1" t="n"/>
      <c r="I502" s="1" t="n"/>
      <c r="J502" s="1" t="n"/>
      <c r="K502" s="1" t="n"/>
      <c r="L502" s="1" t="n"/>
      <c r="M502" s="1" t="n"/>
    </row>
    <row r="503" ht="15.75" customHeight="1" s="311">
      <c r="A503" s="1" t="n"/>
      <c r="B503" s="1" t="n"/>
      <c r="C503" s="1" t="n"/>
      <c r="D503" s="1" t="n"/>
      <c r="E503" s="1" t="n"/>
      <c r="F503" s="1" t="n"/>
      <c r="G503" s="1" t="n"/>
      <c r="H503" s="1" t="n"/>
      <c r="I503" s="1" t="n"/>
      <c r="J503" s="1" t="n"/>
      <c r="K503" s="1" t="n"/>
      <c r="L503" s="1" t="n"/>
      <c r="M503" s="1" t="n"/>
    </row>
    <row r="504" ht="15.75" customHeight="1" s="311">
      <c r="A504" s="1" t="n"/>
      <c r="B504" s="1" t="n"/>
      <c r="C504" s="1" t="n"/>
      <c r="D504" s="1" t="n"/>
      <c r="E504" s="1" t="n"/>
      <c r="F504" s="1" t="n"/>
      <c r="G504" s="1" t="n"/>
      <c r="H504" s="1" t="n"/>
      <c r="I504" s="1" t="n"/>
      <c r="J504" s="1" t="n"/>
      <c r="K504" s="1" t="n"/>
      <c r="L504" s="1" t="n"/>
      <c r="M504" s="1" t="n"/>
    </row>
    <row r="505" ht="15.75" customHeight="1" s="311">
      <c r="A505" s="1" t="n"/>
      <c r="B505" s="1" t="n"/>
      <c r="C505" s="1" t="n"/>
      <c r="D505" s="1" t="n"/>
      <c r="E505" s="1" t="n"/>
      <c r="F505" s="1" t="n"/>
      <c r="G505" s="1" t="n"/>
      <c r="H505" s="1" t="n"/>
      <c r="I505" s="1" t="n"/>
      <c r="J505" s="1" t="n"/>
      <c r="K505" s="1" t="n"/>
      <c r="L505" s="1" t="n"/>
      <c r="M505" s="1" t="n"/>
    </row>
    <row r="506" ht="15.75" customHeight="1" s="311">
      <c r="A506" s="1" t="n"/>
      <c r="B506" s="1" t="n"/>
      <c r="C506" s="1" t="n"/>
      <c r="D506" s="1" t="n"/>
      <c r="E506" s="1" t="n"/>
      <c r="F506" s="1" t="n"/>
      <c r="G506" s="1" t="n"/>
      <c r="H506" s="1" t="n"/>
      <c r="I506" s="1" t="n"/>
      <c r="J506" s="1" t="n"/>
      <c r="K506" s="1" t="n"/>
      <c r="L506" s="1" t="n"/>
      <c r="M506" s="1" t="n"/>
    </row>
    <row r="507" ht="15.75" customHeight="1" s="311">
      <c r="A507" s="1" t="n"/>
      <c r="B507" s="1" t="n"/>
      <c r="C507" s="1" t="n"/>
      <c r="D507" s="1" t="n"/>
      <c r="E507" s="1" t="n"/>
      <c r="F507" s="1" t="n"/>
      <c r="G507" s="1" t="n"/>
      <c r="H507" s="1" t="n"/>
      <c r="I507" s="1" t="n"/>
      <c r="J507" s="1" t="n"/>
      <c r="K507" s="1" t="n"/>
      <c r="L507" s="1" t="n"/>
      <c r="M507" s="1" t="n"/>
    </row>
    <row r="508" ht="15.75" customHeight="1" s="311">
      <c r="A508" s="1" t="n"/>
      <c r="B508" s="1" t="n"/>
      <c r="C508" s="1" t="n"/>
      <c r="D508" s="1" t="n"/>
      <c r="E508" s="1" t="n"/>
      <c r="F508" s="1" t="n"/>
      <c r="G508" s="1" t="n"/>
      <c r="H508" s="1" t="n"/>
      <c r="I508" s="1" t="n"/>
      <c r="J508" s="1" t="n"/>
      <c r="K508" s="1" t="n"/>
      <c r="L508" s="1" t="n"/>
      <c r="M508" s="1" t="n"/>
    </row>
    <row r="509" ht="15.75" customHeight="1" s="311">
      <c r="A509" s="1" t="n"/>
      <c r="B509" s="1" t="n"/>
      <c r="C509" s="1" t="n"/>
      <c r="D509" s="1" t="n"/>
      <c r="E509" s="1" t="n"/>
      <c r="F509" s="1" t="n"/>
      <c r="G509" s="1" t="n"/>
      <c r="H509" s="1" t="n"/>
      <c r="I509" s="1" t="n"/>
      <c r="J509" s="1" t="n"/>
      <c r="K509" s="1" t="n"/>
      <c r="L509" s="1" t="n"/>
      <c r="M509" s="1" t="n"/>
    </row>
    <row r="510" ht="15.75" customHeight="1" s="311">
      <c r="A510" s="1" t="n"/>
      <c r="B510" s="1" t="n"/>
      <c r="C510" s="1" t="n"/>
      <c r="D510" s="1" t="n"/>
      <c r="E510" s="1" t="n"/>
      <c r="F510" s="1" t="n"/>
      <c r="G510" s="1" t="n"/>
      <c r="H510" s="1" t="n"/>
      <c r="I510" s="1" t="n"/>
      <c r="J510" s="1" t="n"/>
      <c r="K510" s="1" t="n"/>
      <c r="L510" s="1" t="n"/>
      <c r="M510" s="1" t="n"/>
    </row>
    <row r="511" ht="15.75" customHeight="1" s="311">
      <c r="A511" s="1" t="n"/>
      <c r="B511" s="1" t="n"/>
      <c r="C511" s="1" t="n"/>
      <c r="D511" s="1" t="n"/>
      <c r="E511" s="1" t="n"/>
      <c r="F511" s="1" t="n"/>
      <c r="G511" s="1" t="n"/>
      <c r="H511" s="1" t="n"/>
      <c r="I511" s="1" t="n"/>
      <c r="J511" s="1" t="n"/>
      <c r="K511" s="1" t="n"/>
      <c r="L511" s="1" t="n"/>
      <c r="M511" s="1" t="n"/>
    </row>
    <row r="512" ht="15.75" customHeight="1" s="311">
      <c r="A512" s="1" t="n"/>
      <c r="B512" s="1" t="n"/>
      <c r="C512" s="1" t="n"/>
      <c r="D512" s="1" t="n"/>
      <c r="E512" s="1" t="n"/>
      <c r="F512" s="1" t="n"/>
      <c r="G512" s="1" t="n"/>
      <c r="H512" s="1" t="n"/>
      <c r="I512" s="1" t="n"/>
      <c r="J512" s="1" t="n"/>
      <c r="K512" s="1" t="n"/>
      <c r="L512" s="1" t="n"/>
      <c r="M512" s="1" t="n"/>
    </row>
    <row r="513" ht="15.75" customHeight="1" s="311">
      <c r="A513" s="1" t="n"/>
      <c r="B513" s="1" t="n"/>
      <c r="C513" s="1" t="n"/>
      <c r="D513" s="1" t="n"/>
      <c r="E513" s="1" t="n"/>
      <c r="F513" s="1" t="n"/>
      <c r="G513" s="1" t="n"/>
      <c r="H513" s="1" t="n"/>
      <c r="I513" s="1" t="n"/>
      <c r="J513" s="1" t="n"/>
      <c r="K513" s="1" t="n"/>
      <c r="L513" s="1" t="n"/>
      <c r="M513" s="1" t="n"/>
    </row>
    <row r="514" ht="15.75" customHeight="1" s="311">
      <c r="A514" s="1" t="n"/>
      <c r="B514" s="1" t="n"/>
      <c r="C514" s="1" t="n"/>
      <c r="D514" s="1" t="n"/>
      <c r="E514" s="1" t="n"/>
      <c r="F514" s="1" t="n"/>
      <c r="G514" s="1" t="n"/>
      <c r="H514" s="1" t="n"/>
      <c r="I514" s="1" t="n"/>
      <c r="J514" s="1" t="n"/>
      <c r="K514" s="1" t="n"/>
      <c r="L514" s="1" t="n"/>
      <c r="M514" s="1" t="n"/>
    </row>
    <row r="515" ht="15.75" customHeight="1" s="311">
      <c r="A515" s="1" t="n"/>
      <c r="B515" s="1" t="n"/>
      <c r="C515" s="1" t="n"/>
      <c r="D515" s="1" t="n"/>
      <c r="E515" s="1" t="n"/>
      <c r="F515" s="1" t="n"/>
      <c r="G515" s="1" t="n"/>
      <c r="H515" s="1" t="n"/>
      <c r="I515" s="1" t="n"/>
      <c r="J515" s="1" t="n"/>
      <c r="K515" s="1" t="n"/>
      <c r="L515" s="1" t="n"/>
      <c r="M515" s="1" t="n"/>
    </row>
    <row r="516" ht="15.75" customHeight="1" s="311">
      <c r="A516" s="1" t="n"/>
      <c r="B516" s="1" t="n"/>
      <c r="C516" s="1" t="n"/>
      <c r="D516" s="1" t="n"/>
      <c r="E516" s="1" t="n"/>
      <c r="F516" s="1" t="n"/>
      <c r="G516" s="1" t="n"/>
      <c r="H516" s="1" t="n"/>
      <c r="I516" s="1" t="n"/>
      <c r="J516" s="1" t="n"/>
      <c r="K516" s="1" t="n"/>
      <c r="L516" s="1" t="n"/>
      <c r="M516" s="1" t="n"/>
    </row>
    <row r="517" ht="15.75" customHeight="1" s="311">
      <c r="A517" s="1" t="n"/>
      <c r="B517" s="1" t="n"/>
      <c r="C517" s="1" t="n"/>
      <c r="D517" s="1" t="n"/>
      <c r="E517" s="1" t="n"/>
      <c r="F517" s="1" t="n"/>
      <c r="G517" s="1" t="n"/>
      <c r="H517" s="1" t="n"/>
      <c r="I517" s="1" t="n"/>
      <c r="J517" s="1" t="n"/>
      <c r="K517" s="1" t="n"/>
      <c r="L517" s="1" t="n"/>
      <c r="M517" s="1" t="n"/>
    </row>
    <row r="518" ht="15.75" customHeight="1" s="311">
      <c r="A518" s="1" t="n"/>
      <c r="B518" s="1" t="n"/>
      <c r="C518" s="1" t="n"/>
      <c r="D518" s="1" t="n"/>
      <c r="E518" s="1" t="n"/>
      <c r="F518" s="1" t="n"/>
      <c r="G518" s="1" t="n"/>
      <c r="H518" s="1" t="n"/>
      <c r="I518" s="1" t="n"/>
      <c r="J518" s="1" t="n"/>
      <c r="K518" s="1" t="n"/>
      <c r="L518" s="1" t="n"/>
      <c r="M518" s="1" t="n"/>
    </row>
    <row r="519" ht="15.75" customHeight="1" s="311">
      <c r="A519" s="1" t="n"/>
      <c r="B519" s="1" t="n"/>
      <c r="C519" s="1" t="n"/>
      <c r="D519" s="1" t="n"/>
      <c r="E519" s="1" t="n"/>
      <c r="F519" s="1" t="n"/>
      <c r="G519" s="1" t="n"/>
      <c r="H519" s="1" t="n"/>
      <c r="I519" s="1" t="n"/>
      <c r="J519" s="1" t="n"/>
      <c r="K519" s="1" t="n"/>
      <c r="L519" s="1" t="n"/>
      <c r="M519" s="1" t="n"/>
    </row>
    <row r="520" ht="15.75" customHeight="1" s="311">
      <c r="A520" s="1" t="n"/>
      <c r="B520" s="1" t="n"/>
      <c r="C520" s="1" t="n"/>
      <c r="D520" s="1" t="n"/>
      <c r="E520" s="1" t="n"/>
      <c r="F520" s="1" t="n"/>
      <c r="G520" s="1" t="n"/>
      <c r="H520" s="1" t="n"/>
      <c r="I520" s="1" t="n"/>
      <c r="J520" s="1" t="n"/>
      <c r="K520" s="1" t="n"/>
      <c r="L520" s="1" t="n"/>
      <c r="M520" s="1" t="n"/>
    </row>
    <row r="521" ht="15.75" customHeight="1" s="311">
      <c r="A521" s="1" t="n"/>
      <c r="B521" s="1" t="n"/>
      <c r="C521" s="1" t="n"/>
      <c r="D521" s="1" t="n"/>
      <c r="E521" s="1" t="n"/>
      <c r="F521" s="1" t="n"/>
      <c r="G521" s="1" t="n"/>
      <c r="H521" s="1" t="n"/>
      <c r="I521" s="1" t="n"/>
      <c r="J521" s="1" t="n"/>
      <c r="K521" s="1" t="n"/>
      <c r="L521" s="1" t="n"/>
      <c r="M521" s="1" t="n"/>
    </row>
    <row r="522" ht="15.75" customHeight="1" s="311">
      <c r="A522" s="1" t="n"/>
      <c r="B522" s="1" t="n"/>
      <c r="C522" s="1" t="n"/>
      <c r="D522" s="1" t="n"/>
      <c r="E522" s="1" t="n"/>
      <c r="F522" s="1" t="n"/>
      <c r="G522" s="1" t="n"/>
      <c r="H522" s="1" t="n"/>
      <c r="I522" s="1" t="n"/>
      <c r="J522" s="1" t="n"/>
      <c r="K522" s="1" t="n"/>
      <c r="L522" s="1" t="n"/>
      <c r="M522" s="1" t="n"/>
    </row>
    <row r="523" ht="15.75" customHeight="1" s="311">
      <c r="A523" s="1" t="n"/>
      <c r="B523" s="1" t="n"/>
      <c r="C523" s="1" t="n"/>
      <c r="D523" s="1" t="n"/>
      <c r="E523" s="1" t="n"/>
      <c r="F523" s="1" t="n"/>
      <c r="G523" s="1" t="n"/>
      <c r="H523" s="1" t="n"/>
      <c r="I523" s="1" t="n"/>
      <c r="J523" s="1" t="n"/>
      <c r="K523" s="1" t="n"/>
      <c r="L523" s="1" t="n"/>
      <c r="M523" s="1" t="n"/>
    </row>
    <row r="524" ht="15.75" customHeight="1" s="311">
      <c r="A524" s="1" t="n"/>
      <c r="B524" s="1" t="n"/>
      <c r="C524" s="1" t="n"/>
      <c r="D524" s="1" t="n"/>
      <c r="E524" s="1" t="n"/>
      <c r="F524" s="1" t="n"/>
      <c r="G524" s="1" t="n"/>
      <c r="H524" s="1" t="n"/>
      <c r="I524" s="1" t="n"/>
      <c r="J524" s="1" t="n"/>
      <c r="K524" s="1" t="n"/>
      <c r="L524" s="1" t="n"/>
      <c r="M524" s="1" t="n"/>
    </row>
    <row r="525" ht="15.75" customHeight="1" s="311">
      <c r="A525" s="1" t="n"/>
      <c r="B525" s="1" t="n"/>
      <c r="C525" s="1" t="n"/>
      <c r="D525" s="1" t="n"/>
      <c r="E525" s="1" t="n"/>
      <c r="F525" s="1" t="n"/>
      <c r="G525" s="1" t="n"/>
      <c r="H525" s="1" t="n"/>
      <c r="I525" s="1" t="n"/>
      <c r="J525" s="1" t="n"/>
      <c r="K525" s="1" t="n"/>
      <c r="L525" s="1" t="n"/>
      <c r="M525" s="1" t="n"/>
    </row>
    <row r="526" ht="15.75" customHeight="1" s="311">
      <c r="A526" s="1" t="n"/>
      <c r="B526" s="1" t="n"/>
      <c r="C526" s="1" t="n"/>
      <c r="D526" s="1" t="n"/>
      <c r="E526" s="1" t="n"/>
      <c r="F526" s="1" t="n"/>
      <c r="G526" s="1" t="n"/>
      <c r="H526" s="1" t="n"/>
      <c r="I526" s="1" t="n"/>
      <c r="J526" s="1" t="n"/>
      <c r="K526" s="1" t="n"/>
      <c r="L526" s="1" t="n"/>
      <c r="M526" s="1" t="n"/>
    </row>
    <row r="527" ht="15.75" customHeight="1" s="311">
      <c r="A527" s="1" t="n"/>
      <c r="B527" s="1" t="n"/>
      <c r="C527" s="1" t="n"/>
      <c r="D527" s="1" t="n"/>
      <c r="E527" s="1" t="n"/>
      <c r="F527" s="1" t="n"/>
      <c r="G527" s="1" t="n"/>
      <c r="H527" s="1" t="n"/>
      <c r="I527" s="1" t="n"/>
      <c r="J527" s="1" t="n"/>
      <c r="K527" s="1" t="n"/>
      <c r="L527" s="1" t="n"/>
      <c r="M527" s="1" t="n"/>
    </row>
    <row r="528" ht="15.75" customHeight="1" s="311">
      <c r="A528" s="1" t="n"/>
      <c r="B528" s="1" t="n"/>
      <c r="C528" s="1" t="n"/>
      <c r="D528" s="1" t="n"/>
      <c r="E528" s="1" t="n"/>
      <c r="F528" s="1" t="n"/>
      <c r="G528" s="1" t="n"/>
      <c r="H528" s="1" t="n"/>
      <c r="I528" s="1" t="n"/>
      <c r="J528" s="1" t="n"/>
      <c r="K528" s="1" t="n"/>
      <c r="L528" s="1" t="n"/>
      <c r="M528" s="1" t="n"/>
    </row>
    <row r="529" ht="15.75" customHeight="1" s="311">
      <c r="A529" s="1" t="n"/>
      <c r="B529" s="1" t="n"/>
      <c r="C529" s="1" t="n"/>
      <c r="D529" s="1" t="n"/>
      <c r="E529" s="1" t="n"/>
      <c r="F529" s="1" t="n"/>
      <c r="G529" s="1" t="n"/>
      <c r="H529" s="1" t="n"/>
      <c r="I529" s="1" t="n"/>
      <c r="J529" s="1" t="n"/>
      <c r="K529" s="1" t="n"/>
      <c r="L529" s="1" t="n"/>
      <c r="M529" s="1" t="n"/>
    </row>
    <row r="530" ht="15.75" customHeight="1" s="311">
      <c r="A530" s="1" t="n"/>
      <c r="B530" s="1" t="n"/>
      <c r="C530" s="1" t="n"/>
      <c r="D530" s="1" t="n"/>
      <c r="E530" s="1" t="n"/>
      <c r="F530" s="1" t="n"/>
      <c r="G530" s="1" t="n"/>
      <c r="H530" s="1" t="n"/>
      <c r="I530" s="1" t="n"/>
      <c r="J530" s="1" t="n"/>
      <c r="K530" s="1" t="n"/>
      <c r="L530" s="1" t="n"/>
      <c r="M530" s="1" t="n"/>
    </row>
    <row r="531" ht="15.75" customHeight="1" s="311">
      <c r="A531" s="1" t="n"/>
      <c r="B531" s="1" t="n"/>
      <c r="C531" s="1" t="n"/>
      <c r="D531" s="1" t="n"/>
      <c r="E531" s="1" t="n"/>
      <c r="F531" s="1" t="n"/>
      <c r="G531" s="1" t="n"/>
      <c r="H531" s="1" t="n"/>
      <c r="I531" s="1" t="n"/>
      <c r="J531" s="1" t="n"/>
      <c r="K531" s="1" t="n"/>
      <c r="L531" s="1" t="n"/>
      <c r="M531" s="1" t="n"/>
    </row>
    <row r="532" ht="15.75" customHeight="1" s="311">
      <c r="A532" s="1" t="n"/>
      <c r="B532" s="1" t="n"/>
      <c r="C532" s="1" t="n"/>
      <c r="D532" s="1" t="n"/>
      <c r="E532" s="1" t="n"/>
      <c r="F532" s="1" t="n"/>
      <c r="G532" s="1" t="n"/>
      <c r="H532" s="1" t="n"/>
      <c r="I532" s="1" t="n"/>
      <c r="J532" s="1" t="n"/>
      <c r="K532" s="1" t="n"/>
      <c r="L532" s="1" t="n"/>
      <c r="M532" s="1" t="n"/>
    </row>
    <row r="533" ht="15.75" customHeight="1" s="311">
      <c r="A533" s="1" t="n"/>
      <c r="B533" s="1" t="n"/>
      <c r="C533" s="1" t="n"/>
      <c r="D533" s="1" t="n"/>
      <c r="E533" s="1" t="n"/>
      <c r="F533" s="1" t="n"/>
      <c r="G533" s="1" t="n"/>
      <c r="H533" s="1" t="n"/>
      <c r="I533" s="1" t="n"/>
      <c r="J533" s="1" t="n"/>
      <c r="K533" s="1" t="n"/>
      <c r="L533" s="1" t="n"/>
      <c r="M533" s="1" t="n"/>
    </row>
    <row r="534" ht="15.75" customHeight="1" s="311">
      <c r="A534" s="1" t="n"/>
      <c r="B534" s="1" t="n"/>
      <c r="C534" s="1" t="n"/>
      <c r="D534" s="1" t="n"/>
      <c r="E534" s="1" t="n"/>
      <c r="F534" s="1" t="n"/>
      <c r="G534" s="1" t="n"/>
      <c r="H534" s="1" t="n"/>
      <c r="I534" s="1" t="n"/>
      <c r="J534" s="1" t="n"/>
      <c r="K534" s="1" t="n"/>
      <c r="L534" s="1" t="n"/>
      <c r="M534" s="1" t="n"/>
    </row>
    <row r="535" ht="15.75" customHeight="1" s="311">
      <c r="A535" s="1" t="n"/>
      <c r="B535" s="1" t="n"/>
      <c r="C535" s="1" t="n"/>
      <c r="D535" s="1" t="n"/>
      <c r="E535" s="1" t="n"/>
      <c r="F535" s="1" t="n"/>
      <c r="G535" s="1" t="n"/>
      <c r="H535" s="1" t="n"/>
      <c r="I535" s="1" t="n"/>
      <c r="J535" s="1" t="n"/>
      <c r="K535" s="1" t="n"/>
      <c r="L535" s="1" t="n"/>
      <c r="M535" s="1" t="n"/>
    </row>
    <row r="536" ht="15.75" customHeight="1" s="311">
      <c r="A536" s="1" t="n"/>
      <c r="B536" s="1" t="n"/>
      <c r="C536" s="1" t="n"/>
      <c r="D536" s="1" t="n"/>
      <c r="E536" s="1" t="n"/>
      <c r="F536" s="1" t="n"/>
      <c r="G536" s="1" t="n"/>
      <c r="H536" s="1" t="n"/>
      <c r="I536" s="1" t="n"/>
      <c r="J536" s="1" t="n"/>
      <c r="K536" s="1" t="n"/>
      <c r="L536" s="1" t="n"/>
      <c r="M536" s="1" t="n"/>
    </row>
    <row r="537" ht="15.75" customHeight="1" s="311">
      <c r="A537" s="1" t="n"/>
      <c r="B537" s="1" t="n"/>
      <c r="C537" s="1" t="n"/>
      <c r="D537" s="1" t="n"/>
      <c r="E537" s="1" t="n"/>
      <c r="F537" s="1" t="n"/>
      <c r="G537" s="1" t="n"/>
      <c r="H537" s="1" t="n"/>
      <c r="I537" s="1" t="n"/>
      <c r="J537" s="1" t="n"/>
      <c r="K537" s="1" t="n"/>
      <c r="L537" s="1" t="n"/>
      <c r="M537" s="1" t="n"/>
    </row>
    <row r="538" ht="15.75" customHeight="1" s="311">
      <c r="A538" s="1" t="n"/>
      <c r="B538" s="1" t="n"/>
      <c r="C538" s="1" t="n"/>
      <c r="D538" s="1" t="n"/>
      <c r="E538" s="1" t="n"/>
      <c r="F538" s="1" t="n"/>
      <c r="G538" s="1" t="n"/>
      <c r="H538" s="1" t="n"/>
      <c r="I538" s="1" t="n"/>
      <c r="J538" s="1" t="n"/>
      <c r="K538" s="1" t="n"/>
      <c r="L538" s="1" t="n"/>
      <c r="M538" s="1" t="n"/>
    </row>
    <row r="539" ht="15.75" customHeight="1" s="311">
      <c r="A539" s="1" t="n"/>
      <c r="B539" s="1" t="n"/>
      <c r="C539" s="1" t="n"/>
      <c r="D539" s="1" t="n"/>
      <c r="E539" s="1" t="n"/>
      <c r="F539" s="1" t="n"/>
      <c r="G539" s="1" t="n"/>
      <c r="H539" s="1" t="n"/>
      <c r="I539" s="1" t="n"/>
      <c r="J539" s="1" t="n"/>
      <c r="K539" s="1" t="n"/>
      <c r="L539" s="1" t="n"/>
      <c r="M539" s="1" t="n"/>
    </row>
    <row r="540" ht="15.75" customHeight="1" s="311">
      <c r="A540" s="1" t="n"/>
      <c r="B540" s="1" t="n"/>
      <c r="C540" s="1" t="n"/>
      <c r="D540" s="1" t="n"/>
      <c r="E540" s="1" t="n"/>
      <c r="F540" s="1" t="n"/>
      <c r="G540" s="1" t="n"/>
      <c r="H540" s="1" t="n"/>
      <c r="I540" s="1" t="n"/>
      <c r="J540" s="1" t="n"/>
      <c r="K540" s="1" t="n"/>
      <c r="L540" s="1" t="n"/>
      <c r="M540" s="1" t="n"/>
    </row>
    <row r="541" ht="15.75" customHeight="1" s="311">
      <c r="A541" s="1" t="n"/>
      <c r="B541" s="1" t="n"/>
      <c r="C541" s="1" t="n"/>
      <c r="D541" s="1" t="n"/>
      <c r="E541" s="1" t="n"/>
      <c r="F541" s="1" t="n"/>
      <c r="G541" s="1" t="n"/>
      <c r="H541" s="1" t="n"/>
      <c r="I541" s="1" t="n"/>
      <c r="J541" s="1" t="n"/>
      <c r="K541" s="1" t="n"/>
      <c r="L541" s="1" t="n"/>
      <c r="M541" s="1" t="n"/>
    </row>
    <row r="542" ht="15.75" customHeight="1" s="311">
      <c r="A542" s="1" t="n"/>
      <c r="B542" s="1" t="n"/>
      <c r="C542" s="1" t="n"/>
      <c r="D542" s="1" t="n"/>
      <c r="E542" s="1" t="n"/>
      <c r="F542" s="1" t="n"/>
      <c r="G542" s="1" t="n"/>
      <c r="H542" s="1" t="n"/>
      <c r="I542" s="1" t="n"/>
      <c r="J542" s="1" t="n"/>
      <c r="K542" s="1" t="n"/>
      <c r="L542" s="1" t="n"/>
      <c r="M542" s="1" t="n"/>
    </row>
    <row r="543" ht="15.75" customHeight="1" s="311">
      <c r="A543" s="1" t="n"/>
      <c r="B543" s="1" t="n"/>
      <c r="C543" s="1" t="n"/>
      <c r="D543" s="1" t="n"/>
      <c r="E543" s="1" t="n"/>
      <c r="F543" s="1" t="n"/>
      <c r="G543" s="1" t="n"/>
      <c r="H543" s="1" t="n"/>
      <c r="I543" s="1" t="n"/>
      <c r="J543" s="1" t="n"/>
      <c r="K543" s="1" t="n"/>
      <c r="L543" s="1" t="n"/>
      <c r="M543" s="1" t="n"/>
    </row>
    <row r="544" ht="15.75" customHeight="1" s="311">
      <c r="A544" s="1" t="n"/>
      <c r="B544" s="1" t="n"/>
      <c r="C544" s="1" t="n"/>
      <c r="D544" s="1" t="n"/>
      <c r="E544" s="1" t="n"/>
      <c r="F544" s="1" t="n"/>
      <c r="G544" s="1" t="n"/>
      <c r="H544" s="1" t="n"/>
      <c r="I544" s="1" t="n"/>
      <c r="J544" s="1" t="n"/>
      <c r="K544" s="1" t="n"/>
      <c r="L544" s="1" t="n"/>
      <c r="M544" s="1" t="n"/>
    </row>
    <row r="545" ht="15.75" customHeight="1" s="311">
      <c r="A545" s="1" t="n"/>
      <c r="B545" s="1" t="n"/>
      <c r="C545" s="1" t="n"/>
      <c r="D545" s="1" t="n"/>
      <c r="E545" s="1" t="n"/>
      <c r="F545" s="1" t="n"/>
      <c r="G545" s="1" t="n"/>
      <c r="H545" s="1" t="n"/>
      <c r="I545" s="1" t="n"/>
      <c r="J545" s="1" t="n"/>
      <c r="K545" s="1" t="n"/>
      <c r="L545" s="1" t="n"/>
      <c r="M545" s="1" t="n"/>
    </row>
    <row r="546" ht="15.75" customHeight="1" s="311">
      <c r="A546" s="1" t="n"/>
      <c r="B546" s="1" t="n"/>
      <c r="C546" s="1" t="n"/>
      <c r="D546" s="1" t="n"/>
      <c r="E546" s="1" t="n"/>
      <c r="F546" s="1" t="n"/>
      <c r="G546" s="1" t="n"/>
      <c r="H546" s="1" t="n"/>
      <c r="I546" s="1" t="n"/>
      <c r="J546" s="1" t="n"/>
      <c r="K546" s="1" t="n"/>
      <c r="L546" s="1" t="n"/>
      <c r="M546" s="1" t="n"/>
    </row>
    <row r="547" ht="15.75" customHeight="1" s="311">
      <c r="A547" s="1" t="n"/>
      <c r="B547" s="1" t="n"/>
      <c r="C547" s="1" t="n"/>
      <c r="D547" s="1" t="n"/>
      <c r="E547" s="1" t="n"/>
      <c r="F547" s="1" t="n"/>
      <c r="G547" s="1" t="n"/>
      <c r="H547" s="1" t="n"/>
      <c r="I547" s="1" t="n"/>
      <c r="J547" s="1" t="n"/>
      <c r="K547" s="1" t="n"/>
      <c r="L547" s="1" t="n"/>
      <c r="M547" s="1" t="n"/>
    </row>
    <row r="548" ht="15.75" customHeight="1" s="311">
      <c r="A548" s="1" t="n"/>
      <c r="B548" s="1" t="n"/>
      <c r="C548" s="1" t="n"/>
      <c r="D548" s="1" t="n"/>
      <c r="E548" s="1" t="n"/>
      <c r="F548" s="1" t="n"/>
      <c r="G548" s="1" t="n"/>
      <c r="H548" s="1" t="n"/>
      <c r="I548" s="1" t="n"/>
      <c r="J548" s="1" t="n"/>
      <c r="K548" s="1" t="n"/>
      <c r="L548" s="1" t="n"/>
      <c r="M548" s="1" t="n"/>
    </row>
    <row r="549" ht="15.75" customHeight="1" s="311">
      <c r="A549" s="1" t="n"/>
      <c r="B549" s="1" t="n"/>
      <c r="C549" s="1" t="n"/>
      <c r="D549" s="1" t="n"/>
      <c r="E549" s="1" t="n"/>
      <c r="F549" s="1" t="n"/>
      <c r="G549" s="1" t="n"/>
      <c r="H549" s="1" t="n"/>
      <c r="I549" s="1" t="n"/>
      <c r="J549" s="1" t="n"/>
      <c r="K549" s="1" t="n"/>
      <c r="L549" s="1" t="n"/>
      <c r="M549" s="1" t="n"/>
    </row>
    <row r="550" ht="15.75" customHeight="1" s="311">
      <c r="A550" s="1" t="n"/>
      <c r="B550" s="1" t="n"/>
      <c r="C550" s="1" t="n"/>
      <c r="D550" s="1" t="n"/>
      <c r="E550" s="1" t="n"/>
      <c r="F550" s="1" t="n"/>
      <c r="G550" s="1" t="n"/>
      <c r="H550" s="1" t="n"/>
      <c r="I550" s="1" t="n"/>
      <c r="J550" s="1" t="n"/>
      <c r="K550" s="1" t="n"/>
      <c r="L550" s="1" t="n"/>
      <c r="M550" s="1" t="n"/>
    </row>
    <row r="551" ht="15.75" customHeight="1" s="311">
      <c r="A551" s="1" t="n"/>
      <c r="B551" s="1" t="n"/>
      <c r="C551" s="1" t="n"/>
      <c r="D551" s="1" t="n"/>
      <c r="E551" s="1" t="n"/>
      <c r="F551" s="1" t="n"/>
      <c r="G551" s="1" t="n"/>
      <c r="H551" s="1" t="n"/>
      <c r="I551" s="1" t="n"/>
      <c r="J551" s="1" t="n"/>
      <c r="K551" s="1" t="n"/>
      <c r="L551" s="1" t="n"/>
      <c r="M551" s="1" t="n"/>
    </row>
    <row r="552" ht="15.75" customHeight="1" s="311">
      <c r="A552" s="1" t="n"/>
      <c r="B552" s="1" t="n"/>
      <c r="C552" s="1" t="n"/>
      <c r="D552" s="1" t="n"/>
      <c r="E552" s="1" t="n"/>
      <c r="F552" s="1" t="n"/>
      <c r="G552" s="1" t="n"/>
      <c r="H552" s="1" t="n"/>
      <c r="I552" s="1" t="n"/>
      <c r="J552" s="1" t="n"/>
      <c r="K552" s="1" t="n"/>
      <c r="L552" s="1" t="n"/>
      <c r="M552" s="1" t="n"/>
    </row>
    <row r="553" ht="15.75" customHeight="1" s="311">
      <c r="A553" s="1" t="n"/>
      <c r="B553" s="1" t="n"/>
      <c r="C553" s="1" t="n"/>
      <c r="D553" s="1" t="n"/>
      <c r="E553" s="1" t="n"/>
      <c r="F553" s="1" t="n"/>
      <c r="G553" s="1" t="n"/>
      <c r="H553" s="1" t="n"/>
      <c r="I553" s="1" t="n"/>
      <c r="J553" s="1" t="n"/>
      <c r="K553" s="1" t="n"/>
      <c r="L553" s="1" t="n"/>
      <c r="M553" s="1" t="n"/>
    </row>
    <row r="554" ht="15.75" customHeight="1" s="311">
      <c r="A554" s="1" t="n"/>
      <c r="B554" s="1" t="n"/>
      <c r="C554" s="1" t="n"/>
      <c r="D554" s="1" t="n"/>
      <c r="E554" s="1" t="n"/>
      <c r="F554" s="1" t="n"/>
      <c r="G554" s="1" t="n"/>
      <c r="H554" s="1" t="n"/>
      <c r="I554" s="1" t="n"/>
      <c r="J554" s="1" t="n"/>
      <c r="K554" s="1" t="n"/>
      <c r="L554" s="1" t="n"/>
      <c r="M554" s="1" t="n"/>
    </row>
    <row r="555" ht="15.75" customHeight="1" s="311">
      <c r="A555" s="1" t="n"/>
      <c r="B555" s="1" t="n"/>
      <c r="C555" s="1" t="n"/>
      <c r="D555" s="1" t="n"/>
      <c r="E555" s="1" t="n"/>
      <c r="F555" s="1" t="n"/>
      <c r="G555" s="1" t="n"/>
      <c r="H555" s="1" t="n"/>
      <c r="I555" s="1" t="n"/>
      <c r="J555" s="1" t="n"/>
      <c r="K555" s="1" t="n"/>
      <c r="L555" s="1" t="n"/>
      <c r="M555" s="1" t="n"/>
    </row>
    <row r="556" ht="15.75" customHeight="1" s="311">
      <c r="A556" s="1" t="n"/>
      <c r="B556" s="1" t="n"/>
      <c r="C556" s="1" t="n"/>
      <c r="D556" s="1" t="n"/>
      <c r="E556" s="1" t="n"/>
      <c r="F556" s="1" t="n"/>
      <c r="G556" s="1" t="n"/>
      <c r="H556" s="1" t="n"/>
      <c r="I556" s="1" t="n"/>
      <c r="J556" s="1" t="n"/>
      <c r="K556" s="1" t="n"/>
      <c r="L556" s="1" t="n"/>
      <c r="M556" s="1" t="n"/>
    </row>
    <row r="557" ht="15.75" customHeight="1" s="311">
      <c r="A557" s="1" t="n"/>
      <c r="B557" s="1" t="n"/>
      <c r="C557" s="1" t="n"/>
      <c r="D557" s="1" t="n"/>
      <c r="E557" s="1" t="n"/>
      <c r="F557" s="1" t="n"/>
      <c r="G557" s="1" t="n"/>
      <c r="H557" s="1" t="n"/>
      <c r="I557" s="1" t="n"/>
      <c r="J557" s="1" t="n"/>
      <c r="K557" s="1" t="n"/>
      <c r="L557" s="1" t="n"/>
      <c r="M557" s="1" t="n"/>
    </row>
    <row r="558" ht="15.75" customHeight="1" s="311">
      <c r="A558" s="1" t="n"/>
      <c r="B558" s="1" t="n"/>
      <c r="C558" s="1" t="n"/>
      <c r="D558" s="1" t="n"/>
      <c r="E558" s="1" t="n"/>
      <c r="F558" s="1" t="n"/>
      <c r="G558" s="1" t="n"/>
      <c r="H558" s="1" t="n"/>
      <c r="I558" s="1" t="n"/>
      <c r="J558" s="1" t="n"/>
      <c r="K558" s="1" t="n"/>
      <c r="L558" s="1" t="n"/>
      <c r="M558" s="1" t="n"/>
    </row>
    <row r="559" ht="15.75" customHeight="1" s="311">
      <c r="A559" s="1" t="n"/>
      <c r="B559" s="1" t="n"/>
      <c r="C559" s="1" t="n"/>
      <c r="D559" s="1" t="n"/>
      <c r="E559" s="1" t="n"/>
      <c r="F559" s="1" t="n"/>
      <c r="G559" s="1" t="n"/>
      <c r="H559" s="1" t="n"/>
      <c r="I559" s="1" t="n"/>
      <c r="J559" s="1" t="n"/>
      <c r="K559" s="1" t="n"/>
      <c r="L559" s="1" t="n"/>
      <c r="M559" s="1" t="n"/>
    </row>
    <row r="560" ht="15.75" customHeight="1" s="311">
      <c r="A560" s="1" t="n"/>
      <c r="B560" s="1" t="n"/>
      <c r="C560" s="1" t="n"/>
      <c r="D560" s="1" t="n"/>
      <c r="E560" s="1" t="n"/>
      <c r="F560" s="1" t="n"/>
      <c r="G560" s="1" t="n"/>
      <c r="H560" s="1" t="n"/>
      <c r="I560" s="1" t="n"/>
      <c r="J560" s="1" t="n"/>
      <c r="K560" s="1" t="n"/>
      <c r="L560" s="1" t="n"/>
      <c r="M560" s="1" t="n"/>
    </row>
    <row r="561" ht="15.75" customHeight="1" s="311">
      <c r="A561" s="1" t="n"/>
      <c r="B561" s="1" t="n"/>
      <c r="C561" s="1" t="n"/>
      <c r="D561" s="1" t="n"/>
      <c r="E561" s="1" t="n"/>
      <c r="F561" s="1" t="n"/>
      <c r="G561" s="1" t="n"/>
      <c r="H561" s="1" t="n"/>
      <c r="I561" s="1" t="n"/>
      <c r="J561" s="1" t="n"/>
      <c r="K561" s="1" t="n"/>
      <c r="L561" s="1" t="n"/>
      <c r="M561" s="1" t="n"/>
    </row>
    <row r="562" ht="15.75" customHeight="1" s="311">
      <c r="A562" s="1" t="n"/>
      <c r="B562" s="1" t="n"/>
      <c r="C562" s="1" t="n"/>
      <c r="D562" s="1" t="n"/>
      <c r="E562" s="1" t="n"/>
      <c r="F562" s="1" t="n"/>
      <c r="G562" s="1" t="n"/>
      <c r="H562" s="1" t="n"/>
      <c r="I562" s="1" t="n"/>
      <c r="J562" s="1" t="n"/>
      <c r="K562" s="1" t="n"/>
      <c r="L562" s="1" t="n"/>
      <c r="M562" s="1" t="n"/>
    </row>
    <row r="563" ht="15.75" customHeight="1" s="311">
      <c r="A563" s="1" t="n"/>
      <c r="B563" s="1" t="n"/>
      <c r="C563" s="1" t="n"/>
      <c r="D563" s="1" t="n"/>
      <c r="E563" s="1" t="n"/>
      <c r="F563" s="1" t="n"/>
      <c r="G563" s="1" t="n"/>
      <c r="H563" s="1" t="n"/>
      <c r="I563" s="1" t="n"/>
      <c r="J563" s="1" t="n"/>
      <c r="K563" s="1" t="n"/>
      <c r="L563" s="1" t="n"/>
      <c r="M563" s="1" t="n"/>
    </row>
    <row r="564" ht="15.75" customHeight="1" s="311">
      <c r="A564" s="1" t="n"/>
      <c r="B564" s="1" t="n"/>
      <c r="C564" s="1" t="n"/>
      <c r="D564" s="1" t="n"/>
      <c r="E564" s="1" t="n"/>
      <c r="F564" s="1" t="n"/>
      <c r="G564" s="1" t="n"/>
      <c r="H564" s="1" t="n"/>
      <c r="I564" s="1" t="n"/>
      <c r="J564" s="1" t="n"/>
      <c r="K564" s="1" t="n"/>
      <c r="L564" s="1" t="n"/>
      <c r="M564" s="1" t="n"/>
    </row>
    <row r="565" ht="15.75" customHeight="1" s="311">
      <c r="A565" s="1" t="n"/>
      <c r="B565" s="1" t="n"/>
      <c r="C565" s="1" t="n"/>
      <c r="D565" s="1" t="n"/>
      <c r="E565" s="1" t="n"/>
      <c r="F565" s="1" t="n"/>
      <c r="G565" s="1" t="n"/>
      <c r="H565" s="1" t="n"/>
      <c r="I565" s="1" t="n"/>
      <c r="J565" s="1" t="n"/>
      <c r="K565" s="1" t="n"/>
      <c r="L565" s="1" t="n"/>
      <c r="M565" s="1" t="n"/>
    </row>
    <row r="566" ht="15.75" customHeight="1" s="311">
      <c r="A566" s="1" t="n"/>
      <c r="B566" s="1" t="n"/>
      <c r="C566" s="1" t="n"/>
      <c r="D566" s="1" t="n"/>
      <c r="E566" s="1" t="n"/>
      <c r="F566" s="1" t="n"/>
      <c r="G566" s="1" t="n"/>
      <c r="H566" s="1" t="n"/>
      <c r="I566" s="1" t="n"/>
      <c r="J566" s="1" t="n"/>
      <c r="K566" s="1" t="n"/>
      <c r="L566" s="1" t="n"/>
      <c r="M566" s="1" t="n"/>
    </row>
    <row r="567" ht="15.75" customHeight="1" s="311">
      <c r="A567" s="1" t="n"/>
      <c r="B567" s="1" t="n"/>
      <c r="C567" s="1" t="n"/>
      <c r="D567" s="1" t="n"/>
      <c r="E567" s="1" t="n"/>
      <c r="F567" s="1" t="n"/>
      <c r="G567" s="1" t="n"/>
      <c r="H567" s="1" t="n"/>
      <c r="I567" s="1" t="n"/>
      <c r="J567" s="1" t="n"/>
      <c r="K567" s="1" t="n"/>
      <c r="L567" s="1" t="n"/>
      <c r="M567" s="1" t="n"/>
    </row>
    <row r="568" ht="15.75" customHeight="1" s="311">
      <c r="A568" s="1" t="n"/>
      <c r="B568" s="1" t="n"/>
      <c r="C568" s="1" t="n"/>
      <c r="D568" s="1" t="n"/>
      <c r="E568" s="1" t="n"/>
      <c r="F568" s="1" t="n"/>
      <c r="G568" s="1" t="n"/>
      <c r="H568" s="1" t="n"/>
      <c r="I568" s="1" t="n"/>
      <c r="J568" s="1" t="n"/>
      <c r="K568" s="1" t="n"/>
      <c r="L568" s="1" t="n"/>
      <c r="M568" s="1" t="n"/>
    </row>
    <row r="569" ht="15.75" customHeight="1" s="311">
      <c r="A569" s="1" t="n"/>
      <c r="B569" s="1" t="n"/>
      <c r="C569" s="1" t="n"/>
      <c r="D569" s="1" t="n"/>
      <c r="E569" s="1" t="n"/>
      <c r="F569" s="1" t="n"/>
      <c r="G569" s="1" t="n"/>
      <c r="H569" s="1" t="n"/>
      <c r="I569" s="1" t="n"/>
      <c r="J569" s="1" t="n"/>
      <c r="K569" s="1" t="n"/>
      <c r="L569" s="1" t="n"/>
      <c r="M569" s="1" t="n"/>
    </row>
    <row r="570" ht="15.75" customHeight="1" s="311">
      <c r="A570" s="1" t="n"/>
      <c r="B570" s="1" t="n"/>
      <c r="C570" s="1" t="n"/>
      <c r="D570" s="1" t="n"/>
      <c r="E570" s="1" t="n"/>
      <c r="F570" s="1" t="n"/>
      <c r="G570" s="1" t="n"/>
      <c r="H570" s="1" t="n"/>
      <c r="I570" s="1" t="n"/>
      <c r="J570" s="1" t="n"/>
      <c r="K570" s="1" t="n"/>
      <c r="L570" s="1" t="n"/>
      <c r="M570" s="1" t="n"/>
    </row>
    <row r="571" ht="15.75" customHeight="1" s="311">
      <c r="A571" s="1" t="n"/>
      <c r="B571" s="1" t="n"/>
      <c r="C571" s="1" t="n"/>
      <c r="D571" s="1" t="n"/>
      <c r="E571" s="1" t="n"/>
      <c r="F571" s="1" t="n"/>
      <c r="G571" s="1" t="n"/>
      <c r="H571" s="1" t="n"/>
      <c r="I571" s="1" t="n"/>
      <c r="J571" s="1" t="n"/>
      <c r="K571" s="1" t="n"/>
      <c r="L571" s="1" t="n"/>
      <c r="M571" s="1" t="n"/>
    </row>
    <row r="572" ht="15.75" customHeight="1" s="311">
      <c r="A572" s="1" t="n"/>
      <c r="B572" s="1" t="n"/>
      <c r="C572" s="1" t="n"/>
      <c r="D572" s="1" t="n"/>
      <c r="E572" s="1" t="n"/>
      <c r="F572" s="1" t="n"/>
      <c r="G572" s="1" t="n"/>
      <c r="H572" s="1" t="n"/>
      <c r="I572" s="1" t="n"/>
      <c r="J572" s="1" t="n"/>
      <c r="K572" s="1" t="n"/>
      <c r="L572" s="1" t="n"/>
      <c r="M572" s="1" t="n"/>
    </row>
    <row r="573" ht="15.75" customHeight="1" s="311">
      <c r="A573" s="1" t="n"/>
      <c r="B573" s="1" t="n"/>
      <c r="C573" s="1" t="n"/>
      <c r="D573" s="1" t="n"/>
      <c r="E573" s="1" t="n"/>
      <c r="F573" s="1" t="n"/>
      <c r="G573" s="1" t="n"/>
      <c r="H573" s="1" t="n"/>
      <c r="I573" s="1" t="n"/>
      <c r="J573" s="1" t="n"/>
      <c r="K573" s="1" t="n"/>
      <c r="L573" s="1" t="n"/>
      <c r="M573" s="1" t="n"/>
    </row>
    <row r="574" ht="15.75" customHeight="1" s="311">
      <c r="A574" s="1" t="n"/>
      <c r="B574" s="1" t="n"/>
      <c r="C574" s="1" t="n"/>
      <c r="D574" s="1" t="n"/>
      <c r="E574" s="1" t="n"/>
      <c r="F574" s="1" t="n"/>
      <c r="G574" s="1" t="n"/>
      <c r="H574" s="1" t="n"/>
      <c r="I574" s="1" t="n"/>
      <c r="J574" s="1" t="n"/>
      <c r="K574" s="1" t="n"/>
      <c r="L574" s="1" t="n"/>
      <c r="M574" s="1" t="n"/>
    </row>
    <row r="575" ht="15.75" customHeight="1" s="311">
      <c r="A575" s="1" t="n"/>
      <c r="B575" s="1" t="n"/>
      <c r="C575" s="1" t="n"/>
      <c r="D575" s="1" t="n"/>
      <c r="E575" s="1" t="n"/>
      <c r="F575" s="1" t="n"/>
      <c r="G575" s="1" t="n"/>
      <c r="H575" s="1" t="n"/>
      <c r="I575" s="1" t="n"/>
      <c r="J575" s="1" t="n"/>
      <c r="K575" s="1" t="n"/>
      <c r="L575" s="1" t="n"/>
      <c r="M575" s="1" t="n"/>
    </row>
    <row r="576" ht="15.75" customHeight="1" s="311">
      <c r="A576" s="1" t="n"/>
      <c r="B576" s="1" t="n"/>
      <c r="C576" s="1" t="n"/>
      <c r="D576" s="1" t="n"/>
      <c r="E576" s="1" t="n"/>
      <c r="F576" s="1" t="n"/>
      <c r="G576" s="1" t="n"/>
      <c r="H576" s="1" t="n"/>
      <c r="I576" s="1" t="n"/>
      <c r="J576" s="1" t="n"/>
      <c r="K576" s="1" t="n"/>
      <c r="L576" s="1" t="n"/>
      <c r="M576" s="1" t="n"/>
    </row>
    <row r="577" ht="15.75" customHeight="1" s="311">
      <c r="A577" s="1" t="n"/>
      <c r="B577" s="1" t="n"/>
      <c r="C577" s="1" t="n"/>
      <c r="D577" s="1" t="n"/>
      <c r="E577" s="1" t="n"/>
      <c r="F577" s="1" t="n"/>
      <c r="G577" s="1" t="n"/>
      <c r="H577" s="1" t="n"/>
      <c r="I577" s="1" t="n"/>
      <c r="J577" s="1" t="n"/>
      <c r="K577" s="1" t="n"/>
      <c r="L577" s="1" t="n"/>
      <c r="M577" s="1" t="n"/>
    </row>
    <row r="578" ht="15.75" customHeight="1" s="311">
      <c r="A578" s="1" t="n"/>
      <c r="B578" s="1" t="n"/>
      <c r="C578" s="1" t="n"/>
      <c r="D578" s="1" t="n"/>
      <c r="E578" s="1" t="n"/>
      <c r="F578" s="1" t="n"/>
      <c r="G578" s="1" t="n"/>
      <c r="H578" s="1" t="n"/>
      <c r="I578" s="1" t="n"/>
      <c r="J578" s="1" t="n"/>
      <c r="K578" s="1" t="n"/>
      <c r="L578" s="1" t="n"/>
      <c r="M578" s="1" t="n"/>
    </row>
    <row r="579" ht="15.75" customHeight="1" s="311">
      <c r="A579" s="1" t="n"/>
      <c r="B579" s="1" t="n"/>
      <c r="C579" s="1" t="n"/>
      <c r="D579" s="1" t="n"/>
      <c r="E579" s="1" t="n"/>
      <c r="F579" s="1" t="n"/>
      <c r="G579" s="1" t="n"/>
      <c r="H579" s="1" t="n"/>
      <c r="I579" s="1" t="n"/>
      <c r="J579" s="1" t="n"/>
      <c r="K579" s="1" t="n"/>
      <c r="L579" s="1" t="n"/>
      <c r="M579" s="1" t="n"/>
    </row>
    <row r="580" ht="15.75" customHeight="1" s="311">
      <c r="A580" s="1" t="n"/>
      <c r="B580" s="1" t="n"/>
      <c r="C580" s="1" t="n"/>
      <c r="D580" s="1" t="n"/>
      <c r="E580" s="1" t="n"/>
      <c r="F580" s="1" t="n"/>
      <c r="G580" s="1" t="n"/>
      <c r="H580" s="1" t="n"/>
      <c r="I580" s="1" t="n"/>
      <c r="J580" s="1" t="n"/>
      <c r="K580" s="1" t="n"/>
      <c r="L580" s="1" t="n"/>
      <c r="M580" s="1" t="n"/>
    </row>
    <row r="581" ht="15.75" customHeight="1" s="311">
      <c r="A581" s="1" t="n"/>
      <c r="B581" s="1" t="n"/>
      <c r="C581" s="1" t="n"/>
      <c r="D581" s="1" t="n"/>
      <c r="E581" s="1" t="n"/>
      <c r="F581" s="1" t="n"/>
      <c r="G581" s="1" t="n"/>
      <c r="H581" s="1" t="n"/>
      <c r="I581" s="1" t="n"/>
      <c r="J581" s="1" t="n"/>
      <c r="K581" s="1" t="n"/>
      <c r="L581" s="1" t="n"/>
      <c r="M581" s="1" t="n"/>
    </row>
    <row r="582" ht="15.75" customHeight="1" s="311">
      <c r="A582" s="1" t="n"/>
      <c r="B582" s="1" t="n"/>
      <c r="C582" s="1" t="n"/>
      <c r="D582" s="1" t="n"/>
      <c r="E582" s="1" t="n"/>
      <c r="F582" s="1" t="n"/>
      <c r="G582" s="1" t="n"/>
      <c r="H582" s="1" t="n"/>
      <c r="I582" s="1" t="n"/>
      <c r="J582" s="1" t="n"/>
      <c r="K582" s="1" t="n"/>
      <c r="L582" s="1" t="n"/>
      <c r="M582" s="1" t="n"/>
    </row>
    <row r="583" ht="15.75" customHeight="1" s="311">
      <c r="A583" s="1" t="n"/>
      <c r="B583" s="1" t="n"/>
      <c r="C583" s="1" t="n"/>
      <c r="D583" s="1" t="n"/>
      <c r="E583" s="1" t="n"/>
      <c r="F583" s="1" t="n"/>
      <c r="G583" s="1" t="n"/>
      <c r="H583" s="1" t="n"/>
      <c r="I583" s="1" t="n"/>
      <c r="J583" s="1" t="n"/>
      <c r="K583" s="1" t="n"/>
      <c r="L583" s="1" t="n"/>
      <c r="M583" s="1" t="n"/>
    </row>
    <row r="584" ht="15.75" customHeight="1" s="311">
      <c r="A584" s="1" t="n"/>
      <c r="B584" s="1" t="n"/>
      <c r="C584" s="1" t="n"/>
      <c r="D584" s="1" t="n"/>
      <c r="E584" s="1" t="n"/>
      <c r="F584" s="1" t="n"/>
      <c r="G584" s="1" t="n"/>
      <c r="H584" s="1" t="n"/>
      <c r="I584" s="1" t="n"/>
      <c r="J584" s="1" t="n"/>
      <c r="K584" s="1" t="n"/>
      <c r="L584" s="1" t="n"/>
      <c r="M584" s="1" t="n"/>
    </row>
    <row r="585" ht="15.75" customHeight="1" s="311">
      <c r="A585" s="1" t="n"/>
      <c r="B585" s="1" t="n"/>
      <c r="C585" s="1" t="n"/>
      <c r="D585" s="1" t="n"/>
      <c r="E585" s="1" t="n"/>
      <c r="F585" s="1" t="n"/>
      <c r="G585" s="1" t="n"/>
      <c r="H585" s="1" t="n"/>
      <c r="I585" s="1" t="n"/>
      <c r="J585" s="1" t="n"/>
      <c r="K585" s="1" t="n"/>
      <c r="L585" s="1" t="n"/>
      <c r="M585" s="1" t="n"/>
    </row>
    <row r="586" ht="15.75" customHeight="1" s="311">
      <c r="A586" s="1" t="n"/>
      <c r="B586" s="1" t="n"/>
      <c r="C586" s="1" t="n"/>
      <c r="D586" s="1" t="n"/>
      <c r="E586" s="1" t="n"/>
      <c r="F586" s="1" t="n"/>
      <c r="G586" s="1" t="n"/>
      <c r="H586" s="1" t="n"/>
      <c r="I586" s="1" t="n"/>
      <c r="J586" s="1" t="n"/>
      <c r="K586" s="1" t="n"/>
      <c r="L586" s="1" t="n"/>
      <c r="M586" s="1" t="n"/>
    </row>
    <row r="587" ht="15.75" customHeight="1" s="311">
      <c r="A587" s="1" t="n"/>
      <c r="B587" s="1" t="n"/>
      <c r="C587" s="1" t="n"/>
      <c r="D587" s="1" t="n"/>
      <c r="E587" s="1" t="n"/>
      <c r="F587" s="1" t="n"/>
      <c r="G587" s="1" t="n"/>
      <c r="H587" s="1" t="n"/>
      <c r="I587" s="1" t="n"/>
      <c r="J587" s="1" t="n"/>
      <c r="K587" s="1" t="n"/>
      <c r="L587" s="1" t="n"/>
      <c r="M587" s="1" t="n"/>
    </row>
    <row r="588" ht="15.75" customHeight="1" s="311">
      <c r="A588" s="1" t="n"/>
      <c r="B588" s="1" t="n"/>
      <c r="C588" s="1" t="n"/>
      <c r="D588" s="1" t="n"/>
      <c r="E588" s="1" t="n"/>
      <c r="F588" s="1" t="n"/>
      <c r="G588" s="1" t="n"/>
      <c r="H588" s="1" t="n"/>
      <c r="I588" s="1" t="n"/>
      <c r="J588" s="1" t="n"/>
      <c r="K588" s="1" t="n"/>
      <c r="L588" s="1" t="n"/>
      <c r="M588" s="1" t="n"/>
    </row>
    <row r="589" ht="15.75" customHeight="1" s="311">
      <c r="A589" s="1" t="n"/>
      <c r="B589" s="1" t="n"/>
      <c r="C589" s="1" t="n"/>
      <c r="D589" s="1" t="n"/>
      <c r="E589" s="1" t="n"/>
      <c r="F589" s="1" t="n"/>
      <c r="G589" s="1" t="n"/>
      <c r="H589" s="1" t="n"/>
      <c r="I589" s="1" t="n"/>
      <c r="J589" s="1" t="n"/>
      <c r="K589" s="1" t="n"/>
      <c r="L589" s="1" t="n"/>
      <c r="M589" s="1" t="n"/>
    </row>
    <row r="590" ht="15.75" customHeight="1" s="311">
      <c r="A590" s="1" t="n"/>
      <c r="B590" s="1" t="n"/>
      <c r="C590" s="1" t="n"/>
      <c r="D590" s="1" t="n"/>
      <c r="E590" s="1" t="n"/>
      <c r="F590" s="1" t="n"/>
      <c r="G590" s="1" t="n"/>
      <c r="H590" s="1" t="n"/>
      <c r="I590" s="1" t="n"/>
      <c r="J590" s="1" t="n"/>
      <c r="K590" s="1" t="n"/>
      <c r="L590" s="1" t="n"/>
      <c r="M590" s="1" t="n"/>
    </row>
    <row r="591" ht="15.75" customHeight="1" s="311">
      <c r="A591" s="1" t="n"/>
      <c r="B591" s="1" t="n"/>
      <c r="C591" s="1" t="n"/>
      <c r="D591" s="1" t="n"/>
      <c r="E591" s="1" t="n"/>
      <c r="F591" s="1" t="n"/>
      <c r="G591" s="1" t="n"/>
      <c r="H591" s="1" t="n"/>
      <c r="I591" s="1" t="n"/>
      <c r="J591" s="1" t="n"/>
      <c r="K591" s="1" t="n"/>
      <c r="L591" s="1" t="n"/>
      <c r="M591" s="1" t="n"/>
    </row>
    <row r="592" ht="15.75" customHeight="1" s="311">
      <c r="A592" s="1" t="n"/>
      <c r="B592" s="1" t="n"/>
      <c r="C592" s="1" t="n"/>
      <c r="D592" s="1" t="n"/>
      <c r="E592" s="1" t="n"/>
      <c r="F592" s="1" t="n"/>
      <c r="G592" s="1" t="n"/>
      <c r="H592" s="1" t="n"/>
      <c r="I592" s="1" t="n"/>
      <c r="J592" s="1" t="n"/>
      <c r="K592" s="1" t="n"/>
      <c r="L592" s="1" t="n"/>
      <c r="M592" s="1" t="n"/>
    </row>
    <row r="593" ht="15.75" customHeight="1" s="311">
      <c r="A593" s="1" t="n"/>
      <c r="B593" s="1" t="n"/>
      <c r="C593" s="1" t="n"/>
      <c r="D593" s="1" t="n"/>
      <c r="E593" s="1" t="n"/>
      <c r="F593" s="1" t="n"/>
      <c r="G593" s="1" t="n"/>
      <c r="H593" s="1" t="n"/>
      <c r="I593" s="1" t="n"/>
      <c r="J593" s="1" t="n"/>
      <c r="K593" s="1" t="n"/>
      <c r="L593" s="1" t="n"/>
      <c r="M593" s="1" t="n"/>
    </row>
    <row r="594" ht="15.75" customHeight="1" s="311">
      <c r="A594" s="1" t="n"/>
      <c r="B594" s="1" t="n"/>
      <c r="C594" s="1" t="n"/>
      <c r="D594" s="1" t="n"/>
      <c r="E594" s="1" t="n"/>
      <c r="F594" s="1" t="n"/>
      <c r="G594" s="1" t="n"/>
      <c r="H594" s="1" t="n"/>
      <c r="I594" s="1" t="n"/>
      <c r="J594" s="1" t="n"/>
      <c r="K594" s="1" t="n"/>
      <c r="L594" s="1" t="n"/>
      <c r="M594" s="1" t="n"/>
    </row>
    <row r="595" ht="15.75" customHeight="1" s="311">
      <c r="A595" s="1" t="n"/>
      <c r="B595" s="1" t="n"/>
      <c r="C595" s="1" t="n"/>
      <c r="D595" s="1" t="n"/>
      <c r="E595" s="1" t="n"/>
      <c r="F595" s="1" t="n"/>
      <c r="G595" s="1" t="n"/>
      <c r="H595" s="1" t="n"/>
      <c r="I595" s="1" t="n"/>
      <c r="J595" s="1" t="n"/>
      <c r="K595" s="1" t="n"/>
      <c r="L595" s="1" t="n"/>
      <c r="M595" s="1" t="n"/>
    </row>
    <row r="596" ht="15.75" customHeight="1" s="311">
      <c r="A596" s="1" t="n"/>
      <c r="B596" s="1" t="n"/>
      <c r="C596" s="1" t="n"/>
      <c r="D596" s="1" t="n"/>
      <c r="E596" s="1" t="n"/>
      <c r="F596" s="1" t="n"/>
      <c r="G596" s="1" t="n"/>
      <c r="H596" s="1" t="n"/>
      <c r="I596" s="1" t="n"/>
      <c r="J596" s="1" t="n"/>
      <c r="K596" s="1" t="n"/>
      <c r="L596" s="1" t="n"/>
      <c r="M596" s="1" t="n"/>
    </row>
    <row r="597" ht="15.75" customHeight="1" s="311">
      <c r="A597" s="1" t="n"/>
      <c r="B597" s="1" t="n"/>
      <c r="C597" s="1" t="n"/>
      <c r="D597" s="1" t="n"/>
      <c r="E597" s="1" t="n"/>
      <c r="F597" s="1" t="n"/>
      <c r="G597" s="1" t="n"/>
      <c r="H597" s="1" t="n"/>
      <c r="I597" s="1" t="n"/>
      <c r="J597" s="1" t="n"/>
      <c r="K597" s="1" t="n"/>
      <c r="L597" s="1" t="n"/>
      <c r="M597" s="1" t="n"/>
    </row>
    <row r="598" ht="15.75" customHeight="1" s="311">
      <c r="A598" s="1" t="n"/>
      <c r="B598" s="1" t="n"/>
      <c r="C598" s="1" t="n"/>
      <c r="D598" s="1" t="n"/>
      <c r="E598" s="1" t="n"/>
      <c r="F598" s="1" t="n"/>
      <c r="G598" s="1" t="n"/>
      <c r="H598" s="1" t="n"/>
      <c r="I598" s="1" t="n"/>
      <c r="J598" s="1" t="n"/>
      <c r="K598" s="1" t="n"/>
      <c r="L598" s="1" t="n"/>
      <c r="M598" s="1" t="n"/>
    </row>
    <row r="599" ht="15.75" customHeight="1" s="311">
      <c r="A599" s="1" t="n"/>
      <c r="B599" s="1" t="n"/>
      <c r="C599" s="1" t="n"/>
      <c r="D599" s="1" t="n"/>
      <c r="E599" s="1" t="n"/>
      <c r="F599" s="1" t="n"/>
      <c r="G599" s="1" t="n"/>
      <c r="H599" s="1" t="n"/>
      <c r="I599" s="1" t="n"/>
      <c r="J599" s="1" t="n"/>
      <c r="K599" s="1" t="n"/>
      <c r="L599" s="1" t="n"/>
      <c r="M599" s="1" t="n"/>
    </row>
    <row r="600" ht="15.75" customHeight="1" s="311">
      <c r="A600" s="1" t="n"/>
      <c r="B600" s="1" t="n"/>
      <c r="C600" s="1" t="n"/>
      <c r="D600" s="1" t="n"/>
      <c r="E600" s="1" t="n"/>
      <c r="F600" s="1" t="n"/>
      <c r="G600" s="1" t="n"/>
      <c r="H600" s="1" t="n"/>
      <c r="I600" s="1" t="n"/>
      <c r="J600" s="1" t="n"/>
      <c r="K600" s="1" t="n"/>
      <c r="L600" s="1" t="n"/>
      <c r="M600" s="1" t="n"/>
    </row>
    <row r="601" ht="15.75" customHeight="1" s="311">
      <c r="A601" s="1" t="n"/>
      <c r="B601" s="1" t="n"/>
      <c r="C601" s="1" t="n"/>
      <c r="D601" s="1" t="n"/>
      <c r="E601" s="1" t="n"/>
      <c r="F601" s="1" t="n"/>
      <c r="G601" s="1" t="n"/>
      <c r="H601" s="1" t="n"/>
      <c r="I601" s="1" t="n"/>
      <c r="J601" s="1" t="n"/>
      <c r="K601" s="1" t="n"/>
      <c r="L601" s="1" t="n"/>
      <c r="M601" s="1" t="n"/>
    </row>
    <row r="602" ht="15.75" customHeight="1" s="311">
      <c r="A602" s="1" t="n"/>
      <c r="B602" s="1" t="n"/>
      <c r="C602" s="1" t="n"/>
      <c r="D602" s="1" t="n"/>
      <c r="E602" s="1" t="n"/>
      <c r="F602" s="1" t="n"/>
      <c r="G602" s="1" t="n"/>
      <c r="H602" s="1" t="n"/>
      <c r="I602" s="1" t="n"/>
      <c r="J602" s="1" t="n"/>
      <c r="K602" s="1" t="n"/>
      <c r="L602" s="1" t="n"/>
      <c r="M602" s="1" t="n"/>
    </row>
    <row r="603" ht="15.75" customHeight="1" s="311">
      <c r="A603" s="1" t="n"/>
      <c r="B603" s="1" t="n"/>
      <c r="C603" s="1" t="n"/>
      <c r="D603" s="1" t="n"/>
      <c r="E603" s="1" t="n"/>
      <c r="F603" s="1" t="n"/>
      <c r="G603" s="1" t="n"/>
      <c r="H603" s="1" t="n"/>
      <c r="I603" s="1" t="n"/>
      <c r="J603" s="1" t="n"/>
      <c r="K603" s="1" t="n"/>
      <c r="L603" s="1" t="n"/>
      <c r="M603" s="1" t="n"/>
    </row>
    <row r="604" ht="15.75" customHeight="1" s="311">
      <c r="A604" s="1" t="n"/>
      <c r="B604" s="1" t="n"/>
      <c r="C604" s="1" t="n"/>
      <c r="D604" s="1" t="n"/>
      <c r="E604" s="1" t="n"/>
      <c r="F604" s="1" t="n"/>
      <c r="G604" s="1" t="n"/>
      <c r="H604" s="1" t="n"/>
      <c r="I604" s="1" t="n"/>
      <c r="J604" s="1" t="n"/>
      <c r="K604" s="1" t="n"/>
      <c r="L604" s="1" t="n"/>
      <c r="M604" s="1" t="n"/>
    </row>
    <row r="605" ht="15.75" customHeight="1" s="311">
      <c r="A605" s="1" t="n"/>
      <c r="B605" s="1" t="n"/>
      <c r="C605" s="1" t="n"/>
      <c r="D605" s="1" t="n"/>
      <c r="E605" s="1" t="n"/>
      <c r="F605" s="1" t="n"/>
      <c r="G605" s="1" t="n"/>
      <c r="H605" s="1" t="n"/>
      <c r="I605" s="1" t="n"/>
      <c r="J605" s="1" t="n"/>
      <c r="K605" s="1" t="n"/>
      <c r="L605" s="1" t="n"/>
      <c r="M605" s="1" t="n"/>
    </row>
    <row r="606" ht="15.75" customHeight="1" s="311">
      <c r="A606" s="1" t="n"/>
      <c r="B606" s="1" t="n"/>
      <c r="C606" s="1" t="n"/>
      <c r="D606" s="1" t="n"/>
      <c r="E606" s="1" t="n"/>
      <c r="F606" s="1" t="n"/>
      <c r="G606" s="1" t="n"/>
      <c r="H606" s="1" t="n"/>
      <c r="I606" s="1" t="n"/>
      <c r="J606" s="1" t="n"/>
      <c r="K606" s="1" t="n"/>
      <c r="L606" s="1" t="n"/>
      <c r="M606" s="1" t="n"/>
    </row>
    <row r="607" ht="15.75" customHeight="1" s="311">
      <c r="A607" s="1" t="n"/>
      <c r="B607" s="1" t="n"/>
      <c r="C607" s="1" t="n"/>
      <c r="D607" s="1" t="n"/>
      <c r="E607" s="1" t="n"/>
      <c r="F607" s="1" t="n"/>
      <c r="G607" s="1" t="n"/>
      <c r="H607" s="1" t="n"/>
      <c r="I607" s="1" t="n"/>
      <c r="J607" s="1" t="n"/>
      <c r="K607" s="1" t="n"/>
      <c r="L607" s="1" t="n"/>
      <c r="M607" s="1" t="n"/>
    </row>
    <row r="608" ht="15.75" customHeight="1" s="311">
      <c r="A608" s="1" t="n"/>
      <c r="B608" s="1" t="n"/>
      <c r="C608" s="1" t="n"/>
      <c r="D608" s="1" t="n"/>
      <c r="E608" s="1" t="n"/>
      <c r="F608" s="1" t="n"/>
      <c r="G608" s="1" t="n"/>
      <c r="H608" s="1" t="n"/>
      <c r="I608" s="1" t="n"/>
      <c r="J608" s="1" t="n"/>
      <c r="K608" s="1" t="n"/>
      <c r="L608" s="1" t="n"/>
      <c r="M608" s="1" t="n"/>
    </row>
    <row r="609" ht="15.75" customHeight="1" s="311">
      <c r="A609" s="1" t="n"/>
      <c r="B609" s="1" t="n"/>
      <c r="C609" s="1" t="n"/>
      <c r="D609" s="1" t="n"/>
      <c r="E609" s="1" t="n"/>
      <c r="F609" s="1" t="n"/>
      <c r="G609" s="1" t="n"/>
      <c r="H609" s="1" t="n"/>
      <c r="I609" s="1" t="n"/>
      <c r="J609" s="1" t="n"/>
      <c r="K609" s="1" t="n"/>
      <c r="L609" s="1" t="n"/>
      <c r="M609" s="1" t="n"/>
    </row>
    <row r="610" ht="15.75" customHeight="1" s="311">
      <c r="A610" s="1" t="n"/>
      <c r="B610" s="1" t="n"/>
      <c r="C610" s="1" t="n"/>
      <c r="D610" s="1" t="n"/>
      <c r="E610" s="1" t="n"/>
      <c r="F610" s="1" t="n"/>
      <c r="G610" s="1" t="n"/>
      <c r="H610" s="1" t="n"/>
      <c r="I610" s="1" t="n"/>
      <c r="J610" s="1" t="n"/>
      <c r="K610" s="1" t="n"/>
      <c r="L610" s="1" t="n"/>
      <c r="M610" s="1" t="n"/>
    </row>
    <row r="611" ht="15.75" customHeight="1" s="311">
      <c r="A611" s="1" t="n"/>
      <c r="B611" s="1" t="n"/>
      <c r="C611" s="1" t="n"/>
      <c r="D611" s="1" t="n"/>
      <c r="E611" s="1" t="n"/>
      <c r="F611" s="1" t="n"/>
      <c r="G611" s="1" t="n"/>
      <c r="H611" s="1" t="n"/>
      <c r="I611" s="1" t="n"/>
      <c r="J611" s="1" t="n"/>
      <c r="K611" s="1" t="n"/>
      <c r="L611" s="1" t="n"/>
      <c r="M611" s="1" t="n"/>
    </row>
    <row r="612" ht="15.75" customHeight="1" s="311">
      <c r="A612" s="1" t="n"/>
      <c r="B612" s="1" t="n"/>
      <c r="C612" s="1" t="n"/>
      <c r="D612" s="1" t="n"/>
      <c r="E612" s="1" t="n"/>
      <c r="F612" s="1" t="n"/>
      <c r="G612" s="1" t="n"/>
      <c r="H612" s="1" t="n"/>
      <c r="I612" s="1" t="n"/>
      <c r="J612" s="1" t="n"/>
      <c r="K612" s="1" t="n"/>
      <c r="L612" s="1" t="n"/>
      <c r="M612" s="1" t="n"/>
    </row>
    <row r="613" ht="15.75" customHeight="1" s="311">
      <c r="A613" s="1" t="n"/>
      <c r="B613" s="1" t="n"/>
      <c r="C613" s="1" t="n"/>
      <c r="D613" s="1" t="n"/>
      <c r="E613" s="1" t="n"/>
      <c r="F613" s="1" t="n"/>
      <c r="G613" s="1" t="n"/>
      <c r="H613" s="1" t="n"/>
      <c r="I613" s="1" t="n"/>
      <c r="J613" s="1" t="n"/>
      <c r="K613" s="1" t="n"/>
      <c r="L613" s="1" t="n"/>
      <c r="M613" s="1" t="n"/>
    </row>
    <row r="614" ht="15.75" customHeight="1" s="311">
      <c r="A614" s="1" t="n"/>
      <c r="B614" s="1" t="n"/>
      <c r="C614" s="1" t="n"/>
      <c r="D614" s="1" t="n"/>
      <c r="E614" s="1" t="n"/>
      <c r="F614" s="1" t="n"/>
      <c r="G614" s="1" t="n"/>
      <c r="H614" s="1" t="n"/>
      <c r="I614" s="1" t="n"/>
      <c r="J614" s="1" t="n"/>
      <c r="K614" s="1" t="n"/>
      <c r="L614" s="1" t="n"/>
      <c r="M614" s="1" t="n"/>
    </row>
    <row r="615" ht="15.75" customHeight="1" s="311">
      <c r="A615" s="1" t="n"/>
      <c r="B615" s="1" t="n"/>
      <c r="C615" s="1" t="n"/>
      <c r="D615" s="1" t="n"/>
      <c r="E615" s="1" t="n"/>
      <c r="F615" s="1" t="n"/>
      <c r="G615" s="1" t="n"/>
      <c r="H615" s="1" t="n"/>
      <c r="I615" s="1" t="n"/>
      <c r="J615" s="1" t="n"/>
      <c r="K615" s="1" t="n"/>
      <c r="L615" s="1" t="n"/>
      <c r="M615" s="1" t="n"/>
    </row>
    <row r="616" ht="15.75" customHeight="1" s="311">
      <c r="A616" s="1" t="n"/>
      <c r="B616" s="1" t="n"/>
      <c r="C616" s="1" t="n"/>
      <c r="D616" s="1" t="n"/>
      <c r="E616" s="1" t="n"/>
      <c r="F616" s="1" t="n"/>
      <c r="G616" s="1" t="n"/>
      <c r="H616" s="1" t="n"/>
      <c r="I616" s="1" t="n"/>
      <c r="J616" s="1" t="n"/>
      <c r="K616" s="1" t="n"/>
      <c r="L616" s="1" t="n"/>
      <c r="M616" s="1" t="n"/>
    </row>
    <row r="617" ht="15.75" customHeight="1" s="311">
      <c r="A617" s="1" t="n"/>
      <c r="B617" s="1" t="n"/>
      <c r="C617" s="1" t="n"/>
      <c r="D617" s="1" t="n"/>
      <c r="E617" s="1" t="n"/>
      <c r="F617" s="1" t="n"/>
      <c r="G617" s="1" t="n"/>
      <c r="H617" s="1" t="n"/>
      <c r="I617" s="1" t="n"/>
      <c r="J617" s="1" t="n"/>
      <c r="K617" s="1" t="n"/>
      <c r="L617" s="1" t="n"/>
      <c r="M617" s="1" t="n"/>
    </row>
    <row r="618" ht="15.75" customHeight="1" s="311">
      <c r="A618" s="1" t="n"/>
      <c r="B618" s="1" t="n"/>
      <c r="C618" s="1" t="n"/>
      <c r="D618" s="1" t="n"/>
      <c r="E618" s="1" t="n"/>
      <c r="F618" s="1" t="n"/>
      <c r="G618" s="1" t="n"/>
      <c r="H618" s="1" t="n"/>
      <c r="I618" s="1" t="n"/>
      <c r="J618" s="1" t="n"/>
      <c r="K618" s="1" t="n"/>
      <c r="L618" s="1" t="n"/>
      <c r="M618" s="1" t="n"/>
    </row>
    <row r="619" ht="15.75" customHeight="1" s="311">
      <c r="A619" s="1" t="n"/>
      <c r="B619" s="1" t="n"/>
      <c r="C619" s="1" t="n"/>
      <c r="D619" s="1" t="n"/>
      <c r="E619" s="1" t="n"/>
      <c r="F619" s="1" t="n"/>
      <c r="G619" s="1" t="n"/>
      <c r="H619" s="1" t="n"/>
      <c r="I619" s="1" t="n"/>
      <c r="J619" s="1" t="n"/>
      <c r="K619" s="1" t="n"/>
      <c r="L619" s="1" t="n"/>
      <c r="M619" s="1" t="n"/>
    </row>
    <row r="620" ht="15.75" customHeight="1" s="311">
      <c r="A620" s="1" t="n"/>
      <c r="B620" s="1" t="n"/>
      <c r="C620" s="1" t="n"/>
      <c r="D620" s="1" t="n"/>
      <c r="E620" s="1" t="n"/>
      <c r="F620" s="1" t="n"/>
      <c r="G620" s="1" t="n"/>
      <c r="H620" s="1" t="n"/>
      <c r="I620" s="1" t="n"/>
      <c r="J620" s="1" t="n"/>
      <c r="K620" s="1" t="n"/>
      <c r="L620" s="1" t="n"/>
      <c r="M620" s="1" t="n"/>
    </row>
    <row r="621" ht="15.75" customHeight="1" s="311">
      <c r="A621" s="1" t="n"/>
      <c r="B621" s="1" t="n"/>
      <c r="C621" s="1" t="n"/>
      <c r="D621" s="1" t="n"/>
      <c r="E621" s="1" t="n"/>
      <c r="F621" s="1" t="n"/>
      <c r="G621" s="1" t="n"/>
      <c r="H621" s="1" t="n"/>
      <c r="I621" s="1" t="n"/>
      <c r="J621" s="1" t="n"/>
      <c r="K621" s="1" t="n"/>
      <c r="L621" s="1" t="n"/>
      <c r="M621" s="1" t="n"/>
    </row>
    <row r="622" ht="15.75" customHeight="1" s="311">
      <c r="A622" s="1" t="n"/>
      <c r="B622" s="1" t="n"/>
      <c r="C622" s="1" t="n"/>
      <c r="D622" s="1" t="n"/>
      <c r="E622" s="1" t="n"/>
      <c r="F622" s="1" t="n"/>
      <c r="G622" s="1" t="n"/>
      <c r="H622" s="1" t="n"/>
      <c r="I622" s="1" t="n"/>
      <c r="J622" s="1" t="n"/>
      <c r="K622" s="1" t="n"/>
      <c r="L622" s="1" t="n"/>
      <c r="M622" s="1" t="n"/>
    </row>
    <row r="623" ht="15.75" customHeight="1" s="311">
      <c r="A623" s="1" t="n"/>
      <c r="B623" s="1" t="n"/>
      <c r="C623" s="1" t="n"/>
      <c r="D623" s="1" t="n"/>
      <c r="E623" s="1" t="n"/>
      <c r="F623" s="1" t="n"/>
      <c r="G623" s="1" t="n"/>
      <c r="H623" s="1" t="n"/>
      <c r="I623" s="1" t="n"/>
      <c r="J623" s="1" t="n"/>
      <c r="K623" s="1" t="n"/>
      <c r="L623" s="1" t="n"/>
      <c r="M623" s="1" t="n"/>
    </row>
    <row r="624" ht="15.75" customHeight="1" s="311">
      <c r="A624" s="1" t="n"/>
      <c r="B624" s="1" t="n"/>
      <c r="C624" s="1" t="n"/>
      <c r="D624" s="1" t="n"/>
      <c r="E624" s="1" t="n"/>
      <c r="F624" s="1" t="n"/>
      <c r="G624" s="1" t="n"/>
      <c r="H624" s="1" t="n"/>
      <c r="I624" s="1" t="n"/>
      <c r="J624" s="1" t="n"/>
      <c r="K624" s="1" t="n"/>
      <c r="L624" s="1" t="n"/>
      <c r="M624" s="1" t="n"/>
    </row>
    <row r="625" ht="15.75" customHeight="1" s="311">
      <c r="A625" s="1" t="n"/>
      <c r="B625" s="1" t="n"/>
      <c r="C625" s="1" t="n"/>
      <c r="D625" s="1" t="n"/>
      <c r="E625" s="1" t="n"/>
      <c r="F625" s="1" t="n"/>
      <c r="G625" s="1" t="n"/>
      <c r="H625" s="1" t="n"/>
      <c r="I625" s="1" t="n"/>
      <c r="J625" s="1" t="n"/>
      <c r="K625" s="1" t="n"/>
      <c r="L625" s="1" t="n"/>
      <c r="M625" s="1" t="n"/>
    </row>
    <row r="626" ht="15.75" customHeight="1" s="311">
      <c r="A626" s="1" t="n"/>
      <c r="B626" s="1" t="n"/>
      <c r="C626" s="1" t="n"/>
      <c r="D626" s="1" t="n"/>
      <c r="E626" s="1" t="n"/>
      <c r="F626" s="1" t="n"/>
      <c r="G626" s="1" t="n"/>
      <c r="H626" s="1" t="n"/>
      <c r="I626" s="1" t="n"/>
      <c r="J626" s="1" t="n"/>
      <c r="K626" s="1" t="n"/>
      <c r="L626" s="1" t="n"/>
      <c r="M626" s="1" t="n"/>
    </row>
    <row r="627" ht="15.75" customHeight="1" s="311">
      <c r="A627" s="1" t="n"/>
      <c r="B627" s="1" t="n"/>
      <c r="C627" s="1" t="n"/>
      <c r="D627" s="1" t="n"/>
      <c r="E627" s="1" t="n"/>
      <c r="F627" s="1" t="n"/>
      <c r="G627" s="1" t="n"/>
      <c r="H627" s="1" t="n"/>
      <c r="I627" s="1" t="n"/>
      <c r="J627" s="1" t="n"/>
      <c r="K627" s="1" t="n"/>
      <c r="L627" s="1" t="n"/>
      <c r="M627" s="1" t="n"/>
    </row>
    <row r="628" ht="15.75" customHeight="1" s="311">
      <c r="A628" s="1" t="n"/>
      <c r="B628" s="1" t="n"/>
      <c r="C628" s="1" t="n"/>
      <c r="D628" s="1" t="n"/>
      <c r="E628" s="1" t="n"/>
      <c r="F628" s="1" t="n"/>
      <c r="G628" s="1" t="n"/>
      <c r="H628" s="1" t="n"/>
      <c r="I628" s="1" t="n"/>
      <c r="J628" s="1" t="n"/>
      <c r="K628" s="1" t="n"/>
      <c r="L628" s="1" t="n"/>
      <c r="M628" s="1" t="n"/>
    </row>
    <row r="629" ht="15.75" customHeight="1" s="311">
      <c r="A629" s="1" t="n"/>
      <c r="B629" s="1" t="n"/>
      <c r="C629" s="1" t="n"/>
      <c r="D629" s="1" t="n"/>
      <c r="E629" s="1" t="n"/>
      <c r="F629" s="1" t="n"/>
      <c r="G629" s="1" t="n"/>
      <c r="H629" s="1" t="n"/>
      <c r="I629" s="1" t="n"/>
      <c r="J629" s="1" t="n"/>
      <c r="K629" s="1" t="n"/>
      <c r="L629" s="1" t="n"/>
      <c r="M629" s="1" t="n"/>
    </row>
    <row r="630" ht="15.75" customHeight="1" s="311">
      <c r="A630" s="1" t="n"/>
      <c r="B630" s="1" t="n"/>
      <c r="C630" s="1" t="n"/>
      <c r="D630" s="1" t="n"/>
      <c r="E630" s="1" t="n"/>
      <c r="F630" s="1" t="n"/>
      <c r="G630" s="1" t="n"/>
      <c r="H630" s="1" t="n"/>
      <c r="I630" s="1" t="n"/>
      <c r="J630" s="1" t="n"/>
      <c r="K630" s="1" t="n"/>
      <c r="L630" s="1" t="n"/>
      <c r="M630" s="1" t="n"/>
    </row>
    <row r="631" ht="15.75" customHeight="1" s="311">
      <c r="A631" s="1" t="n"/>
      <c r="B631" s="1" t="n"/>
      <c r="C631" s="1" t="n"/>
      <c r="D631" s="1" t="n"/>
      <c r="E631" s="1" t="n"/>
      <c r="F631" s="1" t="n"/>
      <c r="G631" s="1" t="n"/>
      <c r="H631" s="1" t="n"/>
      <c r="I631" s="1" t="n"/>
      <c r="J631" s="1" t="n"/>
      <c r="K631" s="1" t="n"/>
      <c r="L631" s="1" t="n"/>
      <c r="M631" s="1" t="n"/>
    </row>
    <row r="632" ht="15.75" customHeight="1" s="311">
      <c r="A632" s="1" t="n"/>
      <c r="B632" s="1" t="n"/>
      <c r="C632" s="1" t="n"/>
      <c r="D632" s="1" t="n"/>
      <c r="E632" s="1" t="n"/>
      <c r="F632" s="1" t="n"/>
      <c r="G632" s="1" t="n"/>
      <c r="H632" s="1" t="n"/>
      <c r="I632" s="1" t="n"/>
      <c r="J632" s="1" t="n"/>
      <c r="K632" s="1" t="n"/>
      <c r="L632" s="1" t="n"/>
      <c r="M632" s="1" t="n"/>
    </row>
    <row r="633" ht="15.75" customHeight="1" s="311">
      <c r="A633" s="1" t="n"/>
      <c r="B633" s="1" t="n"/>
      <c r="C633" s="1" t="n"/>
      <c r="D633" s="1" t="n"/>
      <c r="E633" s="1" t="n"/>
      <c r="F633" s="1" t="n"/>
      <c r="G633" s="1" t="n"/>
      <c r="H633" s="1" t="n"/>
      <c r="I633" s="1" t="n"/>
      <c r="J633" s="1" t="n"/>
      <c r="K633" s="1" t="n"/>
      <c r="L633" s="1" t="n"/>
      <c r="M633" s="1" t="n"/>
    </row>
    <row r="634" ht="15.75" customHeight="1" s="311">
      <c r="A634" s="1" t="n"/>
      <c r="B634" s="1" t="n"/>
      <c r="C634" s="1" t="n"/>
      <c r="D634" s="1" t="n"/>
      <c r="E634" s="1" t="n"/>
      <c r="F634" s="1" t="n"/>
      <c r="G634" s="1" t="n"/>
      <c r="H634" s="1" t="n"/>
      <c r="I634" s="1" t="n"/>
      <c r="J634" s="1" t="n"/>
      <c r="K634" s="1" t="n"/>
      <c r="L634" s="1" t="n"/>
      <c r="M634" s="1" t="n"/>
    </row>
    <row r="635" ht="15.75" customHeight="1" s="311">
      <c r="A635" s="1" t="n"/>
      <c r="B635" s="1" t="n"/>
      <c r="C635" s="1" t="n"/>
      <c r="D635" s="1" t="n"/>
      <c r="E635" s="1" t="n"/>
      <c r="F635" s="1" t="n"/>
      <c r="G635" s="1" t="n"/>
      <c r="H635" s="1" t="n"/>
      <c r="I635" s="1" t="n"/>
      <c r="J635" s="1" t="n"/>
      <c r="K635" s="1" t="n"/>
      <c r="L635" s="1" t="n"/>
      <c r="M635" s="1" t="n"/>
    </row>
    <row r="636" ht="15.75" customHeight="1" s="311">
      <c r="A636" s="1" t="n"/>
      <c r="B636" s="1" t="n"/>
      <c r="C636" s="1" t="n"/>
      <c r="D636" s="1" t="n"/>
      <c r="E636" s="1" t="n"/>
      <c r="F636" s="1" t="n"/>
      <c r="G636" s="1" t="n"/>
      <c r="H636" s="1" t="n"/>
      <c r="I636" s="1" t="n"/>
      <c r="J636" s="1" t="n"/>
      <c r="K636" s="1" t="n"/>
      <c r="L636" s="1" t="n"/>
      <c r="M636" s="1" t="n"/>
    </row>
    <row r="637" ht="15.75" customHeight="1" s="311">
      <c r="A637" s="1" t="n"/>
      <c r="B637" s="1" t="n"/>
      <c r="C637" s="1" t="n"/>
      <c r="D637" s="1" t="n"/>
      <c r="E637" s="1" t="n"/>
      <c r="F637" s="1" t="n"/>
      <c r="G637" s="1" t="n"/>
      <c r="H637" s="1" t="n"/>
      <c r="I637" s="1" t="n"/>
      <c r="J637" s="1" t="n"/>
      <c r="K637" s="1" t="n"/>
      <c r="L637" s="1" t="n"/>
      <c r="M637" s="1" t="n"/>
    </row>
    <row r="638" ht="15.75" customHeight="1" s="311">
      <c r="A638" s="1" t="n"/>
      <c r="B638" s="1" t="n"/>
      <c r="C638" s="1" t="n"/>
      <c r="D638" s="1" t="n"/>
      <c r="E638" s="1" t="n"/>
      <c r="F638" s="1" t="n"/>
      <c r="G638" s="1" t="n"/>
      <c r="H638" s="1" t="n"/>
      <c r="I638" s="1" t="n"/>
      <c r="J638" s="1" t="n"/>
      <c r="K638" s="1" t="n"/>
      <c r="L638" s="1" t="n"/>
      <c r="M638" s="1" t="n"/>
    </row>
    <row r="639" ht="15.75" customHeight="1" s="311">
      <c r="A639" s="1" t="n"/>
      <c r="B639" s="1" t="n"/>
      <c r="C639" s="1" t="n"/>
      <c r="D639" s="1" t="n"/>
      <c r="E639" s="1" t="n"/>
      <c r="F639" s="1" t="n"/>
      <c r="G639" s="1" t="n"/>
      <c r="H639" s="1" t="n"/>
      <c r="I639" s="1" t="n"/>
      <c r="J639" s="1" t="n"/>
      <c r="K639" s="1" t="n"/>
      <c r="L639" s="1" t="n"/>
      <c r="M639" s="1" t="n"/>
    </row>
    <row r="640" ht="15.75" customHeight="1" s="311">
      <c r="A640" s="1" t="n"/>
      <c r="B640" s="1" t="n"/>
      <c r="C640" s="1" t="n"/>
      <c r="D640" s="1" t="n"/>
      <c r="E640" s="1" t="n"/>
      <c r="F640" s="1" t="n"/>
      <c r="G640" s="1" t="n"/>
      <c r="H640" s="1" t="n"/>
      <c r="I640" s="1" t="n"/>
      <c r="J640" s="1" t="n"/>
      <c r="K640" s="1" t="n"/>
      <c r="L640" s="1" t="n"/>
      <c r="M640" s="1" t="n"/>
    </row>
    <row r="641" ht="15.75" customHeight="1" s="311">
      <c r="A641" s="1" t="n"/>
      <c r="B641" s="1" t="n"/>
      <c r="C641" s="1" t="n"/>
      <c r="D641" s="1" t="n"/>
      <c r="E641" s="1" t="n"/>
      <c r="F641" s="1" t="n"/>
      <c r="G641" s="1" t="n"/>
      <c r="H641" s="1" t="n"/>
      <c r="I641" s="1" t="n"/>
      <c r="J641" s="1" t="n"/>
      <c r="K641" s="1" t="n"/>
      <c r="L641" s="1" t="n"/>
      <c r="M641" s="1" t="n"/>
    </row>
    <row r="642" ht="15.75" customHeight="1" s="311">
      <c r="A642" s="1" t="n"/>
      <c r="B642" s="1" t="n"/>
      <c r="C642" s="1" t="n"/>
      <c r="D642" s="1" t="n"/>
      <c r="E642" s="1" t="n"/>
      <c r="F642" s="1" t="n"/>
      <c r="G642" s="1" t="n"/>
      <c r="H642" s="1" t="n"/>
      <c r="I642" s="1" t="n"/>
      <c r="J642" s="1" t="n"/>
      <c r="K642" s="1" t="n"/>
      <c r="L642" s="1" t="n"/>
      <c r="M642" s="1" t="n"/>
    </row>
    <row r="643" ht="15.75" customHeight="1" s="311">
      <c r="A643" s="1" t="n"/>
      <c r="B643" s="1" t="n"/>
      <c r="C643" s="1" t="n"/>
      <c r="D643" s="1" t="n"/>
      <c r="E643" s="1" t="n"/>
      <c r="F643" s="1" t="n"/>
      <c r="G643" s="1" t="n"/>
      <c r="H643" s="1" t="n"/>
      <c r="I643" s="1" t="n"/>
      <c r="J643" s="1" t="n"/>
      <c r="K643" s="1" t="n"/>
      <c r="L643" s="1" t="n"/>
      <c r="M643" s="1" t="n"/>
    </row>
    <row r="644" ht="15.75" customHeight="1" s="311">
      <c r="A644" s="1" t="n"/>
      <c r="B644" s="1" t="n"/>
      <c r="C644" s="1" t="n"/>
      <c r="D644" s="1" t="n"/>
      <c r="E644" s="1" t="n"/>
      <c r="F644" s="1" t="n"/>
      <c r="G644" s="1" t="n"/>
      <c r="H644" s="1" t="n"/>
      <c r="I644" s="1" t="n"/>
      <c r="J644" s="1" t="n"/>
      <c r="K644" s="1" t="n"/>
      <c r="L644" s="1" t="n"/>
      <c r="M644" s="1" t="n"/>
    </row>
    <row r="645" ht="15.75" customHeight="1" s="311">
      <c r="A645" s="1" t="n"/>
      <c r="B645" s="1" t="n"/>
      <c r="C645" s="1" t="n"/>
      <c r="D645" s="1" t="n"/>
      <c r="E645" s="1" t="n"/>
      <c r="F645" s="1" t="n"/>
      <c r="G645" s="1" t="n"/>
      <c r="H645" s="1" t="n"/>
      <c r="I645" s="1" t="n"/>
      <c r="J645" s="1" t="n"/>
      <c r="K645" s="1" t="n"/>
      <c r="L645" s="1" t="n"/>
      <c r="M645" s="1" t="n"/>
    </row>
    <row r="646" ht="15.75" customHeight="1" s="311">
      <c r="A646" s="1" t="n"/>
      <c r="B646" s="1" t="n"/>
      <c r="C646" s="1" t="n"/>
      <c r="D646" s="1" t="n"/>
      <c r="E646" s="1" t="n"/>
      <c r="F646" s="1" t="n"/>
      <c r="G646" s="1" t="n"/>
      <c r="H646" s="1" t="n"/>
      <c r="I646" s="1" t="n"/>
      <c r="J646" s="1" t="n"/>
      <c r="K646" s="1" t="n"/>
      <c r="L646" s="1" t="n"/>
      <c r="M646" s="1" t="n"/>
    </row>
    <row r="647" ht="15.75" customHeight="1" s="311">
      <c r="A647" s="1" t="n"/>
      <c r="B647" s="1" t="n"/>
      <c r="C647" s="1" t="n"/>
      <c r="D647" s="1" t="n"/>
      <c r="E647" s="1" t="n"/>
      <c r="F647" s="1" t="n"/>
      <c r="G647" s="1" t="n"/>
      <c r="H647" s="1" t="n"/>
      <c r="I647" s="1" t="n"/>
      <c r="J647" s="1" t="n"/>
      <c r="K647" s="1" t="n"/>
      <c r="L647" s="1" t="n"/>
      <c r="M647" s="1" t="n"/>
    </row>
    <row r="648" ht="15.75" customHeight="1" s="311">
      <c r="A648" s="1" t="n"/>
      <c r="B648" s="1" t="n"/>
      <c r="C648" s="1" t="n"/>
      <c r="D648" s="1" t="n"/>
      <c r="E648" s="1" t="n"/>
      <c r="F648" s="1" t="n"/>
      <c r="G648" s="1" t="n"/>
      <c r="H648" s="1" t="n"/>
      <c r="I648" s="1" t="n"/>
      <c r="J648" s="1" t="n"/>
      <c r="K648" s="1" t="n"/>
      <c r="L648" s="1" t="n"/>
      <c r="M648" s="1" t="n"/>
    </row>
    <row r="649" ht="15.75" customHeight="1" s="311">
      <c r="A649" s="1" t="n"/>
      <c r="B649" s="1" t="n"/>
      <c r="C649" s="1" t="n"/>
      <c r="D649" s="1" t="n"/>
      <c r="E649" s="1" t="n"/>
      <c r="F649" s="1" t="n"/>
      <c r="G649" s="1" t="n"/>
      <c r="H649" s="1" t="n"/>
      <c r="I649" s="1" t="n"/>
      <c r="J649" s="1" t="n"/>
      <c r="K649" s="1" t="n"/>
      <c r="L649" s="1" t="n"/>
      <c r="M649" s="1" t="n"/>
    </row>
    <row r="650" ht="15.75" customHeight="1" s="311">
      <c r="A650" s="1" t="n"/>
      <c r="B650" s="1" t="n"/>
      <c r="C650" s="1" t="n"/>
      <c r="D650" s="1" t="n"/>
      <c r="E650" s="1" t="n"/>
      <c r="F650" s="1" t="n"/>
      <c r="G650" s="1" t="n"/>
      <c r="H650" s="1" t="n"/>
      <c r="I650" s="1" t="n"/>
      <c r="J650" s="1" t="n"/>
      <c r="K650" s="1" t="n"/>
      <c r="L650" s="1" t="n"/>
      <c r="M650" s="1" t="n"/>
    </row>
    <row r="651" ht="15.75" customHeight="1" s="311">
      <c r="A651" s="1" t="n"/>
      <c r="B651" s="1" t="n"/>
      <c r="C651" s="1" t="n"/>
      <c r="D651" s="1" t="n"/>
      <c r="E651" s="1" t="n"/>
      <c r="F651" s="1" t="n"/>
      <c r="G651" s="1" t="n"/>
      <c r="H651" s="1" t="n"/>
      <c r="I651" s="1" t="n"/>
      <c r="J651" s="1" t="n"/>
      <c r="K651" s="1" t="n"/>
      <c r="L651" s="1" t="n"/>
      <c r="M651" s="1" t="n"/>
    </row>
    <row r="652" ht="15.75" customHeight="1" s="311">
      <c r="A652" s="1" t="n"/>
      <c r="B652" s="1" t="n"/>
      <c r="C652" s="1" t="n"/>
      <c r="D652" s="1" t="n"/>
      <c r="E652" s="1" t="n"/>
      <c r="F652" s="1" t="n"/>
      <c r="G652" s="1" t="n"/>
      <c r="H652" s="1" t="n"/>
      <c r="I652" s="1" t="n"/>
      <c r="J652" s="1" t="n"/>
      <c r="K652" s="1" t="n"/>
      <c r="L652" s="1" t="n"/>
      <c r="M652" s="1" t="n"/>
    </row>
    <row r="653" ht="15.75" customHeight="1" s="311">
      <c r="A653" s="1" t="n"/>
      <c r="B653" s="1" t="n"/>
      <c r="C653" s="1" t="n"/>
      <c r="D653" s="1" t="n"/>
      <c r="E653" s="1" t="n"/>
      <c r="F653" s="1" t="n"/>
      <c r="G653" s="1" t="n"/>
      <c r="H653" s="1" t="n"/>
      <c r="I653" s="1" t="n"/>
      <c r="J653" s="1" t="n"/>
      <c r="K653" s="1" t="n"/>
      <c r="L653" s="1" t="n"/>
      <c r="M653" s="1" t="n"/>
    </row>
    <row r="654" ht="15.75" customHeight="1" s="311">
      <c r="A654" s="1" t="n"/>
      <c r="B654" s="1" t="n"/>
      <c r="C654" s="1" t="n"/>
      <c r="D654" s="1" t="n"/>
      <c r="E654" s="1" t="n"/>
      <c r="F654" s="1" t="n"/>
      <c r="G654" s="1" t="n"/>
      <c r="H654" s="1" t="n"/>
      <c r="I654" s="1" t="n"/>
      <c r="J654" s="1" t="n"/>
      <c r="K654" s="1" t="n"/>
      <c r="L654" s="1" t="n"/>
      <c r="M654" s="1" t="n"/>
    </row>
    <row r="655" ht="15.75" customHeight="1" s="311">
      <c r="A655" s="1" t="n"/>
      <c r="B655" s="1" t="n"/>
      <c r="C655" s="1" t="n"/>
      <c r="D655" s="1" t="n"/>
      <c r="E655" s="1" t="n"/>
      <c r="F655" s="1" t="n"/>
      <c r="G655" s="1" t="n"/>
      <c r="H655" s="1" t="n"/>
      <c r="I655" s="1" t="n"/>
      <c r="J655" s="1" t="n"/>
      <c r="K655" s="1" t="n"/>
      <c r="L655" s="1" t="n"/>
      <c r="M655" s="1" t="n"/>
    </row>
    <row r="656" ht="15.75" customHeight="1" s="311">
      <c r="A656" s="1" t="n"/>
      <c r="B656" s="1" t="n"/>
      <c r="C656" s="1" t="n"/>
      <c r="D656" s="1" t="n"/>
      <c r="E656" s="1" t="n"/>
      <c r="F656" s="1" t="n"/>
      <c r="G656" s="1" t="n"/>
      <c r="H656" s="1" t="n"/>
      <c r="I656" s="1" t="n"/>
      <c r="J656" s="1" t="n"/>
      <c r="K656" s="1" t="n"/>
      <c r="L656" s="1" t="n"/>
      <c r="M656" s="1" t="n"/>
    </row>
    <row r="657" ht="15.75" customHeight="1" s="311">
      <c r="A657" s="1" t="n"/>
      <c r="B657" s="1" t="n"/>
      <c r="C657" s="1" t="n"/>
      <c r="D657" s="1" t="n"/>
      <c r="E657" s="1" t="n"/>
      <c r="F657" s="1" t="n"/>
      <c r="G657" s="1" t="n"/>
      <c r="H657" s="1" t="n"/>
      <c r="I657" s="1" t="n"/>
      <c r="J657" s="1" t="n"/>
      <c r="K657" s="1" t="n"/>
      <c r="L657" s="1" t="n"/>
      <c r="M657" s="1" t="n"/>
    </row>
    <row r="658" ht="15.75" customHeight="1" s="311">
      <c r="A658" s="1" t="n"/>
      <c r="B658" s="1" t="n"/>
      <c r="C658" s="1" t="n"/>
      <c r="D658" s="1" t="n"/>
      <c r="E658" s="1" t="n"/>
      <c r="F658" s="1" t="n"/>
      <c r="G658" s="1" t="n"/>
      <c r="H658" s="1" t="n"/>
      <c r="I658" s="1" t="n"/>
      <c r="J658" s="1" t="n"/>
      <c r="K658" s="1" t="n"/>
      <c r="L658" s="1" t="n"/>
      <c r="M658" s="1" t="n"/>
    </row>
    <row r="659" ht="15.75" customHeight="1" s="311">
      <c r="A659" s="1" t="n"/>
      <c r="B659" s="1" t="n"/>
      <c r="C659" s="1" t="n"/>
      <c r="D659" s="1" t="n"/>
      <c r="E659" s="1" t="n"/>
      <c r="F659" s="1" t="n"/>
      <c r="G659" s="1" t="n"/>
      <c r="H659" s="1" t="n"/>
      <c r="I659" s="1" t="n"/>
      <c r="J659" s="1" t="n"/>
      <c r="K659" s="1" t="n"/>
      <c r="L659" s="1" t="n"/>
      <c r="M659" s="1" t="n"/>
    </row>
    <row r="660" ht="15.75" customHeight="1" s="311">
      <c r="A660" s="1" t="n"/>
      <c r="B660" s="1" t="n"/>
      <c r="C660" s="1" t="n"/>
      <c r="D660" s="1" t="n"/>
      <c r="E660" s="1" t="n"/>
      <c r="F660" s="1" t="n"/>
      <c r="G660" s="1" t="n"/>
      <c r="H660" s="1" t="n"/>
      <c r="I660" s="1" t="n"/>
      <c r="J660" s="1" t="n"/>
      <c r="K660" s="1" t="n"/>
      <c r="L660" s="1" t="n"/>
      <c r="M660" s="1" t="n"/>
    </row>
    <row r="661" ht="15.75" customHeight="1" s="311">
      <c r="A661" s="1" t="n"/>
      <c r="B661" s="1" t="n"/>
      <c r="C661" s="1" t="n"/>
      <c r="D661" s="1" t="n"/>
      <c r="E661" s="1" t="n"/>
      <c r="F661" s="1" t="n"/>
      <c r="G661" s="1" t="n"/>
      <c r="H661" s="1" t="n"/>
      <c r="I661" s="1" t="n"/>
      <c r="J661" s="1" t="n"/>
      <c r="K661" s="1" t="n"/>
      <c r="L661" s="1" t="n"/>
      <c r="M661" s="1" t="n"/>
    </row>
    <row r="662" ht="15.75" customHeight="1" s="311">
      <c r="A662" s="1" t="n"/>
      <c r="B662" s="1" t="n"/>
      <c r="C662" s="1" t="n"/>
      <c r="D662" s="1" t="n"/>
      <c r="E662" s="1" t="n"/>
      <c r="F662" s="1" t="n"/>
      <c r="G662" s="1" t="n"/>
      <c r="H662" s="1" t="n"/>
      <c r="I662" s="1" t="n"/>
      <c r="J662" s="1" t="n"/>
      <c r="K662" s="1" t="n"/>
      <c r="L662" s="1" t="n"/>
      <c r="M662" s="1" t="n"/>
    </row>
    <row r="663" ht="15.75" customHeight="1" s="311">
      <c r="A663" s="1" t="n"/>
      <c r="B663" s="1" t="n"/>
      <c r="C663" s="1" t="n"/>
      <c r="D663" s="1" t="n"/>
      <c r="E663" s="1" t="n"/>
      <c r="F663" s="1" t="n"/>
      <c r="G663" s="1" t="n"/>
      <c r="H663" s="1" t="n"/>
      <c r="I663" s="1" t="n"/>
      <c r="J663" s="1" t="n"/>
      <c r="K663" s="1" t="n"/>
      <c r="L663" s="1" t="n"/>
      <c r="M663" s="1" t="n"/>
    </row>
    <row r="664" ht="15.75" customHeight="1" s="311">
      <c r="A664" s="1" t="n"/>
      <c r="B664" s="1" t="n"/>
      <c r="C664" s="1" t="n"/>
      <c r="D664" s="1" t="n"/>
      <c r="E664" s="1" t="n"/>
      <c r="F664" s="1" t="n"/>
      <c r="G664" s="1" t="n"/>
      <c r="H664" s="1" t="n"/>
      <c r="I664" s="1" t="n"/>
      <c r="J664" s="1" t="n"/>
      <c r="K664" s="1" t="n"/>
      <c r="L664" s="1" t="n"/>
      <c r="M664" s="1" t="n"/>
    </row>
    <row r="665" ht="15.75" customHeight="1" s="311">
      <c r="A665" s="1" t="n"/>
      <c r="B665" s="1" t="n"/>
      <c r="C665" s="1" t="n"/>
      <c r="D665" s="1" t="n"/>
      <c r="E665" s="1" t="n"/>
      <c r="F665" s="1" t="n"/>
      <c r="G665" s="1" t="n"/>
      <c r="H665" s="1" t="n"/>
      <c r="I665" s="1" t="n"/>
      <c r="J665" s="1" t="n"/>
      <c r="K665" s="1" t="n"/>
      <c r="L665" s="1" t="n"/>
      <c r="M665" s="1" t="n"/>
    </row>
    <row r="666" ht="15.75" customHeight="1" s="311">
      <c r="A666" s="1" t="n"/>
      <c r="B666" s="1" t="n"/>
      <c r="C666" s="1" t="n"/>
      <c r="D666" s="1" t="n"/>
      <c r="E666" s="1" t="n"/>
      <c r="F666" s="1" t="n"/>
      <c r="G666" s="1" t="n"/>
      <c r="H666" s="1" t="n"/>
      <c r="I666" s="1" t="n"/>
      <c r="J666" s="1" t="n"/>
      <c r="K666" s="1" t="n"/>
      <c r="L666" s="1" t="n"/>
      <c r="M666" s="1" t="n"/>
    </row>
    <row r="667" ht="15.75" customHeight="1" s="311">
      <c r="A667" s="1" t="n"/>
      <c r="B667" s="1" t="n"/>
      <c r="C667" s="1" t="n"/>
      <c r="D667" s="1" t="n"/>
      <c r="E667" s="1" t="n"/>
      <c r="F667" s="1" t="n"/>
      <c r="G667" s="1" t="n"/>
      <c r="H667" s="1" t="n"/>
      <c r="I667" s="1" t="n"/>
      <c r="J667" s="1" t="n"/>
      <c r="K667" s="1" t="n"/>
      <c r="L667" s="1" t="n"/>
      <c r="M667" s="1" t="n"/>
    </row>
    <row r="668" ht="15.75" customHeight="1" s="311">
      <c r="A668" s="1" t="n"/>
      <c r="B668" s="1" t="n"/>
      <c r="C668" s="1" t="n"/>
      <c r="D668" s="1" t="n"/>
      <c r="E668" s="1" t="n"/>
      <c r="F668" s="1" t="n"/>
      <c r="G668" s="1" t="n"/>
      <c r="H668" s="1" t="n"/>
      <c r="I668" s="1" t="n"/>
      <c r="J668" s="1" t="n"/>
      <c r="K668" s="1" t="n"/>
      <c r="L668" s="1" t="n"/>
      <c r="M668" s="1" t="n"/>
    </row>
    <row r="669" ht="15.75" customHeight="1" s="311">
      <c r="A669" s="1" t="n"/>
      <c r="B669" s="1" t="n"/>
      <c r="C669" s="1" t="n"/>
      <c r="D669" s="1" t="n"/>
      <c r="E669" s="1" t="n"/>
      <c r="F669" s="1" t="n"/>
      <c r="G669" s="1" t="n"/>
      <c r="H669" s="1" t="n"/>
      <c r="I669" s="1" t="n"/>
      <c r="J669" s="1" t="n"/>
      <c r="K669" s="1" t="n"/>
      <c r="L669" s="1" t="n"/>
      <c r="M669" s="1" t="n"/>
    </row>
    <row r="670" ht="15.75" customHeight="1" s="311">
      <c r="A670" s="1" t="n"/>
      <c r="B670" s="1" t="n"/>
      <c r="C670" s="1" t="n"/>
      <c r="D670" s="1" t="n"/>
      <c r="E670" s="1" t="n"/>
      <c r="F670" s="1" t="n"/>
      <c r="G670" s="1" t="n"/>
      <c r="H670" s="1" t="n"/>
      <c r="I670" s="1" t="n"/>
      <c r="J670" s="1" t="n"/>
      <c r="K670" s="1" t="n"/>
      <c r="L670" s="1" t="n"/>
      <c r="M670" s="1" t="n"/>
    </row>
    <row r="671" ht="15.75" customHeight="1" s="311">
      <c r="A671" s="1" t="n"/>
      <c r="B671" s="1" t="n"/>
      <c r="C671" s="1" t="n"/>
      <c r="D671" s="1" t="n"/>
      <c r="E671" s="1" t="n"/>
      <c r="F671" s="1" t="n"/>
      <c r="G671" s="1" t="n"/>
      <c r="H671" s="1" t="n"/>
      <c r="I671" s="1" t="n"/>
      <c r="J671" s="1" t="n"/>
      <c r="K671" s="1" t="n"/>
      <c r="L671" s="1" t="n"/>
      <c r="M671" s="1" t="n"/>
    </row>
    <row r="672" ht="15.75" customHeight="1" s="311">
      <c r="A672" s="1" t="n"/>
      <c r="B672" s="1" t="n"/>
      <c r="C672" s="1" t="n"/>
      <c r="D672" s="1" t="n"/>
      <c r="E672" s="1" t="n"/>
      <c r="F672" s="1" t="n"/>
      <c r="G672" s="1" t="n"/>
      <c r="H672" s="1" t="n"/>
      <c r="I672" s="1" t="n"/>
      <c r="J672" s="1" t="n"/>
      <c r="K672" s="1" t="n"/>
      <c r="L672" s="1" t="n"/>
      <c r="M672" s="1" t="n"/>
    </row>
    <row r="673" ht="15.75" customHeight="1" s="311">
      <c r="A673" s="1" t="n"/>
      <c r="B673" s="1" t="n"/>
      <c r="C673" s="1" t="n"/>
      <c r="D673" s="1" t="n"/>
      <c r="E673" s="1" t="n"/>
      <c r="F673" s="1" t="n"/>
      <c r="G673" s="1" t="n"/>
      <c r="H673" s="1" t="n"/>
      <c r="I673" s="1" t="n"/>
      <c r="J673" s="1" t="n"/>
      <c r="K673" s="1" t="n"/>
      <c r="L673" s="1" t="n"/>
      <c r="M673" s="1" t="n"/>
    </row>
    <row r="674" ht="15.75" customHeight="1" s="311">
      <c r="A674" s="1" t="n"/>
      <c r="B674" s="1" t="n"/>
      <c r="C674" s="1" t="n"/>
      <c r="D674" s="1" t="n"/>
      <c r="E674" s="1" t="n"/>
      <c r="F674" s="1" t="n"/>
      <c r="G674" s="1" t="n"/>
      <c r="H674" s="1" t="n"/>
      <c r="I674" s="1" t="n"/>
      <c r="J674" s="1" t="n"/>
      <c r="K674" s="1" t="n"/>
      <c r="L674" s="1" t="n"/>
      <c r="M674" s="1" t="n"/>
    </row>
    <row r="675" ht="15.75" customHeight="1" s="311">
      <c r="A675" s="1" t="n"/>
      <c r="B675" s="1" t="n"/>
      <c r="C675" s="1" t="n"/>
      <c r="D675" s="1" t="n"/>
      <c r="E675" s="1" t="n"/>
      <c r="F675" s="1" t="n"/>
      <c r="G675" s="1" t="n"/>
      <c r="H675" s="1" t="n"/>
      <c r="I675" s="1" t="n"/>
      <c r="J675" s="1" t="n"/>
      <c r="K675" s="1" t="n"/>
      <c r="L675" s="1" t="n"/>
      <c r="M675" s="1" t="n"/>
    </row>
    <row r="676" ht="15.75" customHeight="1" s="311">
      <c r="A676" s="1" t="n"/>
      <c r="B676" s="1" t="n"/>
      <c r="C676" s="1" t="n"/>
      <c r="D676" s="1" t="n"/>
      <c r="E676" s="1" t="n"/>
      <c r="F676" s="1" t="n"/>
      <c r="G676" s="1" t="n"/>
      <c r="H676" s="1" t="n"/>
      <c r="I676" s="1" t="n"/>
      <c r="J676" s="1" t="n"/>
      <c r="K676" s="1" t="n"/>
      <c r="L676" s="1" t="n"/>
      <c r="M676" s="1" t="n"/>
    </row>
    <row r="677" ht="15.75" customHeight="1" s="311">
      <c r="A677" s="1" t="n"/>
      <c r="B677" s="1" t="n"/>
      <c r="C677" s="1" t="n"/>
      <c r="D677" s="1" t="n"/>
      <c r="E677" s="1" t="n"/>
      <c r="F677" s="1" t="n"/>
      <c r="G677" s="1" t="n"/>
      <c r="H677" s="1" t="n"/>
      <c r="I677" s="1" t="n"/>
      <c r="J677" s="1" t="n"/>
      <c r="K677" s="1" t="n"/>
      <c r="L677" s="1" t="n"/>
      <c r="M677" s="1" t="n"/>
    </row>
    <row r="678" ht="15.75" customHeight="1" s="311">
      <c r="A678" s="1" t="n"/>
      <c r="B678" s="1" t="n"/>
      <c r="C678" s="1" t="n"/>
      <c r="D678" s="1" t="n"/>
      <c r="E678" s="1" t="n"/>
      <c r="F678" s="1" t="n"/>
      <c r="G678" s="1" t="n"/>
      <c r="H678" s="1" t="n"/>
      <c r="I678" s="1" t="n"/>
      <c r="J678" s="1" t="n"/>
      <c r="K678" s="1" t="n"/>
      <c r="L678" s="1" t="n"/>
      <c r="M678" s="1" t="n"/>
    </row>
    <row r="679" ht="15.75" customHeight="1" s="311">
      <c r="A679" s="1" t="n"/>
      <c r="B679" s="1" t="n"/>
      <c r="C679" s="1" t="n"/>
      <c r="D679" s="1" t="n"/>
      <c r="E679" s="1" t="n"/>
      <c r="F679" s="1" t="n"/>
      <c r="G679" s="1" t="n"/>
      <c r="H679" s="1" t="n"/>
      <c r="I679" s="1" t="n"/>
      <c r="J679" s="1" t="n"/>
      <c r="K679" s="1" t="n"/>
      <c r="L679" s="1" t="n"/>
      <c r="M679" s="1" t="n"/>
    </row>
    <row r="680" ht="15.75" customHeight="1" s="311">
      <c r="A680" s="1" t="n"/>
      <c r="B680" s="1" t="n"/>
      <c r="C680" s="1" t="n"/>
      <c r="D680" s="1" t="n"/>
      <c r="E680" s="1" t="n"/>
      <c r="F680" s="1" t="n"/>
      <c r="G680" s="1" t="n"/>
      <c r="H680" s="1" t="n"/>
      <c r="I680" s="1" t="n"/>
      <c r="J680" s="1" t="n"/>
      <c r="K680" s="1" t="n"/>
      <c r="L680" s="1" t="n"/>
      <c r="M680" s="1" t="n"/>
    </row>
    <row r="681" ht="15.75" customHeight="1" s="311">
      <c r="A681" s="1" t="n"/>
      <c r="B681" s="1" t="n"/>
      <c r="C681" s="1" t="n"/>
      <c r="D681" s="1" t="n"/>
      <c r="E681" s="1" t="n"/>
      <c r="F681" s="1" t="n"/>
      <c r="G681" s="1" t="n"/>
      <c r="H681" s="1" t="n"/>
      <c r="I681" s="1" t="n"/>
      <c r="J681" s="1" t="n"/>
      <c r="K681" s="1" t="n"/>
      <c r="L681" s="1" t="n"/>
      <c r="M681" s="1" t="n"/>
    </row>
    <row r="682" ht="15.75" customHeight="1" s="311">
      <c r="A682" s="1" t="n"/>
      <c r="B682" s="1" t="n"/>
      <c r="C682" s="1" t="n"/>
      <c r="D682" s="1" t="n"/>
      <c r="E682" s="1" t="n"/>
      <c r="F682" s="1" t="n"/>
      <c r="G682" s="1" t="n"/>
      <c r="H682" s="1" t="n"/>
      <c r="I682" s="1" t="n"/>
      <c r="J682" s="1" t="n"/>
      <c r="K682" s="1" t="n"/>
      <c r="L682" s="1" t="n"/>
      <c r="M682" s="1" t="n"/>
    </row>
    <row r="683" ht="15.75" customHeight="1" s="311">
      <c r="A683" s="1" t="n"/>
      <c r="B683" s="1" t="n"/>
      <c r="C683" s="1" t="n"/>
      <c r="D683" s="1" t="n"/>
      <c r="E683" s="1" t="n"/>
      <c r="F683" s="1" t="n"/>
      <c r="G683" s="1" t="n"/>
      <c r="H683" s="1" t="n"/>
      <c r="I683" s="1" t="n"/>
      <c r="J683" s="1" t="n"/>
      <c r="K683" s="1" t="n"/>
      <c r="L683" s="1" t="n"/>
      <c r="M683" s="1" t="n"/>
    </row>
    <row r="684" ht="15.75" customHeight="1" s="311">
      <c r="A684" s="1" t="n"/>
      <c r="B684" s="1" t="n"/>
      <c r="C684" s="1" t="n"/>
      <c r="D684" s="1" t="n"/>
      <c r="E684" s="1" t="n"/>
      <c r="F684" s="1" t="n"/>
      <c r="G684" s="1" t="n"/>
      <c r="H684" s="1" t="n"/>
      <c r="I684" s="1" t="n"/>
      <c r="J684" s="1" t="n"/>
      <c r="K684" s="1" t="n"/>
      <c r="L684" s="1" t="n"/>
      <c r="M684" s="1" t="n"/>
    </row>
    <row r="685" ht="15.75" customHeight="1" s="311">
      <c r="A685" s="1" t="n"/>
      <c r="B685" s="1" t="n"/>
      <c r="C685" s="1" t="n"/>
      <c r="D685" s="1" t="n"/>
      <c r="E685" s="1" t="n"/>
      <c r="F685" s="1" t="n"/>
      <c r="G685" s="1" t="n"/>
      <c r="H685" s="1" t="n"/>
      <c r="I685" s="1" t="n"/>
      <c r="J685" s="1" t="n"/>
      <c r="K685" s="1" t="n"/>
      <c r="L685" s="1" t="n"/>
      <c r="M685" s="1" t="n"/>
    </row>
    <row r="686" ht="15.75" customHeight="1" s="311">
      <c r="A686" s="1" t="n"/>
      <c r="B686" s="1" t="n"/>
      <c r="C686" s="1" t="n"/>
      <c r="D686" s="1" t="n"/>
      <c r="E686" s="1" t="n"/>
      <c r="F686" s="1" t="n"/>
      <c r="G686" s="1" t="n"/>
      <c r="H686" s="1" t="n"/>
      <c r="I686" s="1" t="n"/>
      <c r="J686" s="1" t="n"/>
      <c r="K686" s="1" t="n"/>
      <c r="L686" s="1" t="n"/>
      <c r="M686" s="1" t="n"/>
    </row>
    <row r="687" ht="15.75" customHeight="1" s="311">
      <c r="A687" s="1" t="n"/>
      <c r="B687" s="1" t="n"/>
      <c r="C687" s="1" t="n"/>
      <c r="D687" s="1" t="n"/>
      <c r="E687" s="1" t="n"/>
      <c r="F687" s="1" t="n"/>
      <c r="G687" s="1" t="n"/>
      <c r="H687" s="1" t="n"/>
      <c r="I687" s="1" t="n"/>
      <c r="J687" s="1" t="n"/>
      <c r="K687" s="1" t="n"/>
      <c r="L687" s="1" t="n"/>
      <c r="M687" s="1" t="n"/>
    </row>
    <row r="688" ht="15.75" customHeight="1" s="311">
      <c r="A688" s="1" t="n"/>
      <c r="B688" s="1" t="n"/>
      <c r="C688" s="1" t="n"/>
      <c r="D688" s="1" t="n"/>
      <c r="E688" s="1" t="n"/>
      <c r="F688" s="1" t="n"/>
      <c r="G688" s="1" t="n"/>
      <c r="H688" s="1" t="n"/>
      <c r="I688" s="1" t="n"/>
      <c r="J688" s="1" t="n"/>
      <c r="K688" s="1" t="n"/>
      <c r="L688" s="1" t="n"/>
      <c r="M688" s="1" t="n"/>
    </row>
    <row r="689" ht="15.75" customHeight="1" s="311">
      <c r="A689" s="1" t="n"/>
      <c r="B689" s="1" t="n"/>
      <c r="C689" s="1" t="n"/>
      <c r="D689" s="1" t="n"/>
      <c r="E689" s="1" t="n"/>
      <c r="F689" s="1" t="n"/>
      <c r="G689" s="1" t="n"/>
      <c r="H689" s="1" t="n"/>
      <c r="I689" s="1" t="n"/>
      <c r="J689" s="1" t="n"/>
      <c r="K689" s="1" t="n"/>
      <c r="L689" s="1" t="n"/>
      <c r="M689" s="1" t="n"/>
    </row>
    <row r="690" ht="15.75" customHeight="1" s="311">
      <c r="A690" s="1" t="n"/>
      <c r="B690" s="1" t="n"/>
      <c r="C690" s="1" t="n"/>
      <c r="D690" s="1" t="n"/>
      <c r="E690" s="1" t="n"/>
      <c r="F690" s="1" t="n"/>
      <c r="G690" s="1" t="n"/>
      <c r="H690" s="1" t="n"/>
      <c r="I690" s="1" t="n"/>
      <c r="J690" s="1" t="n"/>
      <c r="K690" s="1" t="n"/>
      <c r="L690" s="1" t="n"/>
      <c r="M690" s="1" t="n"/>
    </row>
    <row r="691" ht="15.75" customHeight="1" s="311">
      <c r="A691" s="1" t="n"/>
      <c r="B691" s="1" t="n"/>
      <c r="C691" s="1" t="n"/>
      <c r="D691" s="1" t="n"/>
      <c r="E691" s="1" t="n"/>
      <c r="F691" s="1" t="n"/>
      <c r="G691" s="1" t="n"/>
      <c r="H691" s="1" t="n"/>
      <c r="I691" s="1" t="n"/>
      <c r="J691" s="1" t="n"/>
      <c r="K691" s="1" t="n"/>
      <c r="L691" s="1" t="n"/>
      <c r="M691" s="1" t="n"/>
    </row>
    <row r="692" ht="15.75" customHeight="1" s="311">
      <c r="A692" s="1" t="n"/>
      <c r="B692" s="1" t="n"/>
      <c r="C692" s="1" t="n"/>
      <c r="D692" s="1" t="n"/>
      <c r="E692" s="1" t="n"/>
      <c r="F692" s="1" t="n"/>
      <c r="G692" s="1" t="n"/>
      <c r="H692" s="1" t="n"/>
      <c r="I692" s="1" t="n"/>
      <c r="J692" s="1" t="n"/>
      <c r="K692" s="1" t="n"/>
      <c r="L692" s="1" t="n"/>
      <c r="M692" s="1" t="n"/>
    </row>
    <row r="693" ht="15.75" customHeight="1" s="311">
      <c r="A693" s="1" t="n"/>
      <c r="B693" s="1" t="n"/>
      <c r="C693" s="1" t="n"/>
      <c r="D693" s="1" t="n"/>
      <c r="E693" s="1" t="n"/>
      <c r="F693" s="1" t="n"/>
      <c r="G693" s="1" t="n"/>
      <c r="H693" s="1" t="n"/>
      <c r="I693" s="1" t="n"/>
      <c r="J693" s="1" t="n"/>
      <c r="K693" s="1" t="n"/>
      <c r="L693" s="1" t="n"/>
      <c r="M693" s="1" t="n"/>
    </row>
    <row r="694" ht="15.75" customHeight="1" s="311">
      <c r="A694" s="1" t="n"/>
      <c r="B694" s="1" t="n"/>
      <c r="C694" s="1" t="n"/>
      <c r="D694" s="1" t="n"/>
      <c r="E694" s="1" t="n"/>
      <c r="F694" s="1" t="n"/>
      <c r="G694" s="1" t="n"/>
      <c r="H694" s="1" t="n"/>
      <c r="I694" s="1" t="n"/>
      <c r="J694" s="1" t="n"/>
      <c r="K694" s="1" t="n"/>
      <c r="L694" s="1" t="n"/>
      <c r="M694" s="1" t="n"/>
    </row>
    <row r="695" ht="15.75" customHeight="1" s="311">
      <c r="A695" s="1" t="n"/>
      <c r="B695" s="1" t="n"/>
      <c r="C695" s="1" t="n"/>
      <c r="D695" s="1" t="n"/>
      <c r="E695" s="1" t="n"/>
      <c r="F695" s="1" t="n"/>
      <c r="G695" s="1" t="n"/>
      <c r="H695" s="1" t="n"/>
      <c r="I695" s="1" t="n"/>
      <c r="J695" s="1" t="n"/>
      <c r="K695" s="1" t="n"/>
      <c r="L695" s="1" t="n"/>
      <c r="M695" s="1" t="n"/>
    </row>
    <row r="696" ht="15.75" customHeight="1" s="311">
      <c r="A696" s="1" t="n"/>
      <c r="B696" s="1" t="n"/>
      <c r="C696" s="1" t="n"/>
      <c r="D696" s="1" t="n"/>
      <c r="E696" s="1" t="n"/>
      <c r="F696" s="1" t="n"/>
      <c r="G696" s="1" t="n"/>
      <c r="H696" s="1" t="n"/>
      <c r="I696" s="1" t="n"/>
      <c r="J696" s="1" t="n"/>
      <c r="K696" s="1" t="n"/>
      <c r="L696" s="1" t="n"/>
      <c r="M696" s="1" t="n"/>
    </row>
    <row r="697" ht="15.75" customHeight="1" s="311">
      <c r="A697" s="1" t="n"/>
      <c r="B697" s="1" t="n"/>
      <c r="C697" s="1" t="n"/>
      <c r="D697" s="1" t="n"/>
      <c r="E697" s="1" t="n"/>
      <c r="F697" s="1" t="n"/>
      <c r="G697" s="1" t="n"/>
      <c r="H697" s="1" t="n"/>
      <c r="I697" s="1" t="n"/>
      <c r="J697" s="1" t="n"/>
      <c r="K697" s="1" t="n"/>
      <c r="L697" s="1" t="n"/>
      <c r="M697" s="1" t="n"/>
    </row>
    <row r="698" ht="15.75" customHeight="1" s="311">
      <c r="A698" s="1" t="n"/>
      <c r="B698" s="1" t="n"/>
      <c r="C698" s="1" t="n"/>
      <c r="D698" s="1" t="n"/>
      <c r="E698" s="1" t="n"/>
      <c r="F698" s="1" t="n"/>
      <c r="G698" s="1" t="n"/>
      <c r="H698" s="1" t="n"/>
      <c r="I698" s="1" t="n"/>
      <c r="J698" s="1" t="n"/>
      <c r="K698" s="1" t="n"/>
      <c r="L698" s="1" t="n"/>
      <c r="M698" s="1" t="n"/>
    </row>
    <row r="699" ht="15.75" customHeight="1" s="311">
      <c r="A699" s="1" t="n"/>
      <c r="B699" s="1" t="n"/>
      <c r="C699" s="1" t="n"/>
      <c r="D699" s="1" t="n"/>
      <c r="E699" s="1" t="n"/>
      <c r="F699" s="1" t="n"/>
      <c r="G699" s="1" t="n"/>
      <c r="H699" s="1" t="n"/>
      <c r="I699" s="1" t="n"/>
      <c r="J699" s="1" t="n"/>
      <c r="K699" s="1" t="n"/>
      <c r="L699" s="1" t="n"/>
      <c r="M699" s="1" t="n"/>
    </row>
    <row r="700" ht="15.75" customHeight="1" s="311">
      <c r="A700" s="1" t="n"/>
      <c r="B700" s="1" t="n"/>
      <c r="C700" s="1" t="n"/>
      <c r="D700" s="1" t="n"/>
      <c r="E700" s="1" t="n"/>
      <c r="F700" s="1" t="n"/>
      <c r="G700" s="1" t="n"/>
      <c r="H700" s="1" t="n"/>
      <c r="I700" s="1" t="n"/>
      <c r="J700" s="1" t="n"/>
      <c r="K700" s="1" t="n"/>
      <c r="L700" s="1" t="n"/>
      <c r="M700" s="1" t="n"/>
    </row>
    <row r="701" ht="15.75" customHeight="1" s="311">
      <c r="A701" s="1" t="n"/>
      <c r="B701" s="1" t="n"/>
      <c r="C701" s="1" t="n"/>
      <c r="D701" s="1" t="n"/>
      <c r="E701" s="1" t="n"/>
      <c r="F701" s="1" t="n"/>
      <c r="G701" s="1" t="n"/>
      <c r="H701" s="1" t="n"/>
      <c r="I701" s="1" t="n"/>
      <c r="J701" s="1" t="n"/>
      <c r="K701" s="1" t="n"/>
      <c r="L701" s="1" t="n"/>
      <c r="M701" s="1" t="n"/>
    </row>
    <row r="702" ht="15.75" customHeight="1" s="311">
      <c r="A702" s="1" t="n"/>
      <c r="B702" s="1" t="n"/>
      <c r="C702" s="1" t="n"/>
      <c r="D702" s="1" t="n"/>
      <c r="E702" s="1" t="n"/>
      <c r="F702" s="1" t="n"/>
      <c r="G702" s="1" t="n"/>
      <c r="H702" s="1" t="n"/>
      <c r="I702" s="1" t="n"/>
      <c r="J702" s="1" t="n"/>
      <c r="K702" s="1" t="n"/>
      <c r="L702" s="1" t="n"/>
      <c r="M702" s="1" t="n"/>
    </row>
    <row r="703" ht="15.75" customHeight="1" s="311">
      <c r="A703" s="1" t="n"/>
      <c r="B703" s="1" t="n"/>
      <c r="C703" s="1" t="n"/>
      <c r="D703" s="1" t="n"/>
      <c r="E703" s="1" t="n"/>
      <c r="F703" s="1" t="n"/>
      <c r="G703" s="1" t="n"/>
      <c r="H703" s="1" t="n"/>
      <c r="I703" s="1" t="n"/>
      <c r="J703" s="1" t="n"/>
      <c r="K703" s="1" t="n"/>
      <c r="L703" s="1" t="n"/>
      <c r="M703" s="1" t="n"/>
    </row>
    <row r="704" ht="15.75" customHeight="1" s="311">
      <c r="A704" s="1" t="n"/>
      <c r="B704" s="1" t="n"/>
      <c r="C704" s="1" t="n"/>
      <c r="D704" s="1" t="n"/>
      <c r="E704" s="1" t="n"/>
      <c r="F704" s="1" t="n"/>
      <c r="G704" s="1" t="n"/>
      <c r="H704" s="1" t="n"/>
      <c r="I704" s="1" t="n"/>
      <c r="J704" s="1" t="n"/>
      <c r="K704" s="1" t="n"/>
      <c r="L704" s="1" t="n"/>
      <c r="M704" s="1" t="n"/>
    </row>
    <row r="705" ht="15.75" customHeight="1" s="311">
      <c r="A705" s="1" t="n"/>
      <c r="B705" s="1" t="n"/>
      <c r="C705" s="1" t="n"/>
      <c r="D705" s="1" t="n"/>
      <c r="E705" s="1" t="n"/>
      <c r="F705" s="1" t="n"/>
      <c r="G705" s="1" t="n"/>
      <c r="H705" s="1" t="n"/>
      <c r="I705" s="1" t="n"/>
      <c r="J705" s="1" t="n"/>
      <c r="K705" s="1" t="n"/>
      <c r="L705" s="1" t="n"/>
      <c r="M705" s="1" t="n"/>
    </row>
    <row r="706" ht="15.75" customHeight="1" s="311">
      <c r="A706" s="1" t="n"/>
      <c r="B706" s="1" t="n"/>
      <c r="C706" s="1" t="n"/>
      <c r="D706" s="1" t="n"/>
      <c r="E706" s="1" t="n"/>
      <c r="F706" s="1" t="n"/>
      <c r="G706" s="1" t="n"/>
      <c r="H706" s="1" t="n"/>
      <c r="I706" s="1" t="n"/>
      <c r="J706" s="1" t="n"/>
      <c r="K706" s="1" t="n"/>
      <c r="L706" s="1" t="n"/>
      <c r="M706" s="1" t="n"/>
    </row>
    <row r="707" ht="15.75" customHeight="1" s="311">
      <c r="A707" s="1" t="n"/>
      <c r="B707" s="1" t="n"/>
      <c r="C707" s="1" t="n"/>
      <c r="D707" s="1" t="n"/>
      <c r="E707" s="1" t="n"/>
      <c r="F707" s="1" t="n"/>
      <c r="G707" s="1" t="n"/>
      <c r="H707" s="1" t="n"/>
      <c r="I707" s="1" t="n"/>
      <c r="J707" s="1" t="n"/>
      <c r="K707" s="1" t="n"/>
      <c r="L707" s="1" t="n"/>
      <c r="M707" s="1" t="n"/>
    </row>
    <row r="708" ht="15.75" customHeight="1" s="311">
      <c r="A708" s="1" t="n"/>
      <c r="B708" s="1" t="n"/>
      <c r="C708" s="1" t="n"/>
      <c r="D708" s="1" t="n"/>
      <c r="E708" s="1" t="n"/>
      <c r="F708" s="1" t="n"/>
      <c r="G708" s="1" t="n"/>
      <c r="H708" s="1" t="n"/>
      <c r="I708" s="1" t="n"/>
      <c r="J708" s="1" t="n"/>
      <c r="K708" s="1" t="n"/>
      <c r="L708" s="1" t="n"/>
      <c r="M708" s="1" t="n"/>
    </row>
    <row r="709" ht="15.75" customHeight="1" s="311">
      <c r="A709" s="1" t="n"/>
      <c r="B709" s="1" t="n"/>
      <c r="C709" s="1" t="n"/>
      <c r="D709" s="1" t="n"/>
      <c r="E709" s="1" t="n"/>
      <c r="F709" s="1" t="n"/>
      <c r="G709" s="1" t="n"/>
      <c r="H709" s="1" t="n"/>
      <c r="I709" s="1" t="n"/>
      <c r="J709" s="1" t="n"/>
      <c r="K709" s="1" t="n"/>
      <c r="L709" s="1" t="n"/>
      <c r="M709" s="1" t="n"/>
    </row>
    <row r="710" ht="15.75" customHeight="1" s="311">
      <c r="A710" s="1" t="n"/>
      <c r="B710" s="1" t="n"/>
      <c r="C710" s="1" t="n"/>
      <c r="D710" s="1" t="n"/>
      <c r="E710" s="1" t="n"/>
      <c r="F710" s="1" t="n"/>
      <c r="G710" s="1" t="n"/>
      <c r="H710" s="1" t="n"/>
      <c r="I710" s="1" t="n"/>
      <c r="J710" s="1" t="n"/>
      <c r="K710" s="1" t="n"/>
      <c r="L710" s="1" t="n"/>
      <c r="M710" s="1" t="n"/>
    </row>
    <row r="711" ht="15.75" customHeight="1" s="311">
      <c r="A711" s="1" t="n"/>
      <c r="B711" s="1" t="n"/>
      <c r="C711" s="1" t="n"/>
      <c r="D711" s="1" t="n"/>
      <c r="E711" s="1" t="n"/>
      <c r="F711" s="1" t="n"/>
      <c r="G711" s="1" t="n"/>
      <c r="H711" s="1" t="n"/>
      <c r="I711" s="1" t="n"/>
      <c r="J711" s="1" t="n"/>
      <c r="K711" s="1" t="n"/>
      <c r="L711" s="1" t="n"/>
      <c r="M711" s="1" t="n"/>
    </row>
    <row r="712" ht="15.75" customHeight="1" s="311">
      <c r="A712" s="1" t="n"/>
      <c r="B712" s="1" t="n"/>
      <c r="C712" s="1" t="n"/>
      <c r="D712" s="1" t="n"/>
      <c r="E712" s="1" t="n"/>
      <c r="F712" s="1" t="n"/>
      <c r="G712" s="1" t="n"/>
      <c r="H712" s="1" t="n"/>
      <c r="I712" s="1" t="n"/>
      <c r="J712" s="1" t="n"/>
      <c r="K712" s="1" t="n"/>
      <c r="L712" s="1" t="n"/>
      <c r="M712" s="1" t="n"/>
    </row>
    <row r="713" ht="15.75" customHeight="1" s="311">
      <c r="A713" s="1" t="n"/>
      <c r="B713" s="1" t="n"/>
      <c r="C713" s="1" t="n"/>
      <c r="D713" s="1" t="n"/>
      <c r="E713" s="1" t="n"/>
      <c r="F713" s="1" t="n"/>
      <c r="G713" s="1" t="n"/>
      <c r="H713" s="1" t="n"/>
      <c r="I713" s="1" t="n"/>
      <c r="J713" s="1" t="n"/>
      <c r="K713" s="1" t="n"/>
      <c r="L713" s="1" t="n"/>
      <c r="M713" s="1" t="n"/>
    </row>
    <row r="714" ht="15.75" customHeight="1" s="311">
      <c r="A714" s="1" t="n"/>
      <c r="B714" s="1" t="n"/>
      <c r="C714" s="1" t="n"/>
      <c r="D714" s="1" t="n"/>
      <c r="E714" s="1" t="n"/>
      <c r="F714" s="1" t="n"/>
      <c r="G714" s="1" t="n"/>
      <c r="H714" s="1" t="n"/>
      <c r="I714" s="1" t="n"/>
      <c r="J714" s="1" t="n"/>
      <c r="K714" s="1" t="n"/>
      <c r="L714" s="1" t="n"/>
      <c r="M714" s="1" t="n"/>
    </row>
    <row r="715" ht="15.75" customHeight="1" s="311">
      <c r="A715" s="1" t="n"/>
      <c r="B715" s="1" t="n"/>
      <c r="C715" s="1" t="n"/>
      <c r="D715" s="1" t="n"/>
      <c r="E715" s="1" t="n"/>
      <c r="F715" s="1" t="n"/>
      <c r="G715" s="1" t="n"/>
      <c r="H715" s="1" t="n"/>
      <c r="I715" s="1" t="n"/>
      <c r="J715" s="1" t="n"/>
      <c r="K715" s="1" t="n"/>
      <c r="L715" s="1" t="n"/>
      <c r="M715" s="1" t="n"/>
    </row>
    <row r="716" ht="15.75" customHeight="1" s="311">
      <c r="A716" s="1" t="n"/>
      <c r="B716" s="1" t="n"/>
      <c r="C716" s="1" t="n"/>
      <c r="D716" s="1" t="n"/>
      <c r="E716" s="1" t="n"/>
      <c r="F716" s="1" t="n"/>
      <c r="G716" s="1" t="n"/>
      <c r="H716" s="1" t="n"/>
      <c r="I716" s="1" t="n"/>
      <c r="J716" s="1" t="n"/>
      <c r="K716" s="1" t="n"/>
      <c r="L716" s="1" t="n"/>
      <c r="M716" s="1" t="n"/>
    </row>
    <row r="717" ht="15.75" customHeight="1" s="311">
      <c r="A717" s="1" t="n"/>
      <c r="B717" s="1" t="n"/>
      <c r="C717" s="1" t="n"/>
      <c r="D717" s="1" t="n"/>
      <c r="E717" s="1" t="n"/>
      <c r="F717" s="1" t="n"/>
      <c r="G717" s="1" t="n"/>
      <c r="H717" s="1" t="n"/>
      <c r="I717" s="1" t="n"/>
      <c r="J717" s="1" t="n"/>
      <c r="K717" s="1" t="n"/>
      <c r="L717" s="1" t="n"/>
      <c r="M717" s="1" t="n"/>
    </row>
    <row r="718" ht="15.75" customHeight="1" s="311">
      <c r="A718" s="1" t="n"/>
      <c r="B718" s="1" t="n"/>
      <c r="C718" s="1" t="n"/>
      <c r="D718" s="1" t="n"/>
      <c r="E718" s="1" t="n"/>
      <c r="F718" s="1" t="n"/>
      <c r="G718" s="1" t="n"/>
      <c r="H718" s="1" t="n"/>
      <c r="I718" s="1" t="n"/>
      <c r="J718" s="1" t="n"/>
      <c r="K718" s="1" t="n"/>
      <c r="L718" s="1" t="n"/>
      <c r="M718" s="1" t="n"/>
    </row>
    <row r="719" ht="15.75" customHeight="1" s="311">
      <c r="A719" s="1" t="n"/>
      <c r="B719" s="1" t="n"/>
      <c r="C719" s="1" t="n"/>
      <c r="D719" s="1" t="n"/>
      <c r="E719" s="1" t="n"/>
      <c r="F719" s="1" t="n"/>
      <c r="G719" s="1" t="n"/>
      <c r="H719" s="1" t="n"/>
      <c r="I719" s="1" t="n"/>
      <c r="J719" s="1" t="n"/>
      <c r="K719" s="1" t="n"/>
      <c r="L719" s="1" t="n"/>
      <c r="M719" s="1" t="n"/>
    </row>
    <row r="720" ht="15.75" customHeight="1" s="311">
      <c r="A720" s="1" t="n"/>
      <c r="B720" s="1" t="n"/>
      <c r="C720" s="1" t="n"/>
      <c r="D720" s="1" t="n"/>
      <c r="E720" s="1" t="n"/>
      <c r="F720" s="1" t="n"/>
      <c r="G720" s="1" t="n"/>
      <c r="H720" s="1" t="n"/>
      <c r="I720" s="1" t="n"/>
      <c r="J720" s="1" t="n"/>
      <c r="K720" s="1" t="n"/>
      <c r="L720" s="1" t="n"/>
      <c r="M720" s="1" t="n"/>
    </row>
    <row r="721" ht="15.75" customHeight="1" s="311">
      <c r="A721" s="1" t="n"/>
      <c r="B721" s="1" t="n"/>
      <c r="C721" s="1" t="n"/>
      <c r="D721" s="1" t="n"/>
      <c r="E721" s="1" t="n"/>
      <c r="F721" s="1" t="n"/>
      <c r="G721" s="1" t="n"/>
      <c r="H721" s="1" t="n"/>
      <c r="I721" s="1" t="n"/>
      <c r="J721" s="1" t="n"/>
      <c r="K721" s="1" t="n"/>
      <c r="L721" s="1" t="n"/>
      <c r="M721" s="1" t="n"/>
    </row>
    <row r="722" ht="15.75" customHeight="1" s="311">
      <c r="A722" s="1" t="n"/>
      <c r="B722" s="1" t="n"/>
      <c r="C722" s="1" t="n"/>
      <c r="D722" s="1" t="n"/>
      <c r="E722" s="1" t="n"/>
      <c r="F722" s="1" t="n"/>
      <c r="G722" s="1" t="n"/>
      <c r="H722" s="1" t="n"/>
      <c r="I722" s="1" t="n"/>
      <c r="J722" s="1" t="n"/>
      <c r="K722" s="1" t="n"/>
      <c r="L722" s="1" t="n"/>
      <c r="M722" s="1" t="n"/>
    </row>
    <row r="723" ht="15.75" customHeight="1" s="311">
      <c r="A723" s="1" t="n"/>
      <c r="B723" s="1" t="n"/>
      <c r="C723" s="1" t="n"/>
      <c r="D723" s="1" t="n"/>
      <c r="E723" s="1" t="n"/>
      <c r="F723" s="1" t="n"/>
      <c r="G723" s="1" t="n"/>
      <c r="H723" s="1" t="n"/>
      <c r="I723" s="1" t="n"/>
      <c r="J723" s="1" t="n"/>
      <c r="K723" s="1" t="n"/>
      <c r="L723" s="1" t="n"/>
      <c r="M723" s="1" t="n"/>
    </row>
    <row r="724" ht="15.75" customHeight="1" s="311">
      <c r="A724" s="1" t="n"/>
      <c r="B724" s="1" t="n"/>
      <c r="C724" s="1" t="n"/>
      <c r="D724" s="1" t="n"/>
      <c r="E724" s="1" t="n"/>
      <c r="F724" s="1" t="n"/>
      <c r="G724" s="1" t="n"/>
      <c r="H724" s="1" t="n"/>
      <c r="I724" s="1" t="n"/>
      <c r="J724" s="1" t="n"/>
      <c r="K724" s="1" t="n"/>
      <c r="L724" s="1" t="n"/>
      <c r="M724" s="1" t="n"/>
    </row>
    <row r="725" ht="15.75" customHeight="1" s="311">
      <c r="A725" s="1" t="n"/>
      <c r="B725" s="1" t="n"/>
      <c r="C725" s="1" t="n"/>
      <c r="D725" s="1" t="n"/>
      <c r="E725" s="1" t="n"/>
      <c r="F725" s="1" t="n"/>
      <c r="G725" s="1" t="n"/>
      <c r="H725" s="1" t="n"/>
      <c r="I725" s="1" t="n"/>
      <c r="J725" s="1" t="n"/>
      <c r="K725" s="1" t="n"/>
      <c r="L725" s="1" t="n"/>
      <c r="M725" s="1" t="n"/>
    </row>
    <row r="726" ht="15.75" customHeight="1" s="311">
      <c r="A726" s="1" t="n"/>
      <c r="B726" s="1" t="n"/>
      <c r="C726" s="1" t="n"/>
      <c r="D726" s="1" t="n"/>
      <c r="E726" s="1" t="n"/>
      <c r="F726" s="1" t="n"/>
      <c r="G726" s="1" t="n"/>
      <c r="H726" s="1" t="n"/>
      <c r="I726" s="1" t="n"/>
      <c r="J726" s="1" t="n"/>
      <c r="K726" s="1" t="n"/>
      <c r="L726" s="1" t="n"/>
      <c r="M726" s="1" t="n"/>
    </row>
    <row r="727" ht="15.75" customHeight="1" s="311">
      <c r="A727" s="1" t="n"/>
      <c r="B727" s="1" t="n"/>
      <c r="C727" s="1" t="n"/>
      <c r="D727" s="1" t="n"/>
      <c r="E727" s="1" t="n"/>
      <c r="F727" s="1" t="n"/>
      <c r="G727" s="1" t="n"/>
      <c r="H727" s="1" t="n"/>
      <c r="I727" s="1" t="n"/>
      <c r="J727" s="1" t="n"/>
      <c r="K727" s="1" t="n"/>
      <c r="L727" s="1" t="n"/>
      <c r="M727" s="1" t="n"/>
    </row>
    <row r="728" ht="15.75" customHeight="1" s="311">
      <c r="A728" s="1" t="n"/>
      <c r="B728" s="1" t="n"/>
      <c r="C728" s="1" t="n"/>
      <c r="D728" s="1" t="n"/>
      <c r="E728" s="1" t="n"/>
      <c r="F728" s="1" t="n"/>
      <c r="G728" s="1" t="n"/>
      <c r="H728" s="1" t="n"/>
      <c r="I728" s="1" t="n"/>
      <c r="J728" s="1" t="n"/>
      <c r="K728" s="1" t="n"/>
      <c r="L728" s="1" t="n"/>
      <c r="M728" s="1" t="n"/>
    </row>
    <row r="729" ht="15.75" customHeight="1" s="311">
      <c r="A729" s="1" t="n"/>
      <c r="B729" s="1" t="n"/>
      <c r="C729" s="1" t="n"/>
      <c r="D729" s="1" t="n"/>
      <c r="E729" s="1" t="n"/>
      <c r="F729" s="1" t="n"/>
      <c r="G729" s="1" t="n"/>
      <c r="H729" s="1" t="n"/>
      <c r="I729" s="1" t="n"/>
      <c r="J729" s="1" t="n"/>
      <c r="K729" s="1" t="n"/>
      <c r="L729" s="1" t="n"/>
      <c r="M729" s="1" t="n"/>
    </row>
    <row r="730" ht="15.75" customHeight="1" s="311">
      <c r="A730" s="1" t="n"/>
      <c r="B730" s="1" t="n"/>
      <c r="C730" s="1" t="n"/>
      <c r="D730" s="1" t="n"/>
      <c r="E730" s="1" t="n"/>
      <c r="F730" s="1" t="n"/>
      <c r="G730" s="1" t="n"/>
      <c r="H730" s="1" t="n"/>
      <c r="I730" s="1" t="n"/>
      <c r="J730" s="1" t="n"/>
      <c r="K730" s="1" t="n"/>
      <c r="L730" s="1" t="n"/>
      <c r="M730" s="1" t="n"/>
    </row>
    <row r="731" ht="15.75" customHeight="1" s="311">
      <c r="A731" s="1" t="n"/>
      <c r="B731" s="1" t="n"/>
      <c r="C731" s="1" t="n"/>
      <c r="D731" s="1" t="n"/>
      <c r="E731" s="1" t="n"/>
      <c r="F731" s="1" t="n"/>
      <c r="G731" s="1" t="n"/>
      <c r="H731" s="1" t="n"/>
      <c r="I731" s="1" t="n"/>
      <c r="J731" s="1" t="n"/>
      <c r="K731" s="1" t="n"/>
      <c r="L731" s="1" t="n"/>
      <c r="M731" s="1" t="n"/>
    </row>
    <row r="732" ht="15.75" customHeight="1" s="311">
      <c r="A732" s="1" t="n"/>
      <c r="B732" s="1" t="n"/>
      <c r="C732" s="1" t="n"/>
      <c r="D732" s="1" t="n"/>
      <c r="E732" s="1" t="n"/>
      <c r="F732" s="1" t="n"/>
      <c r="G732" s="1" t="n"/>
      <c r="H732" s="1" t="n"/>
      <c r="I732" s="1" t="n"/>
      <c r="J732" s="1" t="n"/>
      <c r="K732" s="1" t="n"/>
      <c r="L732" s="1" t="n"/>
      <c r="M732" s="1" t="n"/>
    </row>
    <row r="733" ht="15.75" customHeight="1" s="311">
      <c r="A733" s="1" t="n"/>
      <c r="B733" s="1" t="n"/>
      <c r="C733" s="1" t="n"/>
      <c r="D733" s="1" t="n"/>
      <c r="E733" s="1" t="n"/>
      <c r="F733" s="1" t="n"/>
      <c r="G733" s="1" t="n"/>
      <c r="H733" s="1" t="n"/>
      <c r="I733" s="1" t="n"/>
      <c r="J733" s="1" t="n"/>
      <c r="K733" s="1" t="n"/>
      <c r="L733" s="1" t="n"/>
      <c r="M733" s="1" t="n"/>
    </row>
    <row r="734" ht="15.75" customHeight="1" s="311">
      <c r="A734" s="1" t="n"/>
      <c r="B734" s="1" t="n"/>
      <c r="C734" s="1" t="n"/>
      <c r="D734" s="1" t="n"/>
      <c r="E734" s="1" t="n"/>
      <c r="F734" s="1" t="n"/>
      <c r="G734" s="1" t="n"/>
      <c r="H734" s="1" t="n"/>
      <c r="I734" s="1" t="n"/>
      <c r="J734" s="1" t="n"/>
      <c r="K734" s="1" t="n"/>
      <c r="L734" s="1" t="n"/>
      <c r="M734" s="1" t="n"/>
    </row>
    <row r="735" ht="15.75" customHeight="1" s="311">
      <c r="A735" s="1" t="n"/>
      <c r="B735" s="1" t="n"/>
      <c r="C735" s="1" t="n"/>
      <c r="D735" s="1" t="n"/>
      <c r="E735" s="1" t="n"/>
      <c r="F735" s="1" t="n"/>
      <c r="G735" s="1" t="n"/>
      <c r="H735" s="1" t="n"/>
      <c r="I735" s="1" t="n"/>
      <c r="J735" s="1" t="n"/>
      <c r="K735" s="1" t="n"/>
      <c r="L735" s="1" t="n"/>
      <c r="M735" s="1" t="n"/>
    </row>
    <row r="736" ht="15.75" customHeight="1" s="311">
      <c r="A736" s="1" t="n"/>
      <c r="B736" s="1" t="n"/>
      <c r="C736" s="1" t="n"/>
      <c r="D736" s="1" t="n"/>
      <c r="E736" s="1" t="n"/>
      <c r="F736" s="1" t="n"/>
      <c r="G736" s="1" t="n"/>
      <c r="H736" s="1" t="n"/>
      <c r="I736" s="1" t="n"/>
      <c r="J736" s="1" t="n"/>
      <c r="K736" s="1" t="n"/>
      <c r="L736" s="1" t="n"/>
      <c r="M736" s="1" t="n"/>
    </row>
    <row r="737" ht="15.75" customHeight="1" s="311">
      <c r="A737" s="1" t="n"/>
      <c r="B737" s="1" t="n"/>
      <c r="C737" s="1" t="n"/>
      <c r="D737" s="1" t="n"/>
      <c r="E737" s="1" t="n"/>
      <c r="F737" s="1" t="n"/>
      <c r="G737" s="1" t="n"/>
      <c r="H737" s="1" t="n"/>
      <c r="I737" s="1" t="n"/>
      <c r="J737" s="1" t="n"/>
      <c r="K737" s="1" t="n"/>
      <c r="L737" s="1" t="n"/>
      <c r="M737" s="1" t="n"/>
    </row>
    <row r="738" ht="15.75" customHeight="1" s="311">
      <c r="A738" s="1" t="n"/>
      <c r="B738" s="1" t="n"/>
      <c r="C738" s="1" t="n"/>
      <c r="D738" s="1" t="n"/>
      <c r="E738" s="1" t="n"/>
      <c r="F738" s="1" t="n"/>
      <c r="G738" s="1" t="n"/>
      <c r="H738" s="1" t="n"/>
      <c r="I738" s="1" t="n"/>
      <c r="J738" s="1" t="n"/>
      <c r="K738" s="1" t="n"/>
      <c r="L738" s="1" t="n"/>
      <c r="M738" s="1" t="n"/>
    </row>
    <row r="739" ht="15.75" customHeight="1" s="311">
      <c r="A739" s="1" t="n"/>
      <c r="B739" s="1" t="n"/>
      <c r="C739" s="1" t="n"/>
      <c r="D739" s="1" t="n"/>
      <c r="E739" s="1" t="n"/>
      <c r="F739" s="1" t="n"/>
      <c r="G739" s="1" t="n"/>
      <c r="H739" s="1" t="n"/>
      <c r="I739" s="1" t="n"/>
      <c r="J739" s="1" t="n"/>
      <c r="K739" s="1" t="n"/>
      <c r="L739" s="1" t="n"/>
      <c r="M739" s="1" t="n"/>
    </row>
    <row r="740" ht="15.75" customHeight="1" s="311">
      <c r="A740" s="1" t="n"/>
      <c r="B740" s="1" t="n"/>
      <c r="C740" s="1" t="n"/>
      <c r="D740" s="1" t="n"/>
      <c r="E740" s="1" t="n"/>
      <c r="F740" s="1" t="n"/>
      <c r="G740" s="1" t="n"/>
      <c r="H740" s="1" t="n"/>
      <c r="I740" s="1" t="n"/>
      <c r="J740" s="1" t="n"/>
      <c r="K740" s="1" t="n"/>
      <c r="L740" s="1" t="n"/>
      <c r="M740" s="1" t="n"/>
    </row>
    <row r="741" ht="15.75" customHeight="1" s="311">
      <c r="A741" s="1" t="n"/>
      <c r="B741" s="1" t="n"/>
      <c r="C741" s="1" t="n"/>
      <c r="D741" s="1" t="n"/>
      <c r="E741" s="1" t="n"/>
      <c r="F741" s="1" t="n"/>
      <c r="G741" s="1" t="n"/>
      <c r="H741" s="1" t="n"/>
      <c r="I741" s="1" t="n"/>
      <c r="J741" s="1" t="n"/>
      <c r="K741" s="1" t="n"/>
      <c r="L741" s="1" t="n"/>
      <c r="M741" s="1" t="n"/>
    </row>
    <row r="742" ht="15.75" customHeight="1" s="311">
      <c r="A742" s="1" t="n"/>
      <c r="B742" s="1" t="n"/>
      <c r="C742" s="1" t="n"/>
      <c r="D742" s="1" t="n"/>
      <c r="E742" s="1" t="n"/>
      <c r="F742" s="1" t="n"/>
      <c r="G742" s="1" t="n"/>
      <c r="H742" s="1" t="n"/>
      <c r="I742" s="1" t="n"/>
      <c r="J742" s="1" t="n"/>
      <c r="K742" s="1" t="n"/>
      <c r="L742" s="1" t="n"/>
      <c r="M742" s="1" t="n"/>
    </row>
    <row r="743" ht="15.75" customHeight="1" s="311">
      <c r="A743" s="1" t="n"/>
      <c r="B743" s="1" t="n"/>
      <c r="C743" s="1" t="n"/>
      <c r="D743" s="1" t="n"/>
      <c r="E743" s="1" t="n"/>
      <c r="F743" s="1" t="n"/>
      <c r="G743" s="1" t="n"/>
      <c r="H743" s="1" t="n"/>
      <c r="I743" s="1" t="n"/>
      <c r="J743" s="1" t="n"/>
      <c r="K743" s="1" t="n"/>
      <c r="L743" s="1" t="n"/>
      <c r="M743" s="1" t="n"/>
    </row>
    <row r="744" ht="15.75" customHeight="1" s="311">
      <c r="A744" s="1" t="n"/>
      <c r="B744" s="1" t="n"/>
      <c r="C744" s="1" t="n"/>
      <c r="D744" s="1" t="n"/>
      <c r="E744" s="1" t="n"/>
      <c r="F744" s="1" t="n"/>
      <c r="G744" s="1" t="n"/>
      <c r="H744" s="1" t="n"/>
      <c r="I744" s="1" t="n"/>
      <c r="J744" s="1" t="n"/>
      <c r="K744" s="1" t="n"/>
      <c r="L744" s="1" t="n"/>
      <c r="M744" s="1" t="n"/>
    </row>
    <row r="745" ht="15.75" customHeight="1" s="311">
      <c r="A745" s="1" t="n"/>
      <c r="B745" s="1" t="n"/>
      <c r="C745" s="1" t="n"/>
      <c r="D745" s="1" t="n"/>
      <c r="E745" s="1" t="n"/>
      <c r="F745" s="1" t="n"/>
      <c r="G745" s="1" t="n"/>
      <c r="H745" s="1" t="n"/>
      <c r="I745" s="1" t="n"/>
      <c r="J745" s="1" t="n"/>
      <c r="K745" s="1" t="n"/>
      <c r="L745" s="1" t="n"/>
      <c r="M745" s="1" t="n"/>
    </row>
    <row r="746" ht="15.75" customHeight="1" s="311">
      <c r="A746" s="1" t="n"/>
      <c r="B746" s="1" t="n"/>
      <c r="C746" s="1" t="n"/>
      <c r="D746" s="1" t="n"/>
      <c r="E746" s="1" t="n"/>
      <c r="F746" s="1" t="n"/>
      <c r="G746" s="1" t="n"/>
      <c r="H746" s="1" t="n"/>
      <c r="I746" s="1" t="n"/>
      <c r="J746" s="1" t="n"/>
      <c r="K746" s="1" t="n"/>
      <c r="L746" s="1" t="n"/>
      <c r="M746" s="1" t="n"/>
    </row>
    <row r="747" ht="15.75" customHeight="1" s="311">
      <c r="A747" s="1" t="n"/>
      <c r="B747" s="1" t="n"/>
      <c r="C747" s="1" t="n"/>
      <c r="D747" s="1" t="n"/>
      <c r="E747" s="1" t="n"/>
      <c r="F747" s="1" t="n"/>
      <c r="G747" s="1" t="n"/>
      <c r="H747" s="1" t="n"/>
      <c r="I747" s="1" t="n"/>
      <c r="J747" s="1" t="n"/>
      <c r="K747" s="1" t="n"/>
      <c r="L747" s="1" t="n"/>
      <c r="M747" s="1" t="n"/>
    </row>
    <row r="748" ht="15.75" customHeight="1" s="311">
      <c r="A748" s="1" t="n"/>
      <c r="B748" s="1" t="n"/>
      <c r="C748" s="1" t="n"/>
      <c r="D748" s="1" t="n"/>
      <c r="E748" s="1" t="n"/>
      <c r="F748" s="1" t="n"/>
      <c r="G748" s="1" t="n"/>
      <c r="H748" s="1" t="n"/>
      <c r="I748" s="1" t="n"/>
      <c r="J748" s="1" t="n"/>
      <c r="K748" s="1" t="n"/>
      <c r="L748" s="1" t="n"/>
      <c r="M748" s="1" t="n"/>
    </row>
    <row r="749" ht="15.75" customHeight="1" s="311">
      <c r="A749" s="1" t="n"/>
      <c r="B749" s="1" t="n"/>
      <c r="C749" s="1" t="n"/>
      <c r="D749" s="1" t="n"/>
      <c r="E749" s="1" t="n"/>
      <c r="F749" s="1" t="n"/>
      <c r="G749" s="1" t="n"/>
      <c r="H749" s="1" t="n"/>
      <c r="I749" s="1" t="n"/>
      <c r="J749" s="1" t="n"/>
      <c r="K749" s="1" t="n"/>
      <c r="L749" s="1" t="n"/>
      <c r="M749" s="1" t="n"/>
    </row>
    <row r="750" ht="15.75" customHeight="1" s="311">
      <c r="A750" s="1" t="n"/>
      <c r="B750" s="1" t="n"/>
      <c r="C750" s="1" t="n"/>
      <c r="D750" s="1" t="n"/>
      <c r="E750" s="1" t="n"/>
      <c r="F750" s="1" t="n"/>
      <c r="G750" s="1" t="n"/>
      <c r="H750" s="1" t="n"/>
      <c r="I750" s="1" t="n"/>
      <c r="J750" s="1" t="n"/>
      <c r="K750" s="1" t="n"/>
      <c r="L750" s="1" t="n"/>
      <c r="M750" s="1" t="n"/>
    </row>
    <row r="751" ht="15.75" customHeight="1" s="311">
      <c r="A751" s="1" t="n"/>
      <c r="B751" s="1" t="n"/>
      <c r="C751" s="1" t="n"/>
      <c r="D751" s="1" t="n"/>
      <c r="E751" s="1" t="n"/>
      <c r="F751" s="1" t="n"/>
      <c r="G751" s="1" t="n"/>
      <c r="H751" s="1" t="n"/>
      <c r="I751" s="1" t="n"/>
      <c r="J751" s="1" t="n"/>
      <c r="K751" s="1" t="n"/>
      <c r="L751" s="1" t="n"/>
      <c r="M751" s="1" t="n"/>
    </row>
    <row r="752" ht="15.75" customHeight="1" s="311">
      <c r="A752" s="1" t="n"/>
      <c r="B752" s="1" t="n"/>
      <c r="C752" s="1" t="n"/>
      <c r="D752" s="1" t="n"/>
      <c r="E752" s="1" t="n"/>
      <c r="F752" s="1" t="n"/>
      <c r="G752" s="1" t="n"/>
      <c r="H752" s="1" t="n"/>
      <c r="I752" s="1" t="n"/>
      <c r="J752" s="1" t="n"/>
      <c r="K752" s="1" t="n"/>
      <c r="L752" s="1" t="n"/>
      <c r="M752" s="1" t="n"/>
    </row>
    <row r="753" ht="15.75" customHeight="1" s="311">
      <c r="A753" s="1" t="n"/>
      <c r="B753" s="1" t="n"/>
      <c r="C753" s="1" t="n"/>
      <c r="D753" s="1" t="n"/>
      <c r="E753" s="1" t="n"/>
      <c r="F753" s="1" t="n"/>
      <c r="G753" s="1" t="n"/>
      <c r="H753" s="1" t="n"/>
      <c r="I753" s="1" t="n"/>
      <c r="J753" s="1" t="n"/>
      <c r="K753" s="1" t="n"/>
      <c r="L753" s="1" t="n"/>
      <c r="M753" s="1" t="n"/>
    </row>
    <row r="754" ht="15.75" customHeight="1" s="311">
      <c r="A754" s="1" t="n"/>
      <c r="B754" s="1" t="n"/>
      <c r="C754" s="1" t="n"/>
      <c r="D754" s="1" t="n"/>
      <c r="E754" s="1" t="n"/>
      <c r="F754" s="1" t="n"/>
      <c r="G754" s="1" t="n"/>
      <c r="H754" s="1" t="n"/>
      <c r="I754" s="1" t="n"/>
      <c r="J754" s="1" t="n"/>
      <c r="K754" s="1" t="n"/>
      <c r="L754" s="1" t="n"/>
      <c r="M754" s="1" t="n"/>
    </row>
    <row r="755" ht="15.75" customHeight="1" s="311">
      <c r="A755" s="1" t="n"/>
      <c r="B755" s="1" t="n"/>
      <c r="C755" s="1" t="n"/>
      <c r="D755" s="1" t="n"/>
      <c r="E755" s="1" t="n"/>
      <c r="F755" s="1" t="n"/>
      <c r="G755" s="1" t="n"/>
      <c r="H755" s="1" t="n"/>
      <c r="I755" s="1" t="n"/>
      <c r="J755" s="1" t="n"/>
      <c r="K755" s="1" t="n"/>
      <c r="L755" s="1" t="n"/>
      <c r="M755" s="1" t="n"/>
    </row>
    <row r="756" ht="15.75" customHeight="1" s="311">
      <c r="A756" s="1" t="n"/>
      <c r="B756" s="1" t="n"/>
      <c r="C756" s="1" t="n"/>
      <c r="D756" s="1" t="n"/>
      <c r="E756" s="1" t="n"/>
      <c r="F756" s="1" t="n"/>
      <c r="G756" s="1" t="n"/>
      <c r="H756" s="1" t="n"/>
      <c r="I756" s="1" t="n"/>
      <c r="J756" s="1" t="n"/>
      <c r="K756" s="1" t="n"/>
      <c r="L756" s="1" t="n"/>
      <c r="M756" s="1" t="n"/>
    </row>
    <row r="757" ht="15.75" customHeight="1" s="311">
      <c r="A757" s="1" t="n"/>
      <c r="B757" s="1" t="n"/>
      <c r="C757" s="1" t="n"/>
      <c r="D757" s="1" t="n"/>
      <c r="E757" s="1" t="n"/>
      <c r="F757" s="1" t="n"/>
      <c r="G757" s="1" t="n"/>
      <c r="H757" s="1" t="n"/>
      <c r="I757" s="1" t="n"/>
      <c r="J757" s="1" t="n"/>
      <c r="K757" s="1" t="n"/>
      <c r="L757" s="1" t="n"/>
      <c r="M757" s="1" t="n"/>
    </row>
    <row r="758" ht="15.75" customHeight="1" s="311">
      <c r="A758" s="1" t="n"/>
      <c r="B758" s="1" t="n"/>
      <c r="C758" s="1" t="n"/>
      <c r="D758" s="1" t="n"/>
      <c r="E758" s="1" t="n"/>
      <c r="F758" s="1" t="n"/>
      <c r="G758" s="1" t="n"/>
      <c r="H758" s="1" t="n"/>
      <c r="I758" s="1" t="n"/>
      <c r="J758" s="1" t="n"/>
      <c r="K758" s="1" t="n"/>
      <c r="L758" s="1" t="n"/>
      <c r="M758" s="1" t="n"/>
    </row>
    <row r="759" ht="15.75" customHeight="1" s="311">
      <c r="A759" s="1" t="n"/>
      <c r="B759" s="1" t="n"/>
      <c r="C759" s="1" t="n"/>
      <c r="D759" s="1" t="n"/>
      <c r="E759" s="1" t="n"/>
      <c r="F759" s="1" t="n"/>
      <c r="G759" s="1" t="n"/>
      <c r="H759" s="1" t="n"/>
      <c r="I759" s="1" t="n"/>
      <c r="J759" s="1" t="n"/>
      <c r="K759" s="1" t="n"/>
      <c r="L759" s="1" t="n"/>
      <c r="M759" s="1" t="n"/>
    </row>
    <row r="760" ht="15.75" customHeight="1" s="311">
      <c r="A760" s="1" t="n"/>
      <c r="B760" s="1" t="n"/>
      <c r="C760" s="1" t="n"/>
      <c r="D760" s="1" t="n"/>
      <c r="E760" s="1" t="n"/>
      <c r="F760" s="1" t="n"/>
      <c r="G760" s="1" t="n"/>
      <c r="H760" s="1" t="n"/>
      <c r="I760" s="1" t="n"/>
      <c r="J760" s="1" t="n"/>
      <c r="K760" s="1" t="n"/>
      <c r="L760" s="1" t="n"/>
      <c r="M760" s="1" t="n"/>
    </row>
    <row r="761" ht="15.75" customHeight="1" s="311">
      <c r="A761" s="1" t="n"/>
      <c r="B761" s="1" t="n"/>
      <c r="C761" s="1" t="n"/>
      <c r="D761" s="1" t="n"/>
      <c r="E761" s="1" t="n"/>
      <c r="F761" s="1" t="n"/>
      <c r="G761" s="1" t="n"/>
      <c r="H761" s="1" t="n"/>
      <c r="I761" s="1" t="n"/>
      <c r="J761" s="1" t="n"/>
      <c r="K761" s="1" t="n"/>
      <c r="L761" s="1" t="n"/>
      <c r="M761" s="1" t="n"/>
    </row>
    <row r="762" ht="15.75" customHeight="1" s="311">
      <c r="A762" s="1" t="n"/>
      <c r="B762" s="1" t="n"/>
      <c r="C762" s="1" t="n"/>
      <c r="D762" s="1" t="n"/>
      <c r="E762" s="1" t="n"/>
      <c r="F762" s="1" t="n"/>
      <c r="G762" s="1" t="n"/>
      <c r="H762" s="1" t="n"/>
      <c r="I762" s="1" t="n"/>
      <c r="J762" s="1" t="n"/>
      <c r="K762" s="1" t="n"/>
      <c r="L762" s="1" t="n"/>
      <c r="M762" s="1" t="n"/>
    </row>
    <row r="763" ht="15.75" customHeight="1" s="311">
      <c r="A763" s="1" t="n"/>
      <c r="B763" s="1" t="n"/>
      <c r="C763" s="1" t="n"/>
      <c r="D763" s="1" t="n"/>
      <c r="E763" s="1" t="n"/>
      <c r="F763" s="1" t="n"/>
      <c r="G763" s="1" t="n"/>
      <c r="H763" s="1" t="n"/>
      <c r="I763" s="1" t="n"/>
      <c r="J763" s="1" t="n"/>
      <c r="K763" s="1" t="n"/>
      <c r="L763" s="1" t="n"/>
      <c r="M763" s="1" t="n"/>
    </row>
    <row r="764" ht="15.75" customHeight="1" s="311">
      <c r="A764" s="1" t="n"/>
      <c r="B764" s="1" t="n"/>
      <c r="C764" s="1" t="n"/>
      <c r="D764" s="1" t="n"/>
      <c r="E764" s="1" t="n"/>
      <c r="F764" s="1" t="n"/>
      <c r="G764" s="1" t="n"/>
      <c r="H764" s="1" t="n"/>
      <c r="I764" s="1" t="n"/>
      <c r="J764" s="1" t="n"/>
      <c r="K764" s="1" t="n"/>
      <c r="L764" s="1" t="n"/>
      <c r="M764" s="1" t="n"/>
    </row>
    <row r="765" ht="15.75" customHeight="1" s="311">
      <c r="A765" s="1" t="n"/>
      <c r="B765" s="1" t="n"/>
      <c r="C765" s="1" t="n"/>
      <c r="D765" s="1" t="n"/>
      <c r="E765" s="1" t="n"/>
      <c r="F765" s="1" t="n"/>
      <c r="G765" s="1" t="n"/>
      <c r="H765" s="1" t="n"/>
      <c r="I765" s="1" t="n"/>
      <c r="J765" s="1" t="n"/>
      <c r="K765" s="1" t="n"/>
      <c r="L765" s="1" t="n"/>
      <c r="M765" s="1" t="n"/>
    </row>
    <row r="766" ht="15.75" customHeight="1" s="311">
      <c r="A766" s="1" t="n"/>
      <c r="B766" s="1" t="n"/>
      <c r="C766" s="1" t="n"/>
      <c r="D766" s="1" t="n"/>
      <c r="E766" s="1" t="n"/>
      <c r="F766" s="1" t="n"/>
      <c r="G766" s="1" t="n"/>
      <c r="H766" s="1" t="n"/>
      <c r="I766" s="1" t="n"/>
      <c r="J766" s="1" t="n"/>
      <c r="K766" s="1" t="n"/>
      <c r="L766" s="1" t="n"/>
      <c r="M766" s="1" t="n"/>
    </row>
    <row r="767" ht="15.75" customHeight="1" s="311">
      <c r="A767" s="1" t="n"/>
      <c r="B767" s="1" t="n"/>
      <c r="C767" s="1" t="n"/>
      <c r="D767" s="1" t="n"/>
      <c r="E767" s="1" t="n"/>
      <c r="F767" s="1" t="n"/>
      <c r="G767" s="1" t="n"/>
      <c r="H767" s="1" t="n"/>
      <c r="I767" s="1" t="n"/>
      <c r="J767" s="1" t="n"/>
      <c r="K767" s="1" t="n"/>
      <c r="L767" s="1" t="n"/>
      <c r="M767" s="1" t="n"/>
    </row>
    <row r="768" ht="15.75" customHeight="1" s="311">
      <c r="A768" s="1" t="n"/>
      <c r="B768" s="1" t="n"/>
      <c r="C768" s="1" t="n"/>
      <c r="D768" s="1" t="n"/>
      <c r="E768" s="1" t="n"/>
      <c r="F768" s="1" t="n"/>
      <c r="G768" s="1" t="n"/>
      <c r="H768" s="1" t="n"/>
      <c r="I768" s="1" t="n"/>
      <c r="J768" s="1" t="n"/>
      <c r="K768" s="1" t="n"/>
      <c r="L768" s="1" t="n"/>
      <c r="M768" s="1" t="n"/>
    </row>
    <row r="769" ht="15.75" customHeight="1" s="311">
      <c r="A769" s="1" t="n"/>
      <c r="B769" s="1" t="n"/>
      <c r="C769" s="1" t="n"/>
      <c r="D769" s="1" t="n"/>
      <c r="E769" s="1" t="n"/>
      <c r="F769" s="1" t="n"/>
      <c r="G769" s="1" t="n"/>
      <c r="H769" s="1" t="n"/>
      <c r="I769" s="1" t="n"/>
      <c r="J769" s="1" t="n"/>
      <c r="K769" s="1" t="n"/>
      <c r="L769" s="1" t="n"/>
      <c r="M769" s="1" t="n"/>
    </row>
    <row r="770" ht="15.75" customHeight="1" s="311">
      <c r="A770" s="1" t="n"/>
      <c r="B770" s="1" t="n"/>
      <c r="C770" s="1" t="n"/>
      <c r="D770" s="1" t="n"/>
      <c r="E770" s="1" t="n"/>
      <c r="F770" s="1" t="n"/>
      <c r="G770" s="1" t="n"/>
      <c r="H770" s="1" t="n"/>
      <c r="I770" s="1" t="n"/>
      <c r="J770" s="1" t="n"/>
      <c r="K770" s="1" t="n"/>
      <c r="L770" s="1" t="n"/>
      <c r="M770" s="1" t="n"/>
    </row>
    <row r="771" ht="15.75" customHeight="1" s="311">
      <c r="A771" s="1" t="n"/>
      <c r="B771" s="1" t="n"/>
      <c r="C771" s="1" t="n"/>
      <c r="D771" s="1" t="n"/>
      <c r="E771" s="1" t="n"/>
      <c r="F771" s="1" t="n"/>
      <c r="G771" s="1" t="n"/>
      <c r="H771" s="1" t="n"/>
      <c r="I771" s="1" t="n"/>
      <c r="J771" s="1" t="n"/>
      <c r="K771" s="1" t="n"/>
      <c r="L771" s="1" t="n"/>
      <c r="M771" s="1" t="n"/>
    </row>
    <row r="772" ht="15.75" customHeight="1" s="311">
      <c r="A772" s="1" t="n"/>
      <c r="B772" s="1" t="n"/>
      <c r="C772" s="1" t="n"/>
      <c r="D772" s="1" t="n"/>
      <c r="E772" s="1" t="n"/>
      <c r="F772" s="1" t="n"/>
      <c r="G772" s="1" t="n"/>
      <c r="H772" s="1" t="n"/>
      <c r="I772" s="1" t="n"/>
      <c r="J772" s="1" t="n"/>
      <c r="K772" s="1" t="n"/>
      <c r="L772" s="1" t="n"/>
      <c r="M772" s="1" t="n"/>
    </row>
    <row r="773" ht="15.75" customHeight="1" s="311">
      <c r="A773" s="1" t="n"/>
      <c r="B773" s="1" t="n"/>
      <c r="C773" s="1" t="n"/>
      <c r="D773" s="1" t="n"/>
      <c r="E773" s="1" t="n"/>
      <c r="F773" s="1" t="n"/>
      <c r="G773" s="1" t="n"/>
      <c r="H773" s="1" t="n"/>
      <c r="I773" s="1" t="n"/>
      <c r="J773" s="1" t="n"/>
      <c r="K773" s="1" t="n"/>
      <c r="L773" s="1" t="n"/>
      <c r="M773" s="1" t="n"/>
    </row>
    <row r="774" ht="15.75" customHeight="1" s="311">
      <c r="A774" s="1" t="n"/>
      <c r="B774" s="1" t="n"/>
      <c r="C774" s="1" t="n"/>
      <c r="D774" s="1" t="n"/>
      <c r="E774" s="1" t="n"/>
      <c r="F774" s="1" t="n"/>
      <c r="G774" s="1" t="n"/>
      <c r="H774" s="1" t="n"/>
      <c r="I774" s="1" t="n"/>
      <c r="J774" s="1" t="n"/>
      <c r="K774" s="1" t="n"/>
      <c r="L774" s="1" t="n"/>
      <c r="M774" s="1" t="n"/>
    </row>
    <row r="775" ht="15.75" customHeight="1" s="311">
      <c r="A775" s="1" t="n"/>
      <c r="B775" s="1" t="n"/>
      <c r="C775" s="1" t="n"/>
      <c r="D775" s="1" t="n"/>
      <c r="E775" s="1" t="n"/>
      <c r="F775" s="1" t="n"/>
      <c r="G775" s="1" t="n"/>
      <c r="H775" s="1" t="n"/>
      <c r="I775" s="1" t="n"/>
      <c r="J775" s="1" t="n"/>
      <c r="K775" s="1" t="n"/>
      <c r="L775" s="1" t="n"/>
      <c r="M775" s="1" t="n"/>
    </row>
    <row r="776" ht="15.75" customHeight="1" s="311">
      <c r="A776" s="1" t="n"/>
      <c r="B776" s="1" t="n"/>
      <c r="C776" s="1" t="n"/>
      <c r="D776" s="1" t="n"/>
      <c r="E776" s="1" t="n"/>
      <c r="F776" s="1" t="n"/>
      <c r="G776" s="1" t="n"/>
      <c r="H776" s="1" t="n"/>
      <c r="I776" s="1" t="n"/>
      <c r="J776" s="1" t="n"/>
      <c r="K776" s="1" t="n"/>
      <c r="L776" s="1" t="n"/>
      <c r="M776" s="1" t="n"/>
    </row>
    <row r="777" ht="15.75" customHeight="1" s="311">
      <c r="A777" s="1" t="n"/>
      <c r="B777" s="1" t="n"/>
      <c r="C777" s="1" t="n"/>
      <c r="D777" s="1" t="n"/>
      <c r="E777" s="1" t="n"/>
      <c r="F777" s="1" t="n"/>
      <c r="G777" s="1" t="n"/>
      <c r="H777" s="1" t="n"/>
      <c r="I777" s="1" t="n"/>
      <c r="J777" s="1" t="n"/>
      <c r="K777" s="1" t="n"/>
      <c r="L777" s="1" t="n"/>
      <c r="M777" s="1" t="n"/>
    </row>
    <row r="778" ht="15.75" customHeight="1" s="311">
      <c r="A778" s="1" t="n"/>
      <c r="B778" s="1" t="n"/>
      <c r="C778" s="1" t="n"/>
      <c r="D778" s="1" t="n"/>
      <c r="E778" s="1" t="n"/>
      <c r="F778" s="1" t="n"/>
      <c r="G778" s="1" t="n"/>
      <c r="H778" s="1" t="n"/>
      <c r="I778" s="1" t="n"/>
      <c r="J778" s="1" t="n"/>
      <c r="K778" s="1" t="n"/>
      <c r="L778" s="1" t="n"/>
      <c r="M778" s="1" t="n"/>
    </row>
    <row r="779" ht="15.75" customHeight="1" s="311">
      <c r="A779" s="1" t="n"/>
      <c r="B779" s="1" t="n"/>
      <c r="C779" s="1" t="n"/>
      <c r="D779" s="1" t="n"/>
      <c r="E779" s="1" t="n"/>
      <c r="F779" s="1" t="n"/>
      <c r="G779" s="1" t="n"/>
      <c r="H779" s="1" t="n"/>
      <c r="I779" s="1" t="n"/>
      <c r="J779" s="1" t="n"/>
      <c r="K779" s="1" t="n"/>
      <c r="L779" s="1" t="n"/>
      <c r="M779" s="1" t="n"/>
    </row>
    <row r="780" ht="15.75" customHeight="1" s="311">
      <c r="A780" s="1" t="n"/>
      <c r="B780" s="1" t="n"/>
      <c r="C780" s="1" t="n"/>
      <c r="D780" s="1" t="n"/>
      <c r="E780" s="1" t="n"/>
      <c r="F780" s="1" t="n"/>
      <c r="G780" s="1" t="n"/>
      <c r="H780" s="1" t="n"/>
      <c r="I780" s="1" t="n"/>
      <c r="J780" s="1" t="n"/>
      <c r="K780" s="1" t="n"/>
      <c r="L780" s="1" t="n"/>
      <c r="M780" s="1" t="n"/>
    </row>
    <row r="781" ht="15.75" customHeight="1" s="311">
      <c r="A781" s="1" t="n"/>
      <c r="B781" s="1" t="n"/>
      <c r="C781" s="1" t="n"/>
      <c r="D781" s="1" t="n"/>
      <c r="E781" s="1" t="n"/>
      <c r="F781" s="1" t="n"/>
      <c r="G781" s="1" t="n"/>
      <c r="H781" s="1" t="n"/>
      <c r="I781" s="1" t="n"/>
      <c r="J781" s="1" t="n"/>
      <c r="K781" s="1" t="n"/>
      <c r="L781" s="1" t="n"/>
      <c r="M781" s="1" t="n"/>
    </row>
    <row r="782" ht="15.75" customHeight="1" s="311">
      <c r="A782" s="1" t="n"/>
      <c r="B782" s="1" t="n"/>
      <c r="C782" s="1" t="n"/>
      <c r="D782" s="1" t="n"/>
      <c r="E782" s="1" t="n"/>
      <c r="F782" s="1" t="n"/>
      <c r="G782" s="1" t="n"/>
      <c r="H782" s="1" t="n"/>
      <c r="I782" s="1" t="n"/>
      <c r="J782" s="1" t="n"/>
      <c r="K782" s="1" t="n"/>
      <c r="L782" s="1" t="n"/>
      <c r="M782" s="1" t="n"/>
    </row>
    <row r="783" ht="15.75" customHeight="1" s="311">
      <c r="A783" s="1" t="n"/>
      <c r="B783" s="1" t="n"/>
      <c r="C783" s="1" t="n"/>
      <c r="D783" s="1" t="n"/>
      <c r="E783" s="1" t="n"/>
      <c r="F783" s="1" t="n"/>
      <c r="G783" s="1" t="n"/>
      <c r="H783" s="1" t="n"/>
      <c r="I783" s="1" t="n"/>
      <c r="J783" s="1" t="n"/>
      <c r="K783" s="1" t="n"/>
      <c r="L783" s="1" t="n"/>
      <c r="M783" s="1" t="n"/>
    </row>
    <row r="784" ht="15.75" customHeight="1" s="311">
      <c r="A784" s="1" t="n"/>
      <c r="B784" s="1" t="n"/>
      <c r="C784" s="1" t="n"/>
      <c r="D784" s="1" t="n"/>
      <c r="E784" s="1" t="n"/>
      <c r="F784" s="1" t="n"/>
      <c r="G784" s="1" t="n"/>
      <c r="H784" s="1" t="n"/>
      <c r="I784" s="1" t="n"/>
      <c r="J784" s="1" t="n"/>
      <c r="K784" s="1" t="n"/>
      <c r="L784" s="1" t="n"/>
      <c r="M784" s="1" t="n"/>
    </row>
    <row r="785" ht="15.75" customHeight="1" s="311">
      <c r="A785" s="1" t="n"/>
      <c r="B785" s="1" t="n"/>
      <c r="C785" s="1" t="n"/>
      <c r="D785" s="1" t="n"/>
      <c r="E785" s="1" t="n"/>
      <c r="F785" s="1" t="n"/>
      <c r="G785" s="1" t="n"/>
      <c r="H785" s="1" t="n"/>
      <c r="I785" s="1" t="n"/>
      <c r="J785" s="1" t="n"/>
      <c r="K785" s="1" t="n"/>
      <c r="L785" s="1" t="n"/>
      <c r="M785" s="1" t="n"/>
    </row>
    <row r="786" ht="15.75" customHeight="1" s="311">
      <c r="A786" s="1" t="n"/>
      <c r="B786" s="1" t="n"/>
      <c r="C786" s="1" t="n"/>
      <c r="D786" s="1" t="n"/>
      <c r="E786" s="1" t="n"/>
      <c r="F786" s="1" t="n"/>
      <c r="G786" s="1" t="n"/>
      <c r="H786" s="1" t="n"/>
      <c r="I786" s="1" t="n"/>
      <c r="J786" s="1" t="n"/>
      <c r="K786" s="1" t="n"/>
      <c r="L786" s="1" t="n"/>
      <c r="M786" s="1" t="n"/>
    </row>
    <row r="787" ht="15.75" customHeight="1" s="311">
      <c r="A787" s="1" t="n"/>
      <c r="B787" s="1" t="n"/>
      <c r="C787" s="1" t="n"/>
      <c r="D787" s="1" t="n"/>
      <c r="E787" s="1" t="n"/>
      <c r="F787" s="1" t="n"/>
      <c r="G787" s="1" t="n"/>
      <c r="H787" s="1" t="n"/>
      <c r="I787" s="1" t="n"/>
      <c r="J787" s="1" t="n"/>
      <c r="K787" s="1" t="n"/>
      <c r="L787" s="1" t="n"/>
      <c r="M787" s="1" t="n"/>
    </row>
    <row r="788" ht="15.75" customHeight="1" s="311">
      <c r="A788" s="1" t="n"/>
      <c r="B788" s="1" t="n"/>
      <c r="C788" s="1" t="n"/>
      <c r="D788" s="1" t="n"/>
      <c r="E788" s="1" t="n"/>
      <c r="F788" s="1" t="n"/>
      <c r="G788" s="1" t="n"/>
      <c r="H788" s="1" t="n"/>
      <c r="I788" s="1" t="n"/>
      <c r="J788" s="1" t="n"/>
      <c r="K788" s="1" t="n"/>
      <c r="L788" s="1" t="n"/>
      <c r="M788" s="1" t="n"/>
    </row>
    <row r="789" ht="15.75" customHeight="1" s="311">
      <c r="A789" s="1" t="n"/>
      <c r="B789" s="1" t="n"/>
      <c r="C789" s="1" t="n"/>
      <c r="D789" s="1" t="n"/>
      <c r="E789" s="1" t="n"/>
      <c r="F789" s="1" t="n"/>
      <c r="G789" s="1" t="n"/>
      <c r="H789" s="1" t="n"/>
      <c r="I789" s="1" t="n"/>
      <c r="J789" s="1" t="n"/>
      <c r="K789" s="1" t="n"/>
      <c r="L789" s="1" t="n"/>
      <c r="M789" s="1" t="n"/>
    </row>
    <row r="790" ht="15.75" customHeight="1" s="311">
      <c r="A790" s="1" t="n"/>
      <c r="B790" s="1" t="n"/>
      <c r="C790" s="1" t="n"/>
      <c r="D790" s="1" t="n"/>
      <c r="E790" s="1" t="n"/>
      <c r="F790" s="1" t="n"/>
      <c r="G790" s="1" t="n"/>
      <c r="H790" s="1" t="n"/>
      <c r="I790" s="1" t="n"/>
      <c r="J790" s="1" t="n"/>
      <c r="K790" s="1" t="n"/>
      <c r="L790" s="1" t="n"/>
      <c r="M790" s="1" t="n"/>
    </row>
    <row r="791" ht="15.75" customHeight="1" s="311">
      <c r="A791" s="1" t="n"/>
      <c r="B791" s="1" t="n"/>
      <c r="C791" s="1" t="n"/>
      <c r="D791" s="1" t="n"/>
      <c r="E791" s="1" t="n"/>
      <c r="F791" s="1" t="n"/>
      <c r="G791" s="1" t="n"/>
      <c r="H791" s="1" t="n"/>
      <c r="I791" s="1" t="n"/>
      <c r="J791" s="1" t="n"/>
      <c r="K791" s="1" t="n"/>
      <c r="L791" s="1" t="n"/>
      <c r="M791" s="1" t="n"/>
    </row>
    <row r="792" ht="15.75" customHeight="1" s="311">
      <c r="A792" s="1" t="n"/>
      <c r="B792" s="1" t="n"/>
      <c r="C792" s="1" t="n"/>
      <c r="D792" s="1" t="n"/>
      <c r="E792" s="1" t="n"/>
      <c r="F792" s="1" t="n"/>
      <c r="G792" s="1" t="n"/>
      <c r="H792" s="1" t="n"/>
      <c r="I792" s="1" t="n"/>
      <c r="J792" s="1" t="n"/>
      <c r="K792" s="1" t="n"/>
      <c r="L792" s="1" t="n"/>
      <c r="M792" s="1" t="n"/>
    </row>
    <row r="793" ht="15.75" customHeight="1" s="311">
      <c r="A793" s="1" t="n"/>
      <c r="B793" s="1" t="n"/>
      <c r="C793" s="1" t="n"/>
      <c r="D793" s="1" t="n"/>
      <c r="E793" s="1" t="n"/>
      <c r="F793" s="1" t="n"/>
      <c r="G793" s="1" t="n"/>
      <c r="H793" s="1" t="n"/>
      <c r="I793" s="1" t="n"/>
      <c r="J793" s="1" t="n"/>
      <c r="K793" s="1" t="n"/>
      <c r="L793" s="1" t="n"/>
      <c r="M793" s="1" t="n"/>
    </row>
    <row r="794" ht="15.75" customHeight="1" s="311">
      <c r="A794" s="1" t="n"/>
      <c r="B794" s="1" t="n"/>
      <c r="C794" s="1" t="n"/>
      <c r="D794" s="1" t="n"/>
      <c r="E794" s="1" t="n"/>
      <c r="F794" s="1" t="n"/>
      <c r="G794" s="1" t="n"/>
      <c r="H794" s="1" t="n"/>
      <c r="I794" s="1" t="n"/>
      <c r="J794" s="1" t="n"/>
      <c r="K794" s="1" t="n"/>
      <c r="L794" s="1" t="n"/>
      <c r="M794" s="1" t="n"/>
    </row>
    <row r="795" ht="15.75" customHeight="1" s="311">
      <c r="A795" s="1" t="n"/>
      <c r="B795" s="1" t="n"/>
      <c r="C795" s="1" t="n"/>
      <c r="D795" s="1" t="n"/>
      <c r="E795" s="1" t="n"/>
      <c r="F795" s="1" t="n"/>
      <c r="G795" s="1" t="n"/>
      <c r="H795" s="1" t="n"/>
      <c r="I795" s="1" t="n"/>
      <c r="J795" s="1" t="n"/>
      <c r="K795" s="1" t="n"/>
      <c r="L795" s="1" t="n"/>
      <c r="M795" s="1" t="n"/>
    </row>
    <row r="796" ht="15.75" customHeight="1" s="311">
      <c r="A796" s="1" t="n"/>
      <c r="B796" s="1" t="n"/>
      <c r="C796" s="1" t="n"/>
      <c r="D796" s="1" t="n"/>
      <c r="E796" s="1" t="n"/>
      <c r="F796" s="1" t="n"/>
      <c r="G796" s="1" t="n"/>
      <c r="H796" s="1" t="n"/>
      <c r="I796" s="1" t="n"/>
      <c r="J796" s="1" t="n"/>
      <c r="K796" s="1" t="n"/>
      <c r="L796" s="1" t="n"/>
      <c r="M796" s="1" t="n"/>
    </row>
    <row r="797" ht="15.75" customHeight="1" s="311">
      <c r="A797" s="1" t="n"/>
      <c r="B797" s="1" t="n"/>
      <c r="C797" s="1" t="n"/>
      <c r="D797" s="1" t="n"/>
      <c r="E797" s="1" t="n"/>
      <c r="F797" s="1" t="n"/>
      <c r="G797" s="1" t="n"/>
      <c r="H797" s="1" t="n"/>
      <c r="I797" s="1" t="n"/>
      <c r="J797" s="1" t="n"/>
      <c r="K797" s="1" t="n"/>
      <c r="L797" s="1" t="n"/>
      <c r="M797" s="1" t="n"/>
    </row>
    <row r="798" ht="15.75" customHeight="1" s="311">
      <c r="A798" s="1" t="n"/>
      <c r="B798" s="1" t="n"/>
      <c r="C798" s="1" t="n"/>
      <c r="D798" s="1" t="n"/>
      <c r="E798" s="1" t="n"/>
      <c r="F798" s="1" t="n"/>
      <c r="G798" s="1" t="n"/>
      <c r="H798" s="1" t="n"/>
      <c r="I798" s="1" t="n"/>
      <c r="J798" s="1" t="n"/>
      <c r="K798" s="1" t="n"/>
      <c r="L798" s="1" t="n"/>
      <c r="M798" s="1" t="n"/>
    </row>
    <row r="799" ht="15.75" customHeight="1" s="311">
      <c r="A799" s="1" t="n"/>
      <c r="B799" s="1" t="n"/>
      <c r="C799" s="1" t="n"/>
      <c r="D799" s="1" t="n"/>
      <c r="E799" s="1" t="n"/>
      <c r="F799" s="1" t="n"/>
      <c r="G799" s="1" t="n"/>
      <c r="H799" s="1" t="n"/>
      <c r="I799" s="1" t="n"/>
      <c r="J799" s="1" t="n"/>
      <c r="K799" s="1" t="n"/>
      <c r="L799" s="1" t="n"/>
      <c r="M799" s="1" t="n"/>
    </row>
    <row r="800" ht="15.75" customHeight="1" s="311">
      <c r="A800" s="1" t="n"/>
      <c r="B800" s="1" t="n"/>
      <c r="C800" s="1" t="n"/>
      <c r="D800" s="1" t="n"/>
      <c r="E800" s="1" t="n"/>
      <c r="F800" s="1" t="n"/>
      <c r="G800" s="1" t="n"/>
      <c r="H800" s="1" t="n"/>
      <c r="I800" s="1" t="n"/>
      <c r="J800" s="1" t="n"/>
      <c r="K800" s="1" t="n"/>
      <c r="L800" s="1" t="n"/>
      <c r="M800" s="1" t="n"/>
    </row>
    <row r="801" ht="15.75" customHeight="1" s="311">
      <c r="A801" s="1" t="n"/>
      <c r="B801" s="1" t="n"/>
      <c r="C801" s="1" t="n"/>
      <c r="D801" s="1" t="n"/>
      <c r="E801" s="1" t="n"/>
      <c r="F801" s="1" t="n"/>
      <c r="G801" s="1" t="n"/>
      <c r="H801" s="1" t="n"/>
      <c r="I801" s="1" t="n"/>
      <c r="J801" s="1" t="n"/>
      <c r="K801" s="1" t="n"/>
      <c r="L801" s="1" t="n"/>
      <c r="M801" s="1" t="n"/>
    </row>
    <row r="802" ht="15.75" customHeight="1" s="311">
      <c r="A802" s="1" t="n"/>
      <c r="B802" s="1" t="n"/>
      <c r="C802" s="1" t="n"/>
      <c r="D802" s="1" t="n"/>
      <c r="E802" s="1" t="n"/>
      <c r="F802" s="1" t="n"/>
      <c r="G802" s="1" t="n"/>
      <c r="H802" s="1" t="n"/>
      <c r="I802" s="1" t="n"/>
      <c r="J802" s="1" t="n"/>
      <c r="K802" s="1" t="n"/>
      <c r="L802" s="1" t="n"/>
      <c r="M802" s="1" t="n"/>
    </row>
    <row r="803" ht="15.75" customHeight="1" s="311">
      <c r="A803" s="1" t="n"/>
      <c r="B803" s="1" t="n"/>
      <c r="C803" s="1" t="n"/>
      <c r="D803" s="1" t="n"/>
      <c r="E803" s="1" t="n"/>
      <c r="F803" s="1" t="n"/>
      <c r="G803" s="1" t="n"/>
      <c r="H803" s="1" t="n"/>
      <c r="I803" s="1" t="n"/>
      <c r="J803" s="1" t="n"/>
      <c r="K803" s="1" t="n"/>
      <c r="L803" s="1" t="n"/>
      <c r="M803" s="1" t="n"/>
    </row>
    <row r="804" ht="15.75" customHeight="1" s="311">
      <c r="A804" s="1" t="n"/>
      <c r="B804" s="1" t="n"/>
      <c r="C804" s="1" t="n"/>
      <c r="D804" s="1" t="n"/>
      <c r="E804" s="1" t="n"/>
      <c r="F804" s="1" t="n"/>
      <c r="G804" s="1" t="n"/>
      <c r="H804" s="1" t="n"/>
      <c r="I804" s="1" t="n"/>
      <c r="J804" s="1" t="n"/>
      <c r="K804" s="1" t="n"/>
      <c r="L804" s="1" t="n"/>
      <c r="M804" s="1" t="n"/>
    </row>
    <row r="805" ht="15.75" customHeight="1" s="311">
      <c r="A805" s="1" t="n"/>
      <c r="B805" s="1" t="n"/>
      <c r="C805" s="1" t="n"/>
      <c r="D805" s="1" t="n"/>
      <c r="E805" s="1" t="n"/>
      <c r="F805" s="1" t="n"/>
      <c r="G805" s="1" t="n"/>
      <c r="H805" s="1" t="n"/>
      <c r="I805" s="1" t="n"/>
      <c r="J805" s="1" t="n"/>
      <c r="K805" s="1" t="n"/>
      <c r="L805" s="1" t="n"/>
      <c r="M805" s="1" t="n"/>
    </row>
    <row r="806" ht="15.75" customHeight="1" s="311">
      <c r="A806" s="1" t="n"/>
      <c r="B806" s="1" t="n"/>
      <c r="C806" s="1" t="n"/>
      <c r="D806" s="1" t="n"/>
      <c r="E806" s="1" t="n"/>
      <c r="F806" s="1" t="n"/>
      <c r="G806" s="1" t="n"/>
      <c r="H806" s="1" t="n"/>
      <c r="I806" s="1" t="n"/>
      <c r="J806" s="1" t="n"/>
      <c r="K806" s="1" t="n"/>
      <c r="L806" s="1" t="n"/>
      <c r="M806" s="1" t="n"/>
    </row>
    <row r="807" ht="15.75" customHeight="1" s="311">
      <c r="A807" s="1" t="n"/>
      <c r="B807" s="1" t="n"/>
      <c r="C807" s="1" t="n"/>
      <c r="D807" s="1" t="n"/>
      <c r="E807" s="1" t="n"/>
      <c r="F807" s="1" t="n"/>
      <c r="G807" s="1" t="n"/>
      <c r="H807" s="1" t="n"/>
      <c r="I807" s="1" t="n"/>
      <c r="J807" s="1" t="n"/>
      <c r="K807" s="1" t="n"/>
      <c r="L807" s="1" t="n"/>
      <c r="M807" s="1" t="n"/>
    </row>
    <row r="808" ht="15.75" customHeight="1" s="311">
      <c r="A808" s="1" t="n"/>
      <c r="B808" s="1" t="n"/>
      <c r="C808" s="1" t="n"/>
      <c r="D808" s="1" t="n"/>
      <c r="E808" s="1" t="n"/>
      <c r="F808" s="1" t="n"/>
      <c r="G808" s="1" t="n"/>
      <c r="H808" s="1" t="n"/>
      <c r="I808" s="1" t="n"/>
      <c r="J808" s="1" t="n"/>
      <c r="K808" s="1" t="n"/>
      <c r="L808" s="1" t="n"/>
      <c r="M808" s="1" t="n"/>
    </row>
    <row r="809" ht="15.75" customHeight="1" s="311">
      <c r="A809" s="1" t="n"/>
      <c r="B809" s="1" t="n"/>
      <c r="C809" s="1" t="n"/>
      <c r="D809" s="1" t="n"/>
      <c r="E809" s="1" t="n"/>
      <c r="F809" s="1" t="n"/>
      <c r="G809" s="1" t="n"/>
      <c r="H809" s="1" t="n"/>
      <c r="I809" s="1" t="n"/>
      <c r="J809" s="1" t="n"/>
      <c r="K809" s="1" t="n"/>
      <c r="L809" s="1" t="n"/>
      <c r="M809" s="1" t="n"/>
    </row>
    <row r="810" ht="15.75" customHeight="1" s="311">
      <c r="A810" s="1" t="n"/>
      <c r="B810" s="1" t="n"/>
      <c r="C810" s="1" t="n"/>
      <c r="D810" s="1" t="n"/>
      <c r="E810" s="1" t="n"/>
      <c r="F810" s="1" t="n"/>
      <c r="G810" s="1" t="n"/>
      <c r="H810" s="1" t="n"/>
      <c r="I810" s="1" t="n"/>
      <c r="J810" s="1" t="n"/>
      <c r="K810" s="1" t="n"/>
      <c r="L810" s="1" t="n"/>
      <c r="M810" s="1" t="n"/>
    </row>
    <row r="811" ht="15.75" customHeight="1" s="311">
      <c r="A811" s="1" t="n"/>
      <c r="B811" s="1" t="n"/>
      <c r="C811" s="1" t="n"/>
      <c r="D811" s="1" t="n"/>
      <c r="E811" s="1" t="n"/>
      <c r="F811" s="1" t="n"/>
      <c r="G811" s="1" t="n"/>
      <c r="H811" s="1" t="n"/>
      <c r="I811" s="1" t="n"/>
      <c r="J811" s="1" t="n"/>
      <c r="K811" s="1" t="n"/>
      <c r="L811" s="1" t="n"/>
      <c r="M811" s="1" t="n"/>
    </row>
    <row r="812" ht="15.75" customHeight="1" s="311">
      <c r="A812" s="1" t="n"/>
      <c r="B812" s="1" t="n"/>
      <c r="C812" s="1" t="n"/>
      <c r="D812" s="1" t="n"/>
      <c r="E812" s="1" t="n"/>
      <c r="F812" s="1" t="n"/>
      <c r="G812" s="1" t="n"/>
      <c r="H812" s="1" t="n"/>
      <c r="I812" s="1" t="n"/>
      <c r="J812" s="1" t="n"/>
      <c r="K812" s="1" t="n"/>
      <c r="L812" s="1" t="n"/>
      <c r="M812" s="1" t="n"/>
    </row>
    <row r="813" ht="15.75" customHeight="1" s="311">
      <c r="A813" s="1" t="n"/>
      <c r="B813" s="1" t="n"/>
      <c r="C813" s="1" t="n"/>
      <c r="D813" s="1" t="n"/>
      <c r="E813" s="1" t="n"/>
      <c r="F813" s="1" t="n"/>
      <c r="G813" s="1" t="n"/>
      <c r="H813" s="1" t="n"/>
      <c r="I813" s="1" t="n"/>
      <c r="J813" s="1" t="n"/>
      <c r="K813" s="1" t="n"/>
      <c r="L813" s="1" t="n"/>
      <c r="M813" s="1" t="n"/>
    </row>
    <row r="814" ht="15.75" customHeight="1" s="311">
      <c r="A814" s="1" t="n"/>
      <c r="B814" s="1" t="n"/>
      <c r="C814" s="1" t="n"/>
      <c r="D814" s="1" t="n"/>
      <c r="E814" s="1" t="n"/>
      <c r="F814" s="1" t="n"/>
      <c r="G814" s="1" t="n"/>
      <c r="H814" s="1" t="n"/>
      <c r="I814" s="1" t="n"/>
      <c r="J814" s="1" t="n"/>
      <c r="K814" s="1" t="n"/>
      <c r="L814" s="1" t="n"/>
      <c r="M814" s="1" t="n"/>
    </row>
    <row r="815" ht="15.75" customHeight="1" s="311">
      <c r="A815" s="1" t="n"/>
      <c r="B815" s="1" t="n"/>
      <c r="C815" s="1" t="n"/>
      <c r="D815" s="1" t="n"/>
      <c r="E815" s="1" t="n"/>
      <c r="F815" s="1" t="n"/>
      <c r="G815" s="1" t="n"/>
      <c r="H815" s="1" t="n"/>
      <c r="I815" s="1" t="n"/>
      <c r="J815" s="1" t="n"/>
      <c r="K815" s="1" t="n"/>
      <c r="L815" s="1" t="n"/>
      <c r="M815" s="1" t="n"/>
    </row>
    <row r="816" ht="15.75" customHeight="1" s="311">
      <c r="A816" s="1" t="n"/>
      <c r="B816" s="1" t="n"/>
      <c r="C816" s="1" t="n"/>
      <c r="D816" s="1" t="n"/>
      <c r="E816" s="1" t="n"/>
      <c r="F816" s="1" t="n"/>
      <c r="G816" s="1" t="n"/>
      <c r="H816" s="1" t="n"/>
      <c r="I816" s="1" t="n"/>
      <c r="J816" s="1" t="n"/>
      <c r="K816" s="1" t="n"/>
      <c r="L816" s="1" t="n"/>
      <c r="M816" s="1" t="n"/>
    </row>
    <row r="817" ht="15.75" customHeight="1" s="311">
      <c r="A817" s="1" t="n"/>
      <c r="B817" s="1" t="n"/>
      <c r="C817" s="1" t="n"/>
      <c r="D817" s="1" t="n"/>
      <c r="E817" s="1" t="n"/>
      <c r="F817" s="1" t="n"/>
      <c r="G817" s="1" t="n"/>
      <c r="H817" s="1" t="n"/>
      <c r="I817" s="1" t="n"/>
      <c r="J817" s="1" t="n"/>
      <c r="K817" s="1" t="n"/>
      <c r="L817" s="1" t="n"/>
      <c r="M817" s="1" t="n"/>
    </row>
    <row r="818" ht="15.75" customHeight="1" s="311">
      <c r="A818" s="1" t="n"/>
      <c r="B818" s="1" t="n"/>
      <c r="C818" s="1" t="n"/>
      <c r="D818" s="1" t="n"/>
      <c r="E818" s="1" t="n"/>
      <c r="F818" s="1" t="n"/>
      <c r="G818" s="1" t="n"/>
      <c r="H818" s="1" t="n"/>
      <c r="I818" s="1" t="n"/>
      <c r="J818" s="1" t="n"/>
      <c r="K818" s="1" t="n"/>
      <c r="L818" s="1" t="n"/>
      <c r="M818" s="1" t="n"/>
    </row>
    <row r="819" ht="15.75" customHeight="1" s="311">
      <c r="A819" s="1" t="n"/>
      <c r="B819" s="1" t="n"/>
      <c r="C819" s="1" t="n"/>
      <c r="D819" s="1" t="n"/>
      <c r="E819" s="1" t="n"/>
      <c r="F819" s="1" t="n"/>
      <c r="G819" s="1" t="n"/>
      <c r="H819" s="1" t="n"/>
      <c r="I819" s="1" t="n"/>
      <c r="J819" s="1" t="n"/>
      <c r="K819" s="1" t="n"/>
      <c r="L819" s="1" t="n"/>
      <c r="M819" s="1" t="n"/>
    </row>
    <row r="820" ht="15.75" customHeight="1" s="311">
      <c r="A820" s="1" t="n"/>
      <c r="B820" s="1" t="n"/>
      <c r="C820" s="1" t="n"/>
      <c r="D820" s="1" t="n"/>
      <c r="E820" s="1" t="n"/>
      <c r="F820" s="1" t="n"/>
      <c r="G820" s="1" t="n"/>
      <c r="H820" s="1" t="n"/>
      <c r="I820" s="1" t="n"/>
      <c r="J820" s="1" t="n"/>
      <c r="K820" s="1" t="n"/>
      <c r="L820" s="1" t="n"/>
      <c r="M820" s="1" t="n"/>
    </row>
    <row r="821" ht="15.75" customHeight="1" s="311">
      <c r="A821" s="1" t="n"/>
      <c r="B821" s="1" t="n"/>
      <c r="C821" s="1" t="n"/>
      <c r="D821" s="1" t="n"/>
      <c r="E821" s="1" t="n"/>
      <c r="F821" s="1" t="n"/>
      <c r="G821" s="1" t="n"/>
      <c r="H821" s="1" t="n"/>
      <c r="I821" s="1" t="n"/>
      <c r="J821" s="1" t="n"/>
      <c r="K821" s="1" t="n"/>
      <c r="L821" s="1" t="n"/>
      <c r="M821" s="1" t="n"/>
    </row>
    <row r="822" ht="15.75" customHeight="1" s="311">
      <c r="A822" s="1" t="n"/>
      <c r="B822" s="1" t="n"/>
      <c r="C822" s="1" t="n"/>
      <c r="D822" s="1" t="n"/>
      <c r="E822" s="1" t="n"/>
      <c r="F822" s="1" t="n"/>
      <c r="G822" s="1" t="n"/>
      <c r="H822" s="1" t="n"/>
      <c r="I822" s="1" t="n"/>
      <c r="J822" s="1" t="n"/>
      <c r="K822" s="1" t="n"/>
      <c r="L822" s="1" t="n"/>
      <c r="M822" s="1" t="n"/>
    </row>
    <row r="823" ht="15.75" customHeight="1" s="311">
      <c r="A823" s="1" t="n"/>
      <c r="B823" s="1" t="n"/>
      <c r="C823" s="1" t="n"/>
      <c r="D823" s="1" t="n"/>
      <c r="E823" s="1" t="n"/>
      <c r="F823" s="1" t="n"/>
      <c r="G823" s="1" t="n"/>
      <c r="H823" s="1" t="n"/>
      <c r="I823" s="1" t="n"/>
      <c r="J823" s="1" t="n"/>
      <c r="K823" s="1" t="n"/>
      <c r="L823" s="1" t="n"/>
      <c r="M823" s="1" t="n"/>
    </row>
    <row r="824" ht="15.75" customHeight="1" s="311">
      <c r="A824" s="1" t="n"/>
      <c r="B824" s="1" t="n"/>
      <c r="C824" s="1" t="n"/>
      <c r="D824" s="1" t="n"/>
      <c r="E824" s="1" t="n"/>
      <c r="F824" s="1" t="n"/>
      <c r="G824" s="1" t="n"/>
      <c r="H824" s="1" t="n"/>
      <c r="I824" s="1" t="n"/>
      <c r="J824" s="1" t="n"/>
      <c r="K824" s="1" t="n"/>
      <c r="L824" s="1" t="n"/>
      <c r="M824" s="1" t="n"/>
    </row>
    <row r="825" ht="15.75" customHeight="1" s="311">
      <c r="A825" s="1" t="n"/>
      <c r="B825" s="1" t="n"/>
      <c r="C825" s="1" t="n"/>
      <c r="D825" s="1" t="n"/>
      <c r="E825" s="1" t="n"/>
      <c r="F825" s="1" t="n"/>
      <c r="G825" s="1" t="n"/>
      <c r="H825" s="1" t="n"/>
      <c r="I825" s="1" t="n"/>
      <c r="J825" s="1" t="n"/>
      <c r="K825" s="1" t="n"/>
      <c r="L825" s="1" t="n"/>
      <c r="M825" s="1" t="n"/>
    </row>
    <row r="826" ht="15.75" customHeight="1" s="311">
      <c r="A826" s="1" t="n"/>
      <c r="B826" s="1" t="n"/>
      <c r="C826" s="1" t="n"/>
      <c r="D826" s="1" t="n"/>
      <c r="E826" s="1" t="n"/>
      <c r="F826" s="1" t="n"/>
      <c r="G826" s="1" t="n"/>
      <c r="H826" s="1" t="n"/>
      <c r="I826" s="1" t="n"/>
      <c r="J826" s="1" t="n"/>
      <c r="K826" s="1" t="n"/>
      <c r="L826" s="1" t="n"/>
      <c r="M826" s="1" t="n"/>
    </row>
    <row r="827" ht="15.75" customHeight="1" s="311">
      <c r="A827" s="1" t="n"/>
      <c r="B827" s="1" t="n"/>
      <c r="C827" s="1" t="n"/>
      <c r="D827" s="1" t="n"/>
      <c r="E827" s="1" t="n"/>
      <c r="F827" s="1" t="n"/>
      <c r="G827" s="1" t="n"/>
      <c r="H827" s="1" t="n"/>
      <c r="I827" s="1" t="n"/>
      <c r="J827" s="1" t="n"/>
      <c r="K827" s="1" t="n"/>
      <c r="L827" s="1" t="n"/>
      <c r="M827" s="1" t="n"/>
    </row>
    <row r="828" ht="15.75" customHeight="1" s="311">
      <c r="A828" s="1" t="n"/>
      <c r="B828" s="1" t="n"/>
      <c r="C828" s="1" t="n"/>
      <c r="D828" s="1" t="n"/>
      <c r="E828" s="1" t="n"/>
      <c r="F828" s="1" t="n"/>
      <c r="G828" s="1" t="n"/>
      <c r="H828" s="1" t="n"/>
      <c r="I828" s="1" t="n"/>
      <c r="J828" s="1" t="n"/>
      <c r="K828" s="1" t="n"/>
      <c r="L828" s="1" t="n"/>
      <c r="M828" s="1" t="n"/>
    </row>
    <row r="829" ht="15.75" customHeight="1" s="311">
      <c r="A829" s="1" t="n"/>
      <c r="B829" s="1" t="n"/>
      <c r="C829" s="1" t="n"/>
      <c r="D829" s="1" t="n"/>
      <c r="E829" s="1" t="n"/>
      <c r="F829" s="1" t="n"/>
      <c r="G829" s="1" t="n"/>
      <c r="H829" s="1" t="n"/>
      <c r="I829" s="1" t="n"/>
      <c r="J829" s="1" t="n"/>
      <c r="K829" s="1" t="n"/>
      <c r="L829" s="1" t="n"/>
      <c r="M829" s="1" t="n"/>
    </row>
    <row r="830" ht="15.75" customHeight="1" s="311">
      <c r="A830" s="1" t="n"/>
      <c r="B830" s="1" t="n"/>
      <c r="C830" s="1" t="n"/>
      <c r="D830" s="1" t="n"/>
      <c r="E830" s="1" t="n"/>
      <c r="F830" s="1" t="n"/>
      <c r="G830" s="1" t="n"/>
      <c r="H830" s="1" t="n"/>
      <c r="I830" s="1" t="n"/>
      <c r="J830" s="1" t="n"/>
      <c r="K830" s="1" t="n"/>
      <c r="L830" s="1" t="n"/>
      <c r="M830" s="1" t="n"/>
    </row>
    <row r="831" ht="15.75" customHeight="1" s="311">
      <c r="A831" s="1" t="n"/>
      <c r="B831" s="1" t="n"/>
      <c r="C831" s="1" t="n"/>
      <c r="D831" s="1" t="n"/>
      <c r="E831" s="1" t="n"/>
      <c r="F831" s="1" t="n"/>
      <c r="G831" s="1" t="n"/>
      <c r="H831" s="1" t="n"/>
      <c r="I831" s="1" t="n"/>
      <c r="J831" s="1" t="n"/>
      <c r="K831" s="1" t="n"/>
      <c r="L831" s="1" t="n"/>
      <c r="M831" s="1" t="n"/>
    </row>
    <row r="832" ht="15.75" customHeight="1" s="311">
      <c r="A832" s="1" t="n"/>
      <c r="B832" s="1" t="n"/>
      <c r="C832" s="1" t="n"/>
      <c r="D832" s="1" t="n"/>
      <c r="E832" s="1" t="n"/>
      <c r="F832" s="1" t="n"/>
      <c r="G832" s="1" t="n"/>
      <c r="H832" s="1" t="n"/>
      <c r="I832" s="1" t="n"/>
      <c r="J832" s="1" t="n"/>
      <c r="K832" s="1" t="n"/>
      <c r="L832" s="1" t="n"/>
      <c r="M832" s="1" t="n"/>
    </row>
    <row r="833" ht="15.75" customHeight="1" s="311">
      <c r="A833" s="1" t="n"/>
      <c r="B833" s="1" t="n"/>
      <c r="C833" s="1" t="n"/>
      <c r="D833" s="1" t="n"/>
      <c r="E833" s="1" t="n"/>
      <c r="F833" s="1" t="n"/>
      <c r="G833" s="1" t="n"/>
      <c r="H833" s="1" t="n"/>
      <c r="I833" s="1" t="n"/>
      <c r="J833" s="1" t="n"/>
      <c r="K833" s="1" t="n"/>
      <c r="L833" s="1" t="n"/>
      <c r="M833" s="1" t="n"/>
    </row>
    <row r="834" ht="15.75" customHeight="1" s="311">
      <c r="A834" s="1" t="n"/>
      <c r="B834" s="1" t="n"/>
      <c r="C834" s="1" t="n"/>
      <c r="D834" s="1" t="n"/>
      <c r="E834" s="1" t="n"/>
      <c r="F834" s="1" t="n"/>
      <c r="G834" s="1" t="n"/>
      <c r="H834" s="1" t="n"/>
      <c r="I834" s="1" t="n"/>
      <c r="J834" s="1" t="n"/>
      <c r="K834" s="1" t="n"/>
      <c r="L834" s="1" t="n"/>
      <c r="M834" s="1" t="n"/>
    </row>
    <row r="835" ht="15.75" customHeight="1" s="311">
      <c r="A835" s="1" t="n"/>
      <c r="B835" s="1" t="n"/>
      <c r="C835" s="1" t="n"/>
      <c r="D835" s="1" t="n"/>
      <c r="E835" s="1" t="n"/>
      <c r="F835" s="1" t="n"/>
      <c r="G835" s="1" t="n"/>
      <c r="H835" s="1" t="n"/>
      <c r="I835" s="1" t="n"/>
      <c r="J835" s="1" t="n"/>
      <c r="K835" s="1" t="n"/>
      <c r="L835" s="1" t="n"/>
      <c r="M835" s="1" t="n"/>
    </row>
    <row r="836" ht="15.75" customHeight="1" s="311">
      <c r="A836" s="1" t="n"/>
      <c r="B836" s="1" t="n"/>
      <c r="C836" s="1" t="n"/>
      <c r="D836" s="1" t="n"/>
      <c r="E836" s="1" t="n"/>
      <c r="F836" s="1" t="n"/>
      <c r="G836" s="1" t="n"/>
      <c r="H836" s="1" t="n"/>
      <c r="I836" s="1" t="n"/>
      <c r="J836" s="1" t="n"/>
      <c r="K836" s="1" t="n"/>
      <c r="L836" s="1" t="n"/>
      <c r="M836" s="1" t="n"/>
    </row>
    <row r="837" ht="15.75" customHeight="1" s="311">
      <c r="A837" s="1" t="n"/>
      <c r="B837" s="1" t="n"/>
      <c r="C837" s="1" t="n"/>
      <c r="D837" s="1" t="n"/>
      <c r="E837" s="1" t="n"/>
      <c r="F837" s="1" t="n"/>
      <c r="G837" s="1" t="n"/>
      <c r="H837" s="1" t="n"/>
      <c r="I837" s="1" t="n"/>
      <c r="J837" s="1" t="n"/>
      <c r="K837" s="1" t="n"/>
      <c r="L837" s="1" t="n"/>
      <c r="M837" s="1" t="n"/>
    </row>
    <row r="838" ht="15.75" customHeight="1" s="311">
      <c r="A838" s="1" t="n"/>
      <c r="B838" s="1" t="n"/>
      <c r="C838" s="1" t="n"/>
      <c r="D838" s="1" t="n"/>
      <c r="E838" s="1" t="n"/>
      <c r="F838" s="1" t="n"/>
      <c r="G838" s="1" t="n"/>
      <c r="H838" s="1" t="n"/>
      <c r="I838" s="1" t="n"/>
      <c r="J838" s="1" t="n"/>
      <c r="K838" s="1" t="n"/>
      <c r="L838" s="1" t="n"/>
      <c r="M838" s="1" t="n"/>
    </row>
    <row r="839" ht="15.75" customHeight="1" s="311">
      <c r="A839" s="1" t="n"/>
      <c r="B839" s="1" t="n"/>
      <c r="C839" s="1" t="n"/>
      <c r="D839" s="1" t="n"/>
      <c r="E839" s="1" t="n"/>
      <c r="F839" s="1" t="n"/>
      <c r="G839" s="1" t="n"/>
      <c r="H839" s="1" t="n"/>
      <c r="I839" s="1" t="n"/>
      <c r="J839" s="1" t="n"/>
      <c r="K839" s="1" t="n"/>
      <c r="L839" s="1" t="n"/>
      <c r="M839" s="1" t="n"/>
    </row>
    <row r="840" ht="15.75" customHeight="1" s="311">
      <c r="A840" s="1" t="n"/>
      <c r="B840" s="1" t="n"/>
      <c r="C840" s="1" t="n"/>
      <c r="D840" s="1" t="n"/>
      <c r="E840" s="1" t="n"/>
      <c r="F840" s="1" t="n"/>
      <c r="G840" s="1" t="n"/>
      <c r="H840" s="1" t="n"/>
      <c r="I840" s="1" t="n"/>
      <c r="J840" s="1" t="n"/>
      <c r="K840" s="1" t="n"/>
      <c r="L840" s="1" t="n"/>
      <c r="M840" s="1" t="n"/>
    </row>
    <row r="841" ht="15.75" customHeight="1" s="311">
      <c r="A841" s="1" t="n"/>
      <c r="B841" s="1" t="n"/>
      <c r="C841" s="1" t="n"/>
      <c r="D841" s="1" t="n"/>
      <c r="E841" s="1" t="n"/>
      <c r="F841" s="1" t="n"/>
      <c r="G841" s="1" t="n"/>
      <c r="H841" s="1" t="n"/>
      <c r="I841" s="1" t="n"/>
      <c r="J841" s="1" t="n"/>
      <c r="K841" s="1" t="n"/>
      <c r="L841" s="1" t="n"/>
      <c r="M841" s="1" t="n"/>
    </row>
    <row r="842" ht="15.75" customHeight="1" s="311">
      <c r="A842" s="1" t="n"/>
      <c r="B842" s="1" t="n"/>
      <c r="C842" s="1" t="n"/>
      <c r="D842" s="1" t="n"/>
      <c r="E842" s="1" t="n"/>
      <c r="F842" s="1" t="n"/>
      <c r="G842" s="1" t="n"/>
      <c r="H842" s="1" t="n"/>
      <c r="I842" s="1" t="n"/>
      <c r="J842" s="1" t="n"/>
      <c r="K842" s="1" t="n"/>
      <c r="L842" s="1" t="n"/>
      <c r="M842" s="1" t="n"/>
    </row>
    <row r="843" ht="15.75" customHeight="1" s="311">
      <c r="A843" s="1" t="n"/>
      <c r="B843" s="1" t="n"/>
      <c r="C843" s="1" t="n"/>
      <c r="D843" s="1" t="n"/>
      <c r="E843" s="1" t="n"/>
      <c r="F843" s="1" t="n"/>
      <c r="G843" s="1" t="n"/>
      <c r="H843" s="1" t="n"/>
      <c r="I843" s="1" t="n"/>
      <c r="J843" s="1" t="n"/>
      <c r="K843" s="1" t="n"/>
      <c r="L843" s="1" t="n"/>
      <c r="M843" s="1" t="n"/>
    </row>
    <row r="844" ht="15.75" customHeight="1" s="311">
      <c r="A844" s="1" t="n"/>
      <c r="B844" s="1" t="n"/>
      <c r="C844" s="1" t="n"/>
      <c r="D844" s="1" t="n"/>
      <c r="E844" s="1" t="n"/>
      <c r="F844" s="1" t="n"/>
      <c r="G844" s="1" t="n"/>
      <c r="H844" s="1" t="n"/>
      <c r="I844" s="1" t="n"/>
      <c r="J844" s="1" t="n"/>
      <c r="K844" s="1" t="n"/>
      <c r="L844" s="1" t="n"/>
      <c r="M844" s="1" t="n"/>
    </row>
    <row r="845" ht="15.75" customHeight="1" s="311">
      <c r="A845" s="1" t="n"/>
      <c r="B845" s="1" t="n"/>
      <c r="C845" s="1" t="n"/>
      <c r="D845" s="1" t="n"/>
      <c r="E845" s="1" t="n"/>
      <c r="F845" s="1" t="n"/>
      <c r="G845" s="1" t="n"/>
      <c r="H845" s="1" t="n"/>
      <c r="I845" s="1" t="n"/>
      <c r="J845" s="1" t="n"/>
      <c r="K845" s="1" t="n"/>
      <c r="L845" s="1" t="n"/>
      <c r="M845" s="1" t="n"/>
    </row>
    <row r="846" ht="15.75" customHeight="1" s="311">
      <c r="A846" s="1" t="n"/>
      <c r="B846" s="1" t="n"/>
      <c r="C846" s="1" t="n"/>
      <c r="D846" s="1" t="n"/>
      <c r="E846" s="1" t="n"/>
      <c r="F846" s="1" t="n"/>
      <c r="G846" s="1" t="n"/>
      <c r="H846" s="1" t="n"/>
      <c r="I846" s="1" t="n"/>
      <c r="J846" s="1" t="n"/>
      <c r="K846" s="1" t="n"/>
      <c r="L846" s="1" t="n"/>
      <c r="M846" s="1" t="n"/>
    </row>
    <row r="847" ht="15.75" customHeight="1" s="311">
      <c r="A847" s="1" t="n"/>
      <c r="B847" s="1" t="n"/>
      <c r="C847" s="1" t="n"/>
      <c r="D847" s="1" t="n"/>
      <c r="E847" s="1" t="n"/>
      <c r="F847" s="1" t="n"/>
      <c r="G847" s="1" t="n"/>
      <c r="H847" s="1" t="n"/>
      <c r="I847" s="1" t="n"/>
      <c r="J847" s="1" t="n"/>
      <c r="K847" s="1" t="n"/>
      <c r="L847" s="1" t="n"/>
      <c r="M847" s="1" t="n"/>
    </row>
    <row r="848" ht="15.75" customHeight="1" s="311">
      <c r="A848" s="1" t="n"/>
      <c r="B848" s="1" t="n"/>
      <c r="C848" s="1" t="n"/>
      <c r="D848" s="1" t="n"/>
      <c r="E848" s="1" t="n"/>
      <c r="F848" s="1" t="n"/>
      <c r="G848" s="1" t="n"/>
      <c r="H848" s="1" t="n"/>
      <c r="I848" s="1" t="n"/>
      <c r="J848" s="1" t="n"/>
      <c r="K848" s="1" t="n"/>
      <c r="L848" s="1" t="n"/>
      <c r="M848" s="1" t="n"/>
    </row>
    <row r="849" ht="15.75" customHeight="1" s="311">
      <c r="A849" s="1" t="n"/>
      <c r="B849" s="1" t="n"/>
      <c r="C849" s="1" t="n"/>
      <c r="D849" s="1" t="n"/>
      <c r="E849" s="1" t="n"/>
      <c r="F849" s="1" t="n"/>
      <c r="G849" s="1" t="n"/>
      <c r="H849" s="1" t="n"/>
      <c r="I849" s="1" t="n"/>
      <c r="J849" s="1" t="n"/>
      <c r="K849" s="1" t="n"/>
      <c r="L849" s="1" t="n"/>
      <c r="M849" s="1" t="n"/>
    </row>
    <row r="850" ht="15.75" customHeight="1" s="311">
      <c r="A850" s="1" t="n"/>
      <c r="B850" s="1" t="n"/>
      <c r="C850" s="1" t="n"/>
      <c r="D850" s="1" t="n"/>
      <c r="E850" s="1" t="n"/>
      <c r="F850" s="1" t="n"/>
      <c r="G850" s="1" t="n"/>
      <c r="H850" s="1" t="n"/>
      <c r="I850" s="1" t="n"/>
      <c r="J850" s="1" t="n"/>
      <c r="K850" s="1" t="n"/>
      <c r="L850" s="1" t="n"/>
      <c r="M850" s="1" t="n"/>
    </row>
    <row r="851" ht="15.75" customHeight="1" s="311">
      <c r="A851" s="1" t="n"/>
      <c r="B851" s="1" t="n"/>
      <c r="C851" s="1" t="n"/>
      <c r="D851" s="1" t="n"/>
      <c r="E851" s="1" t="n"/>
      <c r="F851" s="1" t="n"/>
      <c r="G851" s="1" t="n"/>
      <c r="H851" s="1" t="n"/>
      <c r="I851" s="1" t="n"/>
      <c r="J851" s="1" t="n"/>
      <c r="K851" s="1" t="n"/>
      <c r="L851" s="1" t="n"/>
      <c r="M851" s="1" t="n"/>
    </row>
    <row r="852" ht="15.75" customHeight="1" s="311">
      <c r="A852" s="1" t="n"/>
      <c r="B852" s="1" t="n"/>
      <c r="C852" s="1" t="n"/>
      <c r="D852" s="1" t="n"/>
      <c r="E852" s="1" t="n"/>
      <c r="F852" s="1" t="n"/>
      <c r="G852" s="1" t="n"/>
      <c r="H852" s="1" t="n"/>
      <c r="I852" s="1" t="n"/>
      <c r="J852" s="1" t="n"/>
      <c r="K852" s="1" t="n"/>
      <c r="L852" s="1" t="n"/>
      <c r="M852" s="1" t="n"/>
    </row>
    <row r="853" ht="15.75" customHeight="1" s="311">
      <c r="A853" s="1" t="n"/>
      <c r="B853" s="1" t="n"/>
      <c r="C853" s="1" t="n"/>
      <c r="D853" s="1" t="n"/>
      <c r="E853" s="1" t="n"/>
      <c r="F853" s="1" t="n"/>
      <c r="G853" s="1" t="n"/>
      <c r="H853" s="1" t="n"/>
      <c r="I853" s="1" t="n"/>
      <c r="J853" s="1" t="n"/>
      <c r="K853" s="1" t="n"/>
      <c r="L853" s="1" t="n"/>
      <c r="M853" s="1" t="n"/>
    </row>
    <row r="854" ht="15.75" customHeight="1" s="311">
      <c r="A854" s="1" t="n"/>
      <c r="B854" s="1" t="n"/>
      <c r="C854" s="1" t="n"/>
      <c r="D854" s="1" t="n"/>
      <c r="E854" s="1" t="n"/>
      <c r="F854" s="1" t="n"/>
      <c r="G854" s="1" t="n"/>
      <c r="H854" s="1" t="n"/>
      <c r="I854" s="1" t="n"/>
      <c r="J854" s="1" t="n"/>
      <c r="K854" s="1" t="n"/>
      <c r="L854" s="1" t="n"/>
      <c r="M854" s="1" t="n"/>
    </row>
    <row r="855" ht="15.75" customHeight="1" s="311">
      <c r="A855" s="1" t="n"/>
      <c r="B855" s="1" t="n"/>
      <c r="C855" s="1" t="n"/>
      <c r="D855" s="1" t="n"/>
      <c r="E855" s="1" t="n"/>
      <c r="F855" s="1" t="n"/>
      <c r="G855" s="1" t="n"/>
      <c r="H855" s="1" t="n"/>
      <c r="I855" s="1" t="n"/>
      <c r="J855" s="1" t="n"/>
      <c r="K855" s="1" t="n"/>
      <c r="L855" s="1" t="n"/>
      <c r="M855" s="1" t="n"/>
    </row>
    <row r="856" ht="15.75" customHeight="1" s="311">
      <c r="A856" s="1" t="n"/>
      <c r="B856" s="1" t="n"/>
      <c r="C856" s="1" t="n"/>
      <c r="D856" s="1" t="n"/>
      <c r="E856" s="1" t="n"/>
      <c r="F856" s="1" t="n"/>
      <c r="G856" s="1" t="n"/>
      <c r="H856" s="1" t="n"/>
      <c r="I856" s="1" t="n"/>
      <c r="J856" s="1" t="n"/>
      <c r="K856" s="1" t="n"/>
      <c r="L856" s="1" t="n"/>
      <c r="M856" s="1" t="n"/>
    </row>
    <row r="857" ht="15.75" customHeight="1" s="311">
      <c r="A857" s="1" t="n"/>
      <c r="B857" s="1" t="n"/>
      <c r="C857" s="1" t="n"/>
      <c r="D857" s="1" t="n"/>
      <c r="E857" s="1" t="n"/>
      <c r="F857" s="1" t="n"/>
      <c r="G857" s="1" t="n"/>
      <c r="H857" s="1" t="n"/>
      <c r="I857" s="1" t="n"/>
      <c r="J857" s="1" t="n"/>
      <c r="K857" s="1" t="n"/>
      <c r="L857" s="1" t="n"/>
      <c r="M857" s="1" t="n"/>
    </row>
    <row r="858" ht="15.75" customHeight="1" s="311">
      <c r="A858" s="1" t="n"/>
      <c r="B858" s="1" t="n"/>
      <c r="C858" s="1" t="n"/>
      <c r="D858" s="1" t="n"/>
      <c r="E858" s="1" t="n"/>
      <c r="F858" s="1" t="n"/>
      <c r="G858" s="1" t="n"/>
      <c r="H858" s="1" t="n"/>
      <c r="I858" s="1" t="n"/>
      <c r="J858" s="1" t="n"/>
      <c r="K858" s="1" t="n"/>
      <c r="L858" s="1" t="n"/>
      <c r="M858" s="1" t="n"/>
    </row>
    <row r="859" ht="15.75" customHeight="1" s="311">
      <c r="A859" s="1" t="n"/>
      <c r="B859" s="1" t="n"/>
      <c r="C859" s="1" t="n"/>
      <c r="D859" s="1" t="n"/>
      <c r="E859" s="1" t="n"/>
      <c r="F859" s="1" t="n"/>
      <c r="G859" s="1" t="n"/>
      <c r="H859" s="1" t="n"/>
      <c r="I859" s="1" t="n"/>
      <c r="J859" s="1" t="n"/>
      <c r="K859" s="1" t="n"/>
      <c r="L859" s="1" t="n"/>
      <c r="M859" s="1" t="n"/>
    </row>
    <row r="860" ht="15.75" customHeight="1" s="311">
      <c r="A860" s="1" t="n"/>
      <c r="B860" s="1" t="n"/>
      <c r="C860" s="1" t="n"/>
      <c r="D860" s="1" t="n"/>
      <c r="E860" s="1" t="n"/>
      <c r="F860" s="1" t="n"/>
      <c r="G860" s="1" t="n"/>
      <c r="H860" s="1" t="n"/>
      <c r="I860" s="1" t="n"/>
      <c r="J860" s="1" t="n"/>
      <c r="K860" s="1" t="n"/>
      <c r="L860" s="1" t="n"/>
      <c r="M860" s="1" t="n"/>
    </row>
    <row r="861" ht="15.75" customHeight="1" s="311">
      <c r="A861" s="1" t="n"/>
      <c r="B861" s="1" t="n"/>
      <c r="C861" s="1" t="n"/>
      <c r="D861" s="1" t="n"/>
      <c r="E861" s="1" t="n"/>
      <c r="F861" s="1" t="n"/>
      <c r="G861" s="1" t="n"/>
      <c r="H861" s="1" t="n"/>
      <c r="I861" s="1" t="n"/>
      <c r="J861" s="1" t="n"/>
      <c r="K861" s="1" t="n"/>
      <c r="L861" s="1" t="n"/>
      <c r="M861" s="1" t="n"/>
    </row>
    <row r="862" ht="15.75" customHeight="1" s="311">
      <c r="A862" s="1" t="n"/>
      <c r="B862" s="1" t="n"/>
      <c r="C862" s="1" t="n"/>
      <c r="D862" s="1" t="n"/>
      <c r="E862" s="1" t="n"/>
      <c r="F862" s="1" t="n"/>
      <c r="G862" s="1" t="n"/>
      <c r="H862" s="1" t="n"/>
      <c r="I862" s="1" t="n"/>
      <c r="J862" s="1" t="n"/>
      <c r="K862" s="1" t="n"/>
      <c r="L862" s="1" t="n"/>
      <c r="M862" s="1" t="n"/>
    </row>
    <row r="863" ht="15.75" customHeight="1" s="311">
      <c r="A863" s="1" t="n"/>
      <c r="B863" s="1" t="n"/>
      <c r="C863" s="1" t="n"/>
      <c r="D863" s="1" t="n"/>
      <c r="E863" s="1" t="n"/>
      <c r="F863" s="1" t="n"/>
      <c r="G863" s="1" t="n"/>
      <c r="H863" s="1" t="n"/>
      <c r="I863" s="1" t="n"/>
      <c r="J863" s="1" t="n"/>
      <c r="K863" s="1" t="n"/>
      <c r="L863" s="1" t="n"/>
      <c r="M863" s="1" t="n"/>
    </row>
    <row r="864" ht="15.75" customHeight="1" s="311">
      <c r="A864" s="1" t="n"/>
      <c r="B864" s="1" t="n"/>
      <c r="C864" s="1" t="n"/>
      <c r="D864" s="1" t="n"/>
      <c r="E864" s="1" t="n"/>
      <c r="F864" s="1" t="n"/>
      <c r="G864" s="1" t="n"/>
      <c r="H864" s="1" t="n"/>
      <c r="I864" s="1" t="n"/>
      <c r="J864" s="1" t="n"/>
      <c r="K864" s="1" t="n"/>
      <c r="L864" s="1" t="n"/>
      <c r="M864" s="1" t="n"/>
    </row>
    <row r="865" ht="15.75" customHeight="1" s="311">
      <c r="A865" s="1" t="n"/>
      <c r="B865" s="1" t="n"/>
      <c r="C865" s="1" t="n"/>
      <c r="D865" s="1" t="n"/>
      <c r="E865" s="1" t="n"/>
      <c r="F865" s="1" t="n"/>
      <c r="G865" s="1" t="n"/>
      <c r="H865" s="1" t="n"/>
      <c r="I865" s="1" t="n"/>
      <c r="J865" s="1" t="n"/>
      <c r="K865" s="1" t="n"/>
      <c r="L865" s="1" t="n"/>
      <c r="M865" s="1" t="n"/>
    </row>
    <row r="866" ht="15.75" customHeight="1" s="311">
      <c r="A866" s="1" t="n"/>
      <c r="B866" s="1" t="n"/>
      <c r="C866" s="1" t="n"/>
      <c r="D866" s="1" t="n"/>
      <c r="E866" s="1" t="n"/>
      <c r="F866" s="1" t="n"/>
      <c r="G866" s="1" t="n"/>
      <c r="H866" s="1" t="n"/>
      <c r="I866" s="1" t="n"/>
      <c r="J866" s="1" t="n"/>
      <c r="K866" s="1" t="n"/>
      <c r="L866" s="1" t="n"/>
      <c r="M866" s="1" t="n"/>
    </row>
    <row r="867" ht="15.75" customHeight="1" s="311">
      <c r="A867" s="1" t="n"/>
      <c r="B867" s="1" t="n"/>
      <c r="C867" s="1" t="n"/>
      <c r="D867" s="1" t="n"/>
      <c r="E867" s="1" t="n"/>
      <c r="F867" s="1" t="n"/>
      <c r="G867" s="1" t="n"/>
      <c r="H867" s="1" t="n"/>
      <c r="I867" s="1" t="n"/>
      <c r="J867" s="1" t="n"/>
      <c r="K867" s="1" t="n"/>
      <c r="L867" s="1" t="n"/>
      <c r="M867" s="1" t="n"/>
    </row>
    <row r="868" ht="15.75" customHeight="1" s="311">
      <c r="A868" s="1" t="n"/>
      <c r="B868" s="1" t="n"/>
      <c r="C868" s="1" t="n"/>
      <c r="D868" s="1" t="n"/>
      <c r="E868" s="1" t="n"/>
      <c r="F868" s="1" t="n"/>
      <c r="G868" s="1" t="n"/>
      <c r="H868" s="1" t="n"/>
      <c r="I868" s="1" t="n"/>
      <c r="J868" s="1" t="n"/>
      <c r="K868" s="1" t="n"/>
      <c r="L868" s="1" t="n"/>
      <c r="M868" s="1" t="n"/>
    </row>
    <row r="869" ht="15.75" customHeight="1" s="311">
      <c r="A869" s="1" t="n"/>
      <c r="B869" s="1" t="n"/>
      <c r="C869" s="1" t="n"/>
      <c r="D869" s="1" t="n"/>
      <c r="E869" s="1" t="n"/>
      <c r="F869" s="1" t="n"/>
      <c r="G869" s="1" t="n"/>
      <c r="H869" s="1" t="n"/>
      <c r="I869" s="1" t="n"/>
      <c r="J869" s="1" t="n"/>
      <c r="K869" s="1" t="n"/>
      <c r="L869" s="1" t="n"/>
      <c r="M869" s="1" t="n"/>
    </row>
    <row r="870" ht="15.75" customHeight="1" s="311">
      <c r="A870" s="1" t="n"/>
      <c r="B870" s="1" t="n"/>
      <c r="C870" s="1" t="n"/>
      <c r="D870" s="1" t="n"/>
      <c r="E870" s="1" t="n"/>
      <c r="F870" s="1" t="n"/>
      <c r="G870" s="1" t="n"/>
      <c r="H870" s="1" t="n"/>
      <c r="I870" s="1" t="n"/>
      <c r="J870" s="1" t="n"/>
      <c r="K870" s="1" t="n"/>
      <c r="L870" s="1" t="n"/>
      <c r="M870" s="1" t="n"/>
    </row>
    <row r="871" ht="15.75" customHeight="1" s="311">
      <c r="A871" s="1" t="n"/>
      <c r="B871" s="1" t="n"/>
      <c r="C871" s="1" t="n"/>
      <c r="D871" s="1" t="n"/>
      <c r="E871" s="1" t="n"/>
      <c r="F871" s="1" t="n"/>
      <c r="G871" s="1" t="n"/>
      <c r="H871" s="1" t="n"/>
      <c r="I871" s="1" t="n"/>
      <c r="J871" s="1" t="n"/>
      <c r="K871" s="1" t="n"/>
      <c r="L871" s="1" t="n"/>
      <c r="M871" s="1" t="n"/>
    </row>
    <row r="872" ht="15.75" customHeight="1" s="311">
      <c r="A872" s="1" t="n"/>
      <c r="B872" s="1" t="n"/>
      <c r="C872" s="1" t="n"/>
      <c r="D872" s="1" t="n"/>
      <c r="E872" s="1" t="n"/>
      <c r="F872" s="1" t="n"/>
      <c r="G872" s="1" t="n"/>
      <c r="H872" s="1" t="n"/>
      <c r="I872" s="1" t="n"/>
      <c r="J872" s="1" t="n"/>
      <c r="K872" s="1" t="n"/>
      <c r="L872" s="1" t="n"/>
      <c r="M872" s="1" t="n"/>
    </row>
    <row r="873" ht="15.75" customHeight="1" s="311">
      <c r="A873" s="1" t="n"/>
      <c r="B873" s="1" t="n"/>
      <c r="C873" s="1" t="n"/>
      <c r="D873" s="1" t="n"/>
      <c r="E873" s="1" t="n"/>
      <c r="F873" s="1" t="n"/>
      <c r="G873" s="1" t="n"/>
      <c r="H873" s="1" t="n"/>
      <c r="I873" s="1" t="n"/>
      <c r="J873" s="1" t="n"/>
      <c r="K873" s="1" t="n"/>
      <c r="L873" s="1" t="n"/>
      <c r="M873" s="1" t="n"/>
    </row>
    <row r="874" ht="15.75" customHeight="1" s="311">
      <c r="A874" s="1" t="n"/>
      <c r="B874" s="1" t="n"/>
      <c r="C874" s="1" t="n"/>
      <c r="D874" s="1" t="n"/>
      <c r="E874" s="1" t="n"/>
      <c r="F874" s="1" t="n"/>
      <c r="G874" s="1" t="n"/>
      <c r="H874" s="1" t="n"/>
      <c r="I874" s="1" t="n"/>
      <c r="J874" s="1" t="n"/>
      <c r="K874" s="1" t="n"/>
      <c r="L874" s="1" t="n"/>
      <c r="M874" s="1" t="n"/>
    </row>
    <row r="875" ht="15.75" customHeight="1" s="311">
      <c r="A875" s="1" t="n"/>
      <c r="B875" s="1" t="n"/>
      <c r="C875" s="1" t="n"/>
      <c r="D875" s="1" t="n"/>
      <c r="E875" s="1" t="n"/>
      <c r="F875" s="1" t="n"/>
      <c r="G875" s="1" t="n"/>
      <c r="H875" s="1" t="n"/>
      <c r="I875" s="1" t="n"/>
      <c r="J875" s="1" t="n"/>
      <c r="K875" s="1" t="n"/>
      <c r="L875" s="1" t="n"/>
      <c r="M875" s="1" t="n"/>
    </row>
    <row r="876" ht="15.75" customHeight="1" s="311">
      <c r="A876" s="1" t="n"/>
      <c r="B876" s="1" t="n"/>
      <c r="C876" s="1" t="n"/>
      <c r="D876" s="1" t="n"/>
      <c r="E876" s="1" t="n"/>
      <c r="F876" s="1" t="n"/>
      <c r="G876" s="1" t="n"/>
      <c r="H876" s="1" t="n"/>
      <c r="I876" s="1" t="n"/>
      <c r="J876" s="1" t="n"/>
      <c r="K876" s="1" t="n"/>
      <c r="L876" s="1" t="n"/>
      <c r="M876" s="1" t="n"/>
    </row>
    <row r="877" ht="15.75" customHeight="1" s="311">
      <c r="A877" s="1" t="n"/>
      <c r="B877" s="1" t="n"/>
      <c r="C877" s="1" t="n"/>
      <c r="D877" s="1" t="n"/>
      <c r="E877" s="1" t="n"/>
      <c r="F877" s="1" t="n"/>
      <c r="G877" s="1" t="n"/>
      <c r="H877" s="1" t="n"/>
      <c r="I877" s="1" t="n"/>
      <c r="J877" s="1" t="n"/>
      <c r="K877" s="1" t="n"/>
      <c r="L877" s="1" t="n"/>
      <c r="M877" s="1" t="n"/>
    </row>
    <row r="878" ht="15.75" customHeight="1" s="311">
      <c r="A878" s="1" t="n"/>
      <c r="B878" s="1" t="n"/>
      <c r="C878" s="1" t="n"/>
      <c r="D878" s="1" t="n"/>
      <c r="E878" s="1" t="n"/>
      <c r="F878" s="1" t="n"/>
      <c r="G878" s="1" t="n"/>
      <c r="H878" s="1" t="n"/>
      <c r="I878" s="1" t="n"/>
      <c r="J878" s="1" t="n"/>
      <c r="K878" s="1" t="n"/>
      <c r="L878" s="1" t="n"/>
      <c r="M878" s="1" t="n"/>
    </row>
    <row r="879" ht="15.75" customHeight="1" s="311">
      <c r="A879" s="1" t="n"/>
      <c r="B879" s="1" t="n"/>
      <c r="C879" s="1" t="n"/>
      <c r="D879" s="1" t="n"/>
      <c r="E879" s="1" t="n"/>
      <c r="F879" s="1" t="n"/>
      <c r="G879" s="1" t="n"/>
      <c r="H879" s="1" t="n"/>
      <c r="I879" s="1" t="n"/>
      <c r="J879" s="1" t="n"/>
      <c r="K879" s="1" t="n"/>
      <c r="L879" s="1" t="n"/>
      <c r="M879" s="1" t="n"/>
    </row>
    <row r="880" ht="15.75" customHeight="1" s="311">
      <c r="A880" s="1" t="n"/>
      <c r="B880" s="1" t="n"/>
      <c r="C880" s="1" t="n"/>
      <c r="D880" s="1" t="n"/>
      <c r="E880" s="1" t="n"/>
      <c r="F880" s="1" t="n"/>
      <c r="G880" s="1" t="n"/>
      <c r="H880" s="1" t="n"/>
      <c r="I880" s="1" t="n"/>
      <c r="J880" s="1" t="n"/>
      <c r="K880" s="1" t="n"/>
      <c r="L880" s="1" t="n"/>
      <c r="M880" s="1" t="n"/>
    </row>
    <row r="881" ht="15.75" customHeight="1" s="311">
      <c r="A881" s="1" t="n"/>
      <c r="B881" s="1" t="n"/>
      <c r="C881" s="1" t="n"/>
      <c r="D881" s="1" t="n"/>
      <c r="E881" s="1" t="n"/>
      <c r="F881" s="1" t="n"/>
      <c r="G881" s="1" t="n"/>
      <c r="H881" s="1" t="n"/>
      <c r="I881" s="1" t="n"/>
      <c r="J881" s="1" t="n"/>
      <c r="K881" s="1" t="n"/>
      <c r="L881" s="1" t="n"/>
      <c r="M881" s="1" t="n"/>
    </row>
    <row r="882" ht="15.75" customHeight="1" s="311">
      <c r="A882" s="1" t="n"/>
      <c r="B882" s="1" t="n"/>
      <c r="C882" s="1" t="n"/>
      <c r="D882" s="1" t="n"/>
      <c r="E882" s="1" t="n"/>
      <c r="F882" s="1" t="n"/>
      <c r="G882" s="1" t="n"/>
      <c r="H882" s="1" t="n"/>
      <c r="I882" s="1" t="n"/>
      <c r="J882" s="1" t="n"/>
      <c r="K882" s="1" t="n"/>
      <c r="L882" s="1" t="n"/>
      <c r="M882" s="1" t="n"/>
    </row>
    <row r="883" ht="15.75" customHeight="1" s="311">
      <c r="A883" s="1" t="n"/>
      <c r="B883" s="1" t="n"/>
      <c r="C883" s="1" t="n"/>
      <c r="D883" s="1" t="n"/>
      <c r="E883" s="1" t="n"/>
      <c r="F883" s="1" t="n"/>
      <c r="G883" s="1" t="n"/>
      <c r="H883" s="1" t="n"/>
      <c r="I883" s="1" t="n"/>
      <c r="J883" s="1" t="n"/>
      <c r="K883" s="1" t="n"/>
      <c r="L883" s="1" t="n"/>
      <c r="M883" s="1" t="n"/>
    </row>
    <row r="884" ht="15.75" customHeight="1" s="311">
      <c r="A884" s="1" t="n"/>
      <c r="B884" s="1" t="n"/>
      <c r="C884" s="1" t="n"/>
      <c r="D884" s="1" t="n"/>
      <c r="E884" s="1" t="n"/>
      <c r="F884" s="1" t="n"/>
      <c r="G884" s="1" t="n"/>
      <c r="H884" s="1" t="n"/>
      <c r="I884" s="1" t="n"/>
      <c r="J884" s="1" t="n"/>
      <c r="K884" s="1" t="n"/>
      <c r="L884" s="1" t="n"/>
      <c r="M884" s="1" t="n"/>
    </row>
    <row r="885" ht="15.75" customHeight="1" s="311">
      <c r="A885" s="1" t="n"/>
      <c r="B885" s="1" t="n"/>
      <c r="C885" s="1" t="n"/>
      <c r="D885" s="1" t="n"/>
      <c r="E885" s="1" t="n"/>
      <c r="F885" s="1" t="n"/>
      <c r="G885" s="1" t="n"/>
      <c r="H885" s="1" t="n"/>
      <c r="I885" s="1" t="n"/>
      <c r="J885" s="1" t="n"/>
      <c r="K885" s="1" t="n"/>
      <c r="L885" s="1" t="n"/>
      <c r="M885" s="1" t="n"/>
    </row>
    <row r="886" ht="15.75" customHeight="1" s="311">
      <c r="A886" s="1" t="n"/>
      <c r="B886" s="1" t="n"/>
      <c r="C886" s="1" t="n"/>
      <c r="D886" s="1" t="n"/>
      <c r="E886" s="1" t="n"/>
      <c r="F886" s="1" t="n"/>
      <c r="G886" s="1" t="n"/>
      <c r="H886" s="1" t="n"/>
      <c r="I886" s="1" t="n"/>
      <c r="J886" s="1" t="n"/>
      <c r="K886" s="1" t="n"/>
      <c r="L886" s="1" t="n"/>
      <c r="M886" s="1" t="n"/>
    </row>
    <row r="887" ht="15.75" customHeight="1" s="311">
      <c r="A887" s="1" t="n"/>
      <c r="B887" s="1" t="n"/>
      <c r="C887" s="1" t="n"/>
      <c r="D887" s="1" t="n"/>
      <c r="E887" s="1" t="n"/>
      <c r="F887" s="1" t="n"/>
      <c r="G887" s="1" t="n"/>
      <c r="H887" s="1" t="n"/>
      <c r="I887" s="1" t="n"/>
      <c r="J887" s="1" t="n"/>
      <c r="K887" s="1" t="n"/>
      <c r="L887" s="1" t="n"/>
      <c r="M887" s="1" t="n"/>
    </row>
    <row r="888" ht="15.75" customHeight="1" s="311">
      <c r="A888" s="1" t="n"/>
      <c r="B888" s="1" t="n"/>
      <c r="C888" s="1" t="n"/>
      <c r="D888" s="1" t="n"/>
      <c r="E888" s="1" t="n"/>
      <c r="F888" s="1" t="n"/>
      <c r="G888" s="1" t="n"/>
      <c r="H888" s="1" t="n"/>
      <c r="I888" s="1" t="n"/>
      <c r="J888" s="1" t="n"/>
      <c r="K888" s="1" t="n"/>
      <c r="L888" s="1" t="n"/>
      <c r="M888" s="1" t="n"/>
    </row>
    <row r="889" ht="15.75" customHeight="1" s="311">
      <c r="A889" s="1" t="n"/>
      <c r="B889" s="1" t="n"/>
      <c r="C889" s="1" t="n"/>
      <c r="D889" s="1" t="n"/>
      <c r="E889" s="1" t="n"/>
      <c r="F889" s="1" t="n"/>
      <c r="G889" s="1" t="n"/>
      <c r="H889" s="1" t="n"/>
      <c r="I889" s="1" t="n"/>
      <c r="J889" s="1" t="n"/>
      <c r="K889" s="1" t="n"/>
      <c r="L889" s="1" t="n"/>
      <c r="M889" s="1" t="n"/>
    </row>
    <row r="890" ht="15.75" customHeight="1" s="311">
      <c r="A890" s="1" t="n"/>
      <c r="B890" s="1" t="n"/>
      <c r="C890" s="1" t="n"/>
      <c r="D890" s="1" t="n"/>
      <c r="E890" s="1" t="n"/>
      <c r="F890" s="1" t="n"/>
      <c r="G890" s="1" t="n"/>
      <c r="H890" s="1" t="n"/>
      <c r="I890" s="1" t="n"/>
      <c r="J890" s="1" t="n"/>
      <c r="K890" s="1" t="n"/>
      <c r="L890" s="1" t="n"/>
      <c r="M890" s="1" t="n"/>
    </row>
    <row r="891" ht="15.75" customHeight="1" s="311">
      <c r="A891" s="1" t="n"/>
      <c r="B891" s="1" t="n"/>
      <c r="C891" s="1" t="n"/>
      <c r="D891" s="1" t="n"/>
      <c r="E891" s="1" t="n"/>
      <c r="F891" s="1" t="n"/>
      <c r="G891" s="1" t="n"/>
      <c r="H891" s="1" t="n"/>
      <c r="I891" s="1" t="n"/>
      <c r="J891" s="1" t="n"/>
      <c r="K891" s="1" t="n"/>
      <c r="L891" s="1" t="n"/>
      <c r="M891" s="1" t="n"/>
    </row>
    <row r="892" ht="15.75" customHeight="1" s="311">
      <c r="A892" s="1" t="n"/>
      <c r="B892" s="1" t="n"/>
      <c r="C892" s="1" t="n"/>
      <c r="D892" s="1" t="n"/>
      <c r="E892" s="1" t="n"/>
      <c r="F892" s="1" t="n"/>
      <c r="G892" s="1" t="n"/>
      <c r="H892" s="1" t="n"/>
      <c r="I892" s="1" t="n"/>
      <c r="J892" s="1" t="n"/>
      <c r="K892" s="1" t="n"/>
      <c r="L892" s="1" t="n"/>
      <c r="M892" s="1" t="n"/>
    </row>
    <row r="893" ht="15.75" customHeight="1" s="311">
      <c r="A893" s="1" t="n"/>
      <c r="B893" s="1" t="n"/>
      <c r="C893" s="1" t="n"/>
      <c r="D893" s="1" t="n"/>
      <c r="E893" s="1" t="n"/>
      <c r="F893" s="1" t="n"/>
      <c r="G893" s="1" t="n"/>
      <c r="H893" s="1" t="n"/>
      <c r="I893" s="1" t="n"/>
      <c r="J893" s="1" t="n"/>
      <c r="K893" s="1" t="n"/>
      <c r="L893" s="1" t="n"/>
      <c r="M893" s="1" t="n"/>
    </row>
    <row r="894" ht="15.75" customHeight="1" s="311">
      <c r="A894" s="1" t="n"/>
      <c r="B894" s="1" t="n"/>
      <c r="C894" s="1" t="n"/>
      <c r="D894" s="1" t="n"/>
      <c r="E894" s="1" t="n"/>
      <c r="F894" s="1" t="n"/>
      <c r="G894" s="1" t="n"/>
      <c r="H894" s="1" t="n"/>
      <c r="I894" s="1" t="n"/>
      <c r="J894" s="1" t="n"/>
      <c r="K894" s="1" t="n"/>
      <c r="L894" s="1" t="n"/>
      <c r="M894" s="1" t="n"/>
    </row>
    <row r="895" ht="15.75" customHeight="1" s="311">
      <c r="A895" s="1" t="n"/>
      <c r="B895" s="1" t="n"/>
      <c r="C895" s="1" t="n"/>
      <c r="D895" s="1" t="n"/>
      <c r="E895" s="1" t="n"/>
      <c r="F895" s="1" t="n"/>
      <c r="G895" s="1" t="n"/>
      <c r="H895" s="1" t="n"/>
      <c r="I895" s="1" t="n"/>
      <c r="J895" s="1" t="n"/>
      <c r="K895" s="1" t="n"/>
      <c r="L895" s="1" t="n"/>
      <c r="M895" s="1" t="n"/>
    </row>
    <row r="896" ht="15.75" customHeight="1" s="311">
      <c r="A896" s="1" t="n"/>
      <c r="B896" s="1" t="n"/>
      <c r="C896" s="1" t="n"/>
      <c r="D896" s="1" t="n"/>
      <c r="E896" s="1" t="n"/>
      <c r="F896" s="1" t="n"/>
      <c r="G896" s="1" t="n"/>
      <c r="H896" s="1" t="n"/>
      <c r="I896" s="1" t="n"/>
      <c r="J896" s="1" t="n"/>
      <c r="K896" s="1" t="n"/>
      <c r="L896" s="1" t="n"/>
      <c r="M896" s="1" t="n"/>
    </row>
    <row r="897" ht="15.75" customHeight="1" s="311">
      <c r="A897" s="1" t="n"/>
      <c r="B897" s="1" t="n"/>
      <c r="C897" s="1" t="n"/>
      <c r="D897" s="1" t="n"/>
      <c r="E897" s="1" t="n"/>
      <c r="F897" s="1" t="n"/>
      <c r="G897" s="1" t="n"/>
      <c r="H897" s="1" t="n"/>
      <c r="I897" s="1" t="n"/>
      <c r="J897" s="1" t="n"/>
      <c r="K897" s="1" t="n"/>
      <c r="L897" s="1" t="n"/>
      <c r="M897" s="1" t="n"/>
    </row>
    <row r="898" ht="15.75" customHeight="1" s="311">
      <c r="A898" s="1" t="n"/>
      <c r="B898" s="1" t="n"/>
      <c r="C898" s="1" t="n"/>
      <c r="D898" s="1" t="n"/>
      <c r="E898" s="1" t="n"/>
      <c r="F898" s="1" t="n"/>
      <c r="G898" s="1" t="n"/>
      <c r="H898" s="1" t="n"/>
      <c r="I898" s="1" t="n"/>
      <c r="J898" s="1" t="n"/>
      <c r="K898" s="1" t="n"/>
      <c r="L898" s="1" t="n"/>
      <c r="M898" s="1" t="n"/>
    </row>
    <row r="899" ht="15.75" customHeight="1" s="311">
      <c r="A899" s="1" t="n"/>
      <c r="B899" s="1" t="n"/>
      <c r="C899" s="1" t="n"/>
      <c r="D899" s="1" t="n"/>
      <c r="E899" s="1" t="n"/>
      <c r="F899" s="1" t="n"/>
      <c r="G899" s="1" t="n"/>
      <c r="H899" s="1" t="n"/>
      <c r="I899" s="1" t="n"/>
      <c r="J899" s="1" t="n"/>
      <c r="K899" s="1" t="n"/>
      <c r="L899" s="1" t="n"/>
      <c r="M899" s="1" t="n"/>
    </row>
    <row r="900" ht="15.75" customHeight="1" s="311">
      <c r="A900" s="1" t="n"/>
      <c r="B900" s="1" t="n"/>
      <c r="C900" s="1" t="n"/>
      <c r="D900" s="1" t="n"/>
      <c r="E900" s="1" t="n"/>
      <c r="F900" s="1" t="n"/>
      <c r="G900" s="1" t="n"/>
      <c r="H900" s="1" t="n"/>
      <c r="I900" s="1" t="n"/>
      <c r="J900" s="1" t="n"/>
      <c r="K900" s="1" t="n"/>
      <c r="L900" s="1" t="n"/>
      <c r="M900" s="1" t="n"/>
    </row>
    <row r="901" ht="15.75" customHeight="1" s="311">
      <c r="A901" s="1" t="n"/>
      <c r="B901" s="1" t="n"/>
      <c r="C901" s="1" t="n"/>
      <c r="D901" s="1" t="n"/>
      <c r="E901" s="1" t="n"/>
      <c r="F901" s="1" t="n"/>
      <c r="G901" s="1" t="n"/>
      <c r="H901" s="1" t="n"/>
      <c r="I901" s="1" t="n"/>
      <c r="J901" s="1" t="n"/>
      <c r="K901" s="1" t="n"/>
      <c r="L901" s="1" t="n"/>
      <c r="M901" s="1" t="n"/>
    </row>
    <row r="902" ht="15.75" customHeight="1" s="311">
      <c r="A902" s="1" t="n"/>
      <c r="B902" s="1" t="n"/>
      <c r="C902" s="1" t="n"/>
      <c r="D902" s="1" t="n"/>
      <c r="E902" s="1" t="n"/>
      <c r="F902" s="1" t="n"/>
      <c r="G902" s="1" t="n"/>
      <c r="H902" s="1" t="n"/>
      <c r="I902" s="1" t="n"/>
      <c r="J902" s="1" t="n"/>
      <c r="K902" s="1" t="n"/>
      <c r="L902" s="1" t="n"/>
      <c r="M902" s="1" t="n"/>
    </row>
    <row r="903" ht="15.75" customHeight="1" s="311">
      <c r="A903" s="1" t="n"/>
      <c r="B903" s="1" t="n"/>
      <c r="C903" s="1" t="n"/>
      <c r="D903" s="1" t="n"/>
      <c r="E903" s="1" t="n"/>
      <c r="F903" s="1" t="n"/>
      <c r="G903" s="1" t="n"/>
      <c r="H903" s="1" t="n"/>
      <c r="I903" s="1" t="n"/>
      <c r="J903" s="1" t="n"/>
      <c r="K903" s="1" t="n"/>
      <c r="L903" s="1" t="n"/>
      <c r="M903" s="1" t="n"/>
    </row>
    <row r="904" ht="15.75" customHeight="1" s="311">
      <c r="A904" s="1" t="n"/>
      <c r="B904" s="1" t="n"/>
      <c r="C904" s="1" t="n"/>
      <c r="D904" s="1" t="n"/>
      <c r="E904" s="1" t="n"/>
      <c r="F904" s="1" t="n"/>
      <c r="G904" s="1" t="n"/>
      <c r="H904" s="1" t="n"/>
      <c r="I904" s="1" t="n"/>
      <c r="J904" s="1" t="n"/>
      <c r="K904" s="1" t="n"/>
      <c r="L904" s="1" t="n"/>
      <c r="M904" s="1" t="n"/>
    </row>
    <row r="905" ht="15.75" customHeight="1" s="311">
      <c r="A905" s="1" t="n"/>
      <c r="B905" s="1" t="n"/>
      <c r="C905" s="1" t="n"/>
      <c r="D905" s="1" t="n"/>
      <c r="E905" s="1" t="n"/>
      <c r="F905" s="1" t="n"/>
      <c r="G905" s="1" t="n"/>
      <c r="H905" s="1" t="n"/>
      <c r="I905" s="1" t="n"/>
      <c r="J905" s="1" t="n"/>
      <c r="K905" s="1" t="n"/>
      <c r="L905" s="1" t="n"/>
      <c r="M905" s="1" t="n"/>
    </row>
    <row r="906" ht="15.75" customHeight="1" s="311">
      <c r="A906" s="1" t="n"/>
      <c r="B906" s="1" t="n"/>
      <c r="C906" s="1" t="n"/>
      <c r="D906" s="1" t="n"/>
      <c r="E906" s="1" t="n"/>
      <c r="F906" s="1" t="n"/>
      <c r="G906" s="1" t="n"/>
      <c r="H906" s="1" t="n"/>
      <c r="I906" s="1" t="n"/>
      <c r="J906" s="1" t="n"/>
      <c r="K906" s="1" t="n"/>
      <c r="L906" s="1" t="n"/>
      <c r="M906" s="1" t="n"/>
    </row>
    <row r="907" ht="15.75" customHeight="1" s="311">
      <c r="A907" s="1" t="n"/>
      <c r="B907" s="1" t="n"/>
      <c r="C907" s="1" t="n"/>
      <c r="D907" s="1" t="n"/>
      <c r="E907" s="1" t="n"/>
      <c r="F907" s="1" t="n"/>
      <c r="G907" s="1" t="n"/>
      <c r="H907" s="1" t="n"/>
      <c r="I907" s="1" t="n"/>
      <c r="J907" s="1" t="n"/>
      <c r="K907" s="1" t="n"/>
      <c r="L907" s="1" t="n"/>
      <c r="M907" s="1" t="n"/>
    </row>
    <row r="908" ht="15.75" customHeight="1" s="311">
      <c r="A908" s="1" t="n"/>
      <c r="B908" s="1" t="n"/>
      <c r="C908" s="1" t="n"/>
      <c r="D908" s="1" t="n"/>
      <c r="E908" s="1" t="n"/>
      <c r="F908" s="1" t="n"/>
      <c r="G908" s="1" t="n"/>
      <c r="H908" s="1" t="n"/>
      <c r="I908" s="1" t="n"/>
      <c r="J908" s="1" t="n"/>
      <c r="K908" s="1" t="n"/>
      <c r="L908" s="1" t="n"/>
      <c r="M908" s="1" t="n"/>
    </row>
    <row r="909" ht="15.75" customHeight="1" s="311">
      <c r="A909" s="1" t="n"/>
      <c r="B909" s="1" t="n"/>
      <c r="C909" s="1" t="n"/>
      <c r="D909" s="1" t="n"/>
      <c r="E909" s="1" t="n"/>
      <c r="F909" s="1" t="n"/>
      <c r="G909" s="1" t="n"/>
      <c r="H909" s="1" t="n"/>
      <c r="I909" s="1" t="n"/>
      <c r="J909" s="1" t="n"/>
      <c r="K909" s="1" t="n"/>
      <c r="L909" s="1" t="n"/>
      <c r="M909" s="1" t="n"/>
    </row>
    <row r="910" ht="15.75" customHeight="1" s="311">
      <c r="A910" s="1" t="n"/>
      <c r="B910" s="1" t="n"/>
      <c r="C910" s="1" t="n"/>
      <c r="D910" s="1" t="n"/>
      <c r="E910" s="1" t="n"/>
      <c r="F910" s="1" t="n"/>
      <c r="G910" s="1" t="n"/>
      <c r="H910" s="1" t="n"/>
      <c r="I910" s="1" t="n"/>
      <c r="J910" s="1" t="n"/>
      <c r="K910" s="1" t="n"/>
      <c r="L910" s="1" t="n"/>
      <c r="M910" s="1" t="n"/>
    </row>
    <row r="911" ht="15.75" customHeight="1" s="311">
      <c r="A911" s="1" t="n"/>
      <c r="B911" s="1" t="n"/>
      <c r="C911" s="1" t="n"/>
      <c r="D911" s="1" t="n"/>
      <c r="E911" s="1" t="n"/>
      <c r="F911" s="1" t="n"/>
      <c r="G911" s="1" t="n"/>
      <c r="H911" s="1" t="n"/>
      <c r="I911" s="1" t="n"/>
      <c r="J911" s="1" t="n"/>
      <c r="K911" s="1" t="n"/>
      <c r="L911" s="1" t="n"/>
      <c r="M911" s="1" t="n"/>
    </row>
    <row r="912" ht="15.75" customHeight="1" s="311">
      <c r="A912" s="1" t="n"/>
      <c r="B912" s="1" t="n"/>
      <c r="C912" s="1" t="n"/>
      <c r="D912" s="1" t="n"/>
      <c r="E912" s="1" t="n"/>
      <c r="F912" s="1" t="n"/>
      <c r="G912" s="1" t="n"/>
      <c r="H912" s="1" t="n"/>
      <c r="I912" s="1" t="n"/>
      <c r="J912" s="1" t="n"/>
      <c r="K912" s="1" t="n"/>
      <c r="L912" s="1" t="n"/>
      <c r="M912" s="1" t="n"/>
    </row>
    <row r="913" ht="15.75" customHeight="1" s="311">
      <c r="A913" s="1" t="n"/>
      <c r="B913" s="1" t="n"/>
      <c r="C913" s="1" t="n"/>
      <c r="D913" s="1" t="n"/>
      <c r="E913" s="1" t="n"/>
      <c r="F913" s="1" t="n"/>
      <c r="G913" s="1" t="n"/>
      <c r="H913" s="1" t="n"/>
      <c r="I913" s="1" t="n"/>
      <c r="J913" s="1" t="n"/>
      <c r="K913" s="1" t="n"/>
      <c r="L913" s="1" t="n"/>
      <c r="M913" s="1" t="n"/>
    </row>
    <row r="914" ht="15.75" customHeight="1" s="311">
      <c r="A914" s="1" t="n"/>
      <c r="B914" s="1" t="n"/>
      <c r="C914" s="1" t="n"/>
      <c r="D914" s="1" t="n"/>
      <c r="E914" s="1" t="n"/>
      <c r="F914" s="1" t="n"/>
      <c r="G914" s="1" t="n"/>
      <c r="H914" s="1" t="n"/>
      <c r="I914" s="1" t="n"/>
      <c r="J914" s="1" t="n"/>
      <c r="K914" s="1" t="n"/>
      <c r="L914" s="1" t="n"/>
      <c r="M914" s="1" t="n"/>
    </row>
    <row r="915" ht="15.75" customHeight="1" s="311">
      <c r="A915" s="1" t="n"/>
      <c r="B915" s="1" t="n"/>
      <c r="C915" s="1" t="n"/>
      <c r="D915" s="1" t="n"/>
      <c r="E915" s="1" t="n"/>
      <c r="F915" s="1" t="n"/>
      <c r="G915" s="1" t="n"/>
      <c r="H915" s="1" t="n"/>
      <c r="I915" s="1" t="n"/>
      <c r="J915" s="1" t="n"/>
      <c r="K915" s="1" t="n"/>
      <c r="L915" s="1" t="n"/>
      <c r="M915" s="1" t="n"/>
    </row>
    <row r="916" ht="15.75" customHeight="1" s="311">
      <c r="A916" s="1" t="n"/>
      <c r="B916" s="1" t="n"/>
      <c r="C916" s="1" t="n"/>
      <c r="D916" s="1" t="n"/>
      <c r="E916" s="1" t="n"/>
      <c r="F916" s="1" t="n"/>
      <c r="G916" s="1" t="n"/>
      <c r="H916" s="1" t="n"/>
      <c r="I916" s="1" t="n"/>
      <c r="J916" s="1" t="n"/>
      <c r="K916" s="1" t="n"/>
      <c r="L916" s="1" t="n"/>
      <c r="M916" s="1" t="n"/>
    </row>
    <row r="917" ht="15.75" customHeight="1" s="311">
      <c r="A917" s="1" t="n"/>
      <c r="B917" s="1" t="n"/>
      <c r="C917" s="1" t="n"/>
      <c r="D917" s="1" t="n"/>
      <c r="E917" s="1" t="n"/>
      <c r="F917" s="1" t="n"/>
      <c r="G917" s="1" t="n"/>
      <c r="H917" s="1" t="n"/>
      <c r="I917" s="1" t="n"/>
      <c r="J917" s="1" t="n"/>
      <c r="K917" s="1" t="n"/>
      <c r="L917" s="1" t="n"/>
      <c r="M917" s="1" t="n"/>
    </row>
    <row r="918" ht="15.75" customHeight="1" s="311">
      <c r="A918" s="1" t="n"/>
      <c r="B918" s="1" t="n"/>
      <c r="C918" s="1" t="n"/>
      <c r="D918" s="1" t="n"/>
      <c r="E918" s="1" t="n"/>
      <c r="F918" s="1" t="n"/>
      <c r="G918" s="1" t="n"/>
      <c r="H918" s="1" t="n"/>
      <c r="I918" s="1" t="n"/>
      <c r="J918" s="1" t="n"/>
      <c r="K918" s="1" t="n"/>
      <c r="L918" s="1" t="n"/>
      <c r="M918" s="1" t="n"/>
    </row>
    <row r="919" ht="15.75" customHeight="1" s="311">
      <c r="A919" s="1" t="n"/>
      <c r="B919" s="1" t="n"/>
      <c r="C919" s="1" t="n"/>
      <c r="D919" s="1" t="n"/>
      <c r="E919" s="1" t="n"/>
      <c r="F919" s="1" t="n"/>
      <c r="G919" s="1" t="n"/>
      <c r="H919" s="1" t="n"/>
      <c r="I919" s="1" t="n"/>
      <c r="J919" s="1" t="n"/>
      <c r="K919" s="1" t="n"/>
      <c r="L919" s="1" t="n"/>
      <c r="M919" s="1" t="n"/>
    </row>
    <row r="920" ht="15.75" customHeight="1" s="311">
      <c r="A920" s="1" t="n"/>
      <c r="B920" s="1" t="n"/>
      <c r="C920" s="1" t="n"/>
      <c r="D920" s="1" t="n"/>
      <c r="E920" s="1" t="n"/>
      <c r="F920" s="1" t="n"/>
      <c r="G920" s="1" t="n"/>
      <c r="H920" s="1" t="n"/>
      <c r="I920" s="1" t="n"/>
      <c r="J920" s="1" t="n"/>
      <c r="K920" s="1" t="n"/>
      <c r="L920" s="1" t="n"/>
      <c r="M920" s="1" t="n"/>
    </row>
    <row r="921" ht="15.75" customHeight="1" s="311">
      <c r="A921" s="1" t="n"/>
      <c r="B921" s="1" t="n"/>
      <c r="C921" s="1" t="n"/>
      <c r="D921" s="1" t="n"/>
      <c r="E921" s="1" t="n"/>
      <c r="F921" s="1" t="n"/>
      <c r="G921" s="1" t="n"/>
      <c r="H921" s="1" t="n"/>
      <c r="I921" s="1" t="n"/>
      <c r="J921" s="1" t="n"/>
      <c r="K921" s="1" t="n"/>
      <c r="L921" s="1" t="n"/>
      <c r="M921" s="1" t="n"/>
    </row>
    <row r="922" ht="15.75" customHeight="1" s="311">
      <c r="A922" s="1" t="n"/>
      <c r="B922" s="1" t="n"/>
      <c r="C922" s="1" t="n"/>
      <c r="D922" s="1" t="n"/>
      <c r="E922" s="1" t="n"/>
      <c r="F922" s="1" t="n"/>
      <c r="G922" s="1" t="n"/>
      <c r="H922" s="1" t="n"/>
      <c r="I922" s="1" t="n"/>
      <c r="J922" s="1" t="n"/>
      <c r="K922" s="1" t="n"/>
      <c r="L922" s="1" t="n"/>
      <c r="M922" s="1" t="n"/>
    </row>
    <row r="923" ht="15.75" customHeight="1" s="311">
      <c r="A923" s="1" t="n"/>
      <c r="B923" s="1" t="n"/>
      <c r="C923" s="1" t="n"/>
      <c r="D923" s="1" t="n"/>
      <c r="E923" s="1" t="n"/>
      <c r="F923" s="1" t="n"/>
      <c r="G923" s="1" t="n"/>
      <c r="H923" s="1" t="n"/>
      <c r="I923" s="1" t="n"/>
      <c r="J923" s="1" t="n"/>
      <c r="K923" s="1" t="n"/>
      <c r="L923" s="1" t="n"/>
      <c r="M923" s="1" t="n"/>
    </row>
    <row r="924" ht="15.75" customHeight="1" s="311">
      <c r="A924" s="1" t="n"/>
      <c r="B924" s="1" t="n"/>
      <c r="C924" s="1" t="n"/>
      <c r="D924" s="1" t="n"/>
      <c r="E924" s="1" t="n"/>
      <c r="F924" s="1" t="n"/>
      <c r="G924" s="1" t="n"/>
      <c r="H924" s="1" t="n"/>
      <c r="I924" s="1" t="n"/>
      <c r="J924" s="1" t="n"/>
      <c r="K924" s="1" t="n"/>
      <c r="L924" s="1" t="n"/>
      <c r="M924" s="1" t="n"/>
    </row>
    <row r="925" ht="15.75" customHeight="1" s="311">
      <c r="A925" s="1" t="n"/>
      <c r="B925" s="1" t="n"/>
      <c r="C925" s="1" t="n"/>
      <c r="D925" s="1" t="n"/>
      <c r="E925" s="1" t="n"/>
      <c r="F925" s="1" t="n"/>
      <c r="G925" s="1" t="n"/>
      <c r="H925" s="1" t="n"/>
      <c r="I925" s="1" t="n"/>
      <c r="J925" s="1" t="n"/>
      <c r="K925" s="1" t="n"/>
      <c r="L925" s="1" t="n"/>
      <c r="M925" s="1" t="n"/>
    </row>
    <row r="926" ht="15.75" customHeight="1" s="311">
      <c r="A926" s="1" t="n"/>
      <c r="B926" s="1" t="n"/>
      <c r="C926" s="1" t="n"/>
      <c r="D926" s="1" t="n"/>
      <c r="E926" s="1" t="n"/>
      <c r="F926" s="1" t="n"/>
      <c r="G926" s="1" t="n"/>
      <c r="H926" s="1" t="n"/>
      <c r="I926" s="1" t="n"/>
      <c r="J926" s="1" t="n"/>
      <c r="K926" s="1" t="n"/>
      <c r="L926" s="1" t="n"/>
      <c r="M926" s="1" t="n"/>
    </row>
    <row r="927" ht="15.75" customHeight="1" s="311">
      <c r="A927" s="1" t="n"/>
      <c r="B927" s="1" t="n"/>
      <c r="C927" s="1" t="n"/>
      <c r="D927" s="1" t="n"/>
      <c r="E927" s="1" t="n"/>
      <c r="F927" s="1" t="n"/>
      <c r="G927" s="1" t="n"/>
      <c r="H927" s="1" t="n"/>
      <c r="I927" s="1" t="n"/>
      <c r="J927" s="1" t="n"/>
      <c r="K927" s="1" t="n"/>
      <c r="L927" s="1" t="n"/>
      <c r="M927" s="1" t="n"/>
    </row>
    <row r="928" ht="15.75" customHeight="1" s="311">
      <c r="A928" s="1" t="n"/>
      <c r="B928" s="1" t="n"/>
      <c r="C928" s="1" t="n"/>
      <c r="D928" s="1" t="n"/>
      <c r="E928" s="1" t="n"/>
      <c r="F928" s="1" t="n"/>
      <c r="G928" s="1" t="n"/>
      <c r="H928" s="1" t="n"/>
      <c r="I928" s="1" t="n"/>
      <c r="J928" s="1" t="n"/>
      <c r="K928" s="1" t="n"/>
      <c r="L928" s="1" t="n"/>
      <c r="M928" s="1" t="n"/>
    </row>
    <row r="929" ht="15.75" customHeight="1" s="311">
      <c r="A929" s="1" t="n"/>
      <c r="B929" s="1" t="n"/>
      <c r="C929" s="1" t="n"/>
      <c r="D929" s="1" t="n"/>
      <c r="E929" s="1" t="n"/>
      <c r="F929" s="1" t="n"/>
      <c r="G929" s="1" t="n"/>
      <c r="H929" s="1" t="n"/>
      <c r="I929" s="1" t="n"/>
      <c r="J929" s="1" t="n"/>
      <c r="K929" s="1" t="n"/>
      <c r="L929" s="1" t="n"/>
      <c r="M929" s="1" t="n"/>
    </row>
    <row r="930" ht="15.75" customHeight="1" s="311">
      <c r="A930" s="1" t="n"/>
      <c r="B930" s="1" t="n"/>
      <c r="C930" s="1" t="n"/>
      <c r="D930" s="1" t="n"/>
      <c r="E930" s="1" t="n"/>
      <c r="F930" s="1" t="n"/>
      <c r="G930" s="1" t="n"/>
      <c r="H930" s="1" t="n"/>
      <c r="I930" s="1" t="n"/>
      <c r="J930" s="1" t="n"/>
      <c r="K930" s="1" t="n"/>
      <c r="L930" s="1" t="n"/>
      <c r="M930" s="1" t="n"/>
    </row>
    <row r="931" ht="15.75" customHeight="1" s="311">
      <c r="A931" s="1" t="n"/>
      <c r="B931" s="1" t="n"/>
      <c r="C931" s="1" t="n"/>
      <c r="D931" s="1" t="n"/>
      <c r="E931" s="1" t="n"/>
      <c r="F931" s="1" t="n"/>
      <c r="G931" s="1" t="n"/>
      <c r="H931" s="1" t="n"/>
      <c r="I931" s="1" t="n"/>
      <c r="J931" s="1" t="n"/>
      <c r="K931" s="1" t="n"/>
      <c r="L931" s="1" t="n"/>
      <c r="M931" s="1" t="n"/>
    </row>
    <row r="932" ht="15.75" customHeight="1" s="311">
      <c r="A932" s="1" t="n"/>
      <c r="B932" s="1" t="n"/>
      <c r="C932" s="1" t="n"/>
      <c r="D932" s="1" t="n"/>
      <c r="E932" s="1" t="n"/>
      <c r="F932" s="1" t="n"/>
      <c r="G932" s="1" t="n"/>
      <c r="H932" s="1" t="n"/>
      <c r="I932" s="1" t="n"/>
      <c r="J932" s="1" t="n"/>
      <c r="K932" s="1" t="n"/>
      <c r="L932" s="1" t="n"/>
      <c r="M932" s="1" t="n"/>
    </row>
    <row r="933" ht="15.75" customHeight="1" s="311">
      <c r="A933" s="1" t="n"/>
      <c r="B933" s="1" t="n"/>
      <c r="C933" s="1" t="n"/>
      <c r="D933" s="1" t="n"/>
      <c r="E933" s="1" t="n"/>
      <c r="F933" s="1" t="n"/>
      <c r="G933" s="1" t="n"/>
      <c r="H933" s="1" t="n"/>
      <c r="I933" s="1" t="n"/>
      <c r="J933" s="1" t="n"/>
      <c r="K933" s="1" t="n"/>
      <c r="L933" s="1" t="n"/>
      <c r="M933" s="1" t="n"/>
    </row>
    <row r="934" ht="15.75" customHeight="1" s="311">
      <c r="A934" s="1" t="n"/>
      <c r="B934" s="1" t="n"/>
      <c r="C934" s="1" t="n"/>
      <c r="D934" s="1" t="n"/>
      <c r="E934" s="1" t="n"/>
      <c r="F934" s="1" t="n"/>
      <c r="G934" s="1" t="n"/>
      <c r="H934" s="1" t="n"/>
      <c r="I934" s="1" t="n"/>
      <c r="J934" s="1" t="n"/>
      <c r="K934" s="1" t="n"/>
      <c r="L934" s="1" t="n"/>
      <c r="M934" s="1" t="n"/>
    </row>
    <row r="935" ht="15.75" customHeight="1" s="311">
      <c r="A935" s="1" t="n"/>
      <c r="B935" s="1" t="n"/>
      <c r="C935" s="1" t="n"/>
      <c r="D935" s="1" t="n"/>
      <c r="E935" s="1" t="n"/>
      <c r="F935" s="1" t="n"/>
      <c r="G935" s="1" t="n"/>
      <c r="H935" s="1" t="n"/>
      <c r="I935" s="1" t="n"/>
      <c r="J935" s="1" t="n"/>
      <c r="K935" s="1" t="n"/>
      <c r="L935" s="1" t="n"/>
      <c r="M935" s="1" t="n"/>
    </row>
    <row r="936" ht="15.75" customHeight="1" s="311">
      <c r="A936" s="1" t="n"/>
      <c r="B936" s="1" t="n"/>
      <c r="C936" s="1" t="n"/>
      <c r="D936" s="1" t="n"/>
      <c r="E936" s="1" t="n"/>
      <c r="F936" s="1" t="n"/>
      <c r="G936" s="1" t="n"/>
      <c r="H936" s="1" t="n"/>
      <c r="I936" s="1" t="n"/>
      <c r="J936" s="1" t="n"/>
      <c r="K936" s="1" t="n"/>
      <c r="L936" s="1" t="n"/>
      <c r="M936" s="1" t="n"/>
    </row>
    <row r="937" ht="15.75" customHeight="1" s="311">
      <c r="A937" s="1" t="n"/>
      <c r="B937" s="1" t="n"/>
      <c r="C937" s="1" t="n"/>
      <c r="D937" s="1" t="n"/>
      <c r="E937" s="1" t="n"/>
      <c r="F937" s="1" t="n"/>
      <c r="G937" s="1" t="n"/>
      <c r="H937" s="1" t="n"/>
      <c r="I937" s="1" t="n"/>
      <c r="J937" s="1" t="n"/>
      <c r="K937" s="1" t="n"/>
      <c r="L937" s="1" t="n"/>
      <c r="M937" s="1" t="n"/>
    </row>
    <row r="938" ht="15.75" customHeight="1" s="311">
      <c r="A938" s="1" t="n"/>
      <c r="B938" s="1" t="n"/>
      <c r="C938" s="1" t="n"/>
      <c r="D938" s="1" t="n"/>
      <c r="E938" s="1" t="n"/>
      <c r="F938" s="1" t="n"/>
      <c r="G938" s="1" t="n"/>
      <c r="H938" s="1" t="n"/>
      <c r="I938" s="1" t="n"/>
      <c r="J938" s="1" t="n"/>
      <c r="K938" s="1" t="n"/>
      <c r="L938" s="1" t="n"/>
      <c r="M938" s="1" t="n"/>
    </row>
    <row r="939" ht="15.75" customHeight="1" s="311">
      <c r="A939" s="1" t="n"/>
      <c r="B939" s="1" t="n"/>
      <c r="C939" s="1" t="n"/>
      <c r="D939" s="1" t="n"/>
      <c r="E939" s="1" t="n"/>
      <c r="F939" s="1" t="n"/>
      <c r="G939" s="1" t="n"/>
      <c r="H939" s="1" t="n"/>
      <c r="I939" s="1" t="n"/>
      <c r="J939" s="1" t="n"/>
      <c r="K939" s="1" t="n"/>
      <c r="L939" s="1" t="n"/>
      <c r="M939" s="1" t="n"/>
    </row>
    <row r="940" ht="15.75" customHeight="1" s="311">
      <c r="A940" s="1" t="n"/>
      <c r="B940" s="1" t="n"/>
      <c r="C940" s="1" t="n"/>
      <c r="D940" s="1" t="n"/>
      <c r="E940" s="1" t="n"/>
      <c r="F940" s="1" t="n"/>
      <c r="G940" s="1" t="n"/>
      <c r="H940" s="1" t="n"/>
      <c r="I940" s="1" t="n"/>
      <c r="J940" s="1" t="n"/>
      <c r="K940" s="1" t="n"/>
      <c r="L940" s="1" t="n"/>
      <c r="M940" s="1" t="n"/>
    </row>
    <row r="941" ht="15.75" customHeight="1" s="311">
      <c r="A941" s="1" t="n"/>
      <c r="B941" s="1" t="n"/>
      <c r="C941" s="1" t="n"/>
      <c r="D941" s="1" t="n"/>
      <c r="E941" s="1" t="n"/>
      <c r="F941" s="1" t="n"/>
      <c r="G941" s="1" t="n"/>
      <c r="H941" s="1" t="n"/>
      <c r="I941" s="1" t="n"/>
      <c r="J941" s="1" t="n"/>
      <c r="K941" s="1" t="n"/>
      <c r="L941" s="1" t="n"/>
      <c r="M941" s="1" t="n"/>
    </row>
    <row r="942" ht="15.75" customHeight="1" s="311">
      <c r="A942" s="1" t="n"/>
      <c r="B942" s="1" t="n"/>
      <c r="C942" s="1" t="n"/>
      <c r="D942" s="1" t="n"/>
      <c r="E942" s="1" t="n"/>
      <c r="F942" s="1" t="n"/>
      <c r="G942" s="1" t="n"/>
      <c r="H942" s="1" t="n"/>
      <c r="I942" s="1" t="n"/>
      <c r="J942" s="1" t="n"/>
      <c r="K942" s="1" t="n"/>
      <c r="L942" s="1" t="n"/>
      <c r="M942" s="1" t="n"/>
    </row>
    <row r="943" ht="15.75" customHeight="1" s="311">
      <c r="A943" s="1" t="n"/>
      <c r="B943" s="1" t="n"/>
      <c r="C943" s="1" t="n"/>
      <c r="D943" s="1" t="n"/>
      <c r="E943" s="1" t="n"/>
      <c r="F943" s="1" t="n"/>
      <c r="G943" s="1" t="n"/>
      <c r="H943" s="1" t="n"/>
      <c r="I943" s="1" t="n"/>
      <c r="J943" s="1" t="n"/>
      <c r="K943" s="1" t="n"/>
      <c r="L943" s="1" t="n"/>
      <c r="M943" s="1" t="n"/>
    </row>
    <row r="944" ht="15.75" customHeight="1" s="311">
      <c r="A944" s="1" t="n"/>
      <c r="B944" s="1" t="n"/>
      <c r="C944" s="1" t="n"/>
      <c r="D944" s="1" t="n"/>
      <c r="E944" s="1" t="n"/>
      <c r="F944" s="1" t="n"/>
      <c r="G944" s="1" t="n"/>
      <c r="H944" s="1" t="n"/>
      <c r="I944" s="1" t="n"/>
      <c r="J944" s="1" t="n"/>
      <c r="K944" s="1" t="n"/>
      <c r="L944" s="1" t="n"/>
      <c r="M944" s="1" t="n"/>
    </row>
    <row r="945" ht="15.75" customHeight="1" s="311">
      <c r="A945" s="1" t="n"/>
      <c r="B945" s="1" t="n"/>
      <c r="C945" s="1" t="n"/>
      <c r="D945" s="1" t="n"/>
      <c r="E945" s="1" t="n"/>
      <c r="F945" s="1" t="n"/>
      <c r="G945" s="1" t="n"/>
      <c r="H945" s="1" t="n"/>
      <c r="I945" s="1" t="n"/>
      <c r="J945" s="1" t="n"/>
      <c r="K945" s="1" t="n"/>
      <c r="L945" s="1" t="n"/>
      <c r="M945" s="1" t="n"/>
    </row>
    <row r="946" ht="15.75" customHeight="1" s="311">
      <c r="A946" s="1" t="n"/>
      <c r="B946" s="1" t="n"/>
      <c r="C946" s="1" t="n"/>
      <c r="D946" s="1" t="n"/>
      <c r="E946" s="1" t="n"/>
      <c r="F946" s="1" t="n"/>
      <c r="G946" s="1" t="n"/>
      <c r="H946" s="1" t="n"/>
      <c r="I946" s="1" t="n"/>
      <c r="J946" s="1" t="n"/>
      <c r="K946" s="1" t="n"/>
      <c r="L946" s="1" t="n"/>
      <c r="M946" s="1" t="n"/>
    </row>
    <row r="947" ht="15.75" customHeight="1" s="311">
      <c r="A947" s="1" t="n"/>
      <c r="B947" s="1" t="n"/>
      <c r="C947" s="1" t="n"/>
      <c r="D947" s="1" t="n"/>
      <c r="E947" s="1" t="n"/>
      <c r="F947" s="1" t="n"/>
      <c r="G947" s="1" t="n"/>
      <c r="H947" s="1" t="n"/>
      <c r="I947" s="1" t="n"/>
      <c r="J947" s="1" t="n"/>
      <c r="K947" s="1" t="n"/>
      <c r="L947" s="1" t="n"/>
      <c r="M947" s="1" t="n"/>
    </row>
    <row r="948" ht="15.75" customHeight="1" s="311">
      <c r="A948" s="1" t="n"/>
      <c r="B948" s="1" t="n"/>
      <c r="C948" s="1" t="n"/>
      <c r="D948" s="1" t="n"/>
      <c r="E948" s="1" t="n"/>
      <c r="F948" s="1" t="n"/>
      <c r="G948" s="1" t="n"/>
      <c r="H948" s="1" t="n"/>
      <c r="I948" s="1" t="n"/>
      <c r="J948" s="1" t="n"/>
      <c r="K948" s="1" t="n"/>
      <c r="L948" s="1" t="n"/>
      <c r="M948" s="1" t="n"/>
    </row>
    <row r="949" ht="15.75" customHeight="1" s="311">
      <c r="A949" s="1" t="n"/>
      <c r="B949" s="1" t="n"/>
      <c r="C949" s="1" t="n"/>
      <c r="D949" s="1" t="n"/>
      <c r="E949" s="1" t="n"/>
      <c r="F949" s="1" t="n"/>
      <c r="G949" s="1" t="n"/>
      <c r="H949" s="1" t="n"/>
      <c r="I949" s="1" t="n"/>
      <c r="J949" s="1" t="n"/>
      <c r="K949" s="1" t="n"/>
      <c r="L949" s="1" t="n"/>
      <c r="M949" s="1" t="n"/>
    </row>
    <row r="950" ht="15.75" customHeight="1" s="311">
      <c r="A950" s="1" t="n"/>
      <c r="B950" s="1" t="n"/>
      <c r="C950" s="1" t="n"/>
      <c r="D950" s="1" t="n"/>
      <c r="E950" s="1" t="n"/>
      <c r="F950" s="1" t="n"/>
      <c r="G950" s="1" t="n"/>
      <c r="H950" s="1" t="n"/>
      <c r="I950" s="1" t="n"/>
      <c r="J950" s="1" t="n"/>
      <c r="K950" s="1" t="n"/>
      <c r="L950" s="1" t="n"/>
      <c r="M950" s="1" t="n"/>
    </row>
    <row r="951" ht="15.75" customHeight="1" s="311">
      <c r="A951" s="1" t="n"/>
      <c r="B951" s="1" t="n"/>
      <c r="C951" s="1" t="n"/>
      <c r="D951" s="1" t="n"/>
      <c r="E951" s="1" t="n"/>
      <c r="F951" s="1" t="n"/>
      <c r="G951" s="1" t="n"/>
      <c r="H951" s="1" t="n"/>
      <c r="I951" s="1" t="n"/>
      <c r="J951" s="1" t="n"/>
      <c r="K951" s="1" t="n"/>
      <c r="L951" s="1" t="n"/>
      <c r="M951" s="1" t="n"/>
    </row>
    <row r="952" ht="15.75" customHeight="1" s="311">
      <c r="A952" s="1" t="n"/>
      <c r="B952" s="1" t="n"/>
      <c r="C952" s="1" t="n"/>
      <c r="D952" s="1" t="n"/>
      <c r="E952" s="1" t="n"/>
      <c r="F952" s="1" t="n"/>
      <c r="G952" s="1" t="n"/>
      <c r="H952" s="1" t="n"/>
      <c r="I952" s="1" t="n"/>
      <c r="J952" s="1" t="n"/>
      <c r="K952" s="1" t="n"/>
      <c r="L952" s="1" t="n"/>
      <c r="M952" s="1" t="n"/>
    </row>
    <row r="953" ht="15.75" customHeight="1" s="311">
      <c r="A953" s="1" t="n"/>
      <c r="B953" s="1" t="n"/>
      <c r="C953" s="1" t="n"/>
      <c r="D953" s="1" t="n"/>
      <c r="E953" s="1" t="n"/>
      <c r="F953" s="1" t="n"/>
      <c r="G953" s="1" t="n"/>
      <c r="H953" s="1" t="n"/>
      <c r="I953" s="1" t="n"/>
      <c r="J953" s="1" t="n"/>
      <c r="K953" s="1" t="n"/>
      <c r="L953" s="1" t="n"/>
      <c r="M953" s="1" t="n"/>
    </row>
    <row r="954" ht="15.75" customHeight="1" s="311">
      <c r="A954" s="1" t="n"/>
      <c r="B954" s="1" t="n"/>
      <c r="C954" s="1" t="n"/>
      <c r="D954" s="1" t="n"/>
      <c r="E954" s="1" t="n"/>
      <c r="F954" s="1" t="n"/>
      <c r="G954" s="1" t="n"/>
      <c r="H954" s="1" t="n"/>
      <c r="I954" s="1" t="n"/>
      <c r="J954" s="1" t="n"/>
      <c r="K954" s="1" t="n"/>
      <c r="L954" s="1" t="n"/>
      <c r="M954" s="1" t="n"/>
    </row>
    <row r="955" ht="15.75" customHeight="1" s="311">
      <c r="A955" s="1" t="n"/>
      <c r="B955" s="1" t="n"/>
      <c r="C955" s="1" t="n"/>
      <c r="D955" s="1" t="n"/>
      <c r="E955" s="1" t="n"/>
      <c r="F955" s="1" t="n"/>
      <c r="G955" s="1" t="n"/>
      <c r="H955" s="1" t="n"/>
      <c r="I955" s="1" t="n"/>
      <c r="J955" s="1" t="n"/>
      <c r="K955" s="1" t="n"/>
      <c r="L955" s="1" t="n"/>
      <c r="M955" s="1" t="n"/>
    </row>
    <row r="956" ht="15.75" customHeight="1" s="311">
      <c r="A956" s="1" t="n"/>
      <c r="B956" s="1" t="n"/>
      <c r="C956" s="1" t="n"/>
      <c r="D956" s="1" t="n"/>
      <c r="E956" s="1" t="n"/>
      <c r="F956" s="1" t="n"/>
      <c r="G956" s="1" t="n"/>
      <c r="H956" s="1" t="n"/>
      <c r="I956" s="1" t="n"/>
      <c r="J956" s="1" t="n"/>
      <c r="K956" s="1" t="n"/>
      <c r="L956" s="1" t="n"/>
      <c r="M956" s="1" t="n"/>
    </row>
    <row r="957" ht="15.75" customHeight="1" s="311">
      <c r="A957" s="1" t="n"/>
      <c r="B957" s="1" t="n"/>
      <c r="C957" s="1" t="n"/>
      <c r="D957" s="1" t="n"/>
      <c r="E957" s="1" t="n"/>
      <c r="F957" s="1" t="n"/>
      <c r="G957" s="1" t="n"/>
      <c r="H957" s="1" t="n"/>
      <c r="I957" s="1" t="n"/>
      <c r="J957" s="1" t="n"/>
      <c r="K957" s="1" t="n"/>
      <c r="L957" s="1" t="n"/>
      <c r="M957" s="1" t="n"/>
    </row>
    <row r="958" ht="15.75" customHeight="1" s="311">
      <c r="A958" s="1" t="n"/>
      <c r="B958" s="1" t="n"/>
      <c r="C958" s="1" t="n"/>
      <c r="D958" s="1" t="n"/>
      <c r="E958" s="1" t="n"/>
      <c r="F958" s="1" t="n"/>
      <c r="G958" s="1" t="n"/>
      <c r="H958" s="1" t="n"/>
      <c r="I958" s="1" t="n"/>
      <c r="J958" s="1" t="n"/>
      <c r="K958" s="1" t="n"/>
      <c r="L958" s="1" t="n"/>
      <c r="M958" s="1" t="n"/>
    </row>
    <row r="959" ht="15.75" customHeight="1" s="311">
      <c r="A959" s="1" t="n"/>
      <c r="B959" s="1" t="n"/>
      <c r="C959" s="1" t="n"/>
      <c r="D959" s="1" t="n"/>
      <c r="E959" s="1" t="n"/>
      <c r="F959" s="1" t="n"/>
      <c r="G959" s="1" t="n"/>
      <c r="H959" s="1" t="n"/>
      <c r="I959" s="1" t="n"/>
      <c r="J959" s="1" t="n"/>
      <c r="K959" s="1" t="n"/>
      <c r="L959" s="1" t="n"/>
      <c r="M959" s="1" t="n"/>
    </row>
    <row r="960" ht="15.75" customHeight="1" s="311">
      <c r="A960" s="1" t="n"/>
      <c r="B960" s="1" t="n"/>
      <c r="C960" s="1" t="n"/>
      <c r="D960" s="1" t="n"/>
      <c r="E960" s="1" t="n"/>
      <c r="F960" s="1" t="n"/>
      <c r="G960" s="1" t="n"/>
      <c r="H960" s="1" t="n"/>
      <c r="I960" s="1" t="n"/>
      <c r="J960" s="1" t="n"/>
      <c r="K960" s="1" t="n"/>
      <c r="L960" s="1" t="n"/>
      <c r="M960" s="1" t="n"/>
    </row>
    <row r="961" ht="15.75" customHeight="1" s="311">
      <c r="A961" s="1" t="n"/>
      <c r="B961" s="1" t="n"/>
      <c r="C961" s="1" t="n"/>
      <c r="D961" s="1" t="n"/>
      <c r="E961" s="1" t="n"/>
      <c r="F961" s="1" t="n"/>
      <c r="G961" s="1" t="n"/>
      <c r="H961" s="1" t="n"/>
      <c r="I961" s="1" t="n"/>
      <c r="J961" s="1" t="n"/>
      <c r="K961" s="1" t="n"/>
      <c r="L961" s="1" t="n"/>
      <c r="M961" s="1" t="n"/>
    </row>
    <row r="962" ht="15.75" customHeight="1" s="311">
      <c r="A962" s="1" t="n"/>
      <c r="B962" s="1" t="n"/>
      <c r="C962" s="1" t="n"/>
      <c r="D962" s="1" t="n"/>
      <c r="E962" s="1" t="n"/>
      <c r="F962" s="1" t="n"/>
      <c r="G962" s="1" t="n"/>
      <c r="H962" s="1" t="n"/>
      <c r="I962" s="1" t="n"/>
      <c r="J962" s="1" t="n"/>
      <c r="K962" s="1" t="n"/>
      <c r="L962" s="1" t="n"/>
      <c r="M962" s="1" t="n"/>
    </row>
    <row r="963" ht="15.75" customHeight="1" s="311">
      <c r="A963" s="1" t="n"/>
      <c r="B963" s="1" t="n"/>
      <c r="C963" s="1" t="n"/>
      <c r="D963" s="1" t="n"/>
      <c r="E963" s="1" t="n"/>
      <c r="F963" s="1" t="n"/>
      <c r="G963" s="1" t="n"/>
      <c r="H963" s="1" t="n"/>
      <c r="I963" s="1" t="n"/>
      <c r="J963" s="1" t="n"/>
      <c r="K963" s="1" t="n"/>
      <c r="L963" s="1" t="n"/>
      <c r="M963" s="1" t="n"/>
    </row>
    <row r="964" ht="15.75" customHeight="1" s="311">
      <c r="A964" s="1" t="n"/>
      <c r="B964" s="1" t="n"/>
      <c r="C964" s="1" t="n"/>
      <c r="D964" s="1" t="n"/>
      <c r="E964" s="1" t="n"/>
      <c r="F964" s="1" t="n"/>
      <c r="G964" s="1" t="n"/>
      <c r="H964" s="1" t="n"/>
      <c r="I964" s="1" t="n"/>
      <c r="J964" s="1" t="n"/>
      <c r="K964" s="1" t="n"/>
      <c r="L964" s="1" t="n"/>
      <c r="M964" s="1" t="n"/>
    </row>
    <row r="965" ht="15.75" customHeight="1" s="311">
      <c r="A965" s="1" t="n"/>
      <c r="B965" s="1" t="n"/>
      <c r="C965" s="1" t="n"/>
      <c r="D965" s="1" t="n"/>
      <c r="E965" s="1" t="n"/>
      <c r="F965" s="1" t="n"/>
      <c r="G965" s="1" t="n"/>
      <c r="H965" s="1" t="n"/>
      <c r="I965" s="1" t="n"/>
      <c r="J965" s="1" t="n"/>
      <c r="K965" s="1" t="n"/>
      <c r="L965" s="1" t="n"/>
      <c r="M965" s="1" t="n"/>
    </row>
    <row r="966" ht="15.75" customHeight="1" s="311">
      <c r="A966" s="1" t="n"/>
      <c r="B966" s="1" t="n"/>
      <c r="C966" s="1" t="n"/>
      <c r="D966" s="1" t="n"/>
      <c r="E966" s="1" t="n"/>
      <c r="F966" s="1" t="n"/>
      <c r="G966" s="1" t="n"/>
      <c r="H966" s="1" t="n"/>
      <c r="I966" s="1" t="n"/>
      <c r="J966" s="1" t="n"/>
      <c r="K966" s="1" t="n"/>
      <c r="L966" s="1" t="n"/>
      <c r="M966" s="1" t="n"/>
    </row>
    <row r="967" ht="15.75" customHeight="1" s="311">
      <c r="A967" s="1" t="n"/>
      <c r="B967" s="1" t="n"/>
      <c r="C967" s="1" t="n"/>
      <c r="D967" s="1" t="n"/>
      <c r="E967" s="1" t="n"/>
      <c r="F967" s="1" t="n"/>
      <c r="G967" s="1" t="n"/>
      <c r="H967" s="1" t="n"/>
      <c r="I967" s="1" t="n"/>
      <c r="J967" s="1" t="n"/>
      <c r="K967" s="1" t="n"/>
      <c r="L967" s="1" t="n"/>
      <c r="M967" s="1" t="n"/>
    </row>
    <row r="968" ht="15.75" customHeight="1" s="311">
      <c r="A968" s="1" t="n"/>
      <c r="B968" s="1" t="n"/>
      <c r="C968" s="1" t="n"/>
      <c r="D968" s="1" t="n"/>
      <c r="E968" s="1" t="n"/>
      <c r="F968" s="1" t="n"/>
      <c r="G968" s="1" t="n"/>
      <c r="H968" s="1" t="n"/>
      <c r="I968" s="1" t="n"/>
      <c r="J968" s="1" t="n"/>
      <c r="K968" s="1" t="n"/>
      <c r="L968" s="1" t="n"/>
      <c r="M968" s="1" t="n"/>
    </row>
    <row r="969" ht="15.75" customHeight="1" s="311">
      <c r="A969" s="1" t="n"/>
      <c r="B969" s="1" t="n"/>
      <c r="C969" s="1" t="n"/>
      <c r="D969" s="1" t="n"/>
      <c r="E969" s="1" t="n"/>
      <c r="F969" s="1" t="n"/>
      <c r="G969" s="1" t="n"/>
      <c r="H969" s="1" t="n"/>
      <c r="I969" s="1" t="n"/>
      <c r="J969" s="1" t="n"/>
      <c r="K969" s="1" t="n"/>
      <c r="L969" s="1" t="n"/>
      <c r="M969" s="1" t="n"/>
    </row>
    <row r="970" ht="15.75" customHeight="1" s="311">
      <c r="A970" s="1" t="n"/>
      <c r="B970" s="1" t="n"/>
      <c r="C970" s="1" t="n"/>
      <c r="D970" s="1" t="n"/>
      <c r="E970" s="1" t="n"/>
      <c r="F970" s="1" t="n"/>
      <c r="G970" s="1" t="n"/>
      <c r="H970" s="1" t="n"/>
      <c r="I970" s="1" t="n"/>
      <c r="J970" s="1" t="n"/>
      <c r="K970" s="1" t="n"/>
      <c r="L970" s="1" t="n"/>
      <c r="M970" s="1" t="n"/>
    </row>
    <row r="971" ht="15.75" customHeight="1" s="311">
      <c r="A971" s="1" t="n"/>
      <c r="B971" s="1" t="n"/>
      <c r="C971" s="1" t="n"/>
      <c r="D971" s="1" t="n"/>
      <c r="E971" s="1" t="n"/>
      <c r="F971" s="1" t="n"/>
      <c r="G971" s="1" t="n"/>
      <c r="H971" s="1" t="n"/>
      <c r="I971" s="1" t="n"/>
      <c r="J971" s="1" t="n"/>
      <c r="K971" s="1" t="n"/>
      <c r="L971" s="1" t="n"/>
      <c r="M971" s="1" t="n"/>
    </row>
    <row r="972" ht="15.75" customHeight="1" s="311">
      <c r="A972" s="1" t="n"/>
      <c r="B972" s="1" t="n"/>
      <c r="C972" s="1" t="n"/>
      <c r="D972" s="1" t="n"/>
      <c r="E972" s="1" t="n"/>
      <c r="F972" s="1" t="n"/>
      <c r="G972" s="1" t="n"/>
      <c r="H972" s="1" t="n"/>
      <c r="I972" s="1" t="n"/>
      <c r="J972" s="1" t="n"/>
      <c r="K972" s="1" t="n"/>
      <c r="L972" s="1" t="n"/>
      <c r="M972" s="1" t="n"/>
    </row>
    <row r="973" ht="15.75" customHeight="1" s="311">
      <c r="A973" s="1" t="n"/>
      <c r="B973" s="1" t="n"/>
      <c r="C973" s="1" t="n"/>
      <c r="D973" s="1" t="n"/>
      <c r="E973" s="1" t="n"/>
      <c r="F973" s="1" t="n"/>
      <c r="G973" s="1" t="n"/>
      <c r="H973" s="1" t="n"/>
      <c r="I973" s="1" t="n"/>
      <c r="J973" s="1" t="n"/>
      <c r="K973" s="1" t="n"/>
      <c r="L973" s="1" t="n"/>
      <c r="M973" s="1" t="n"/>
    </row>
    <row r="974" ht="15.75" customHeight="1" s="311">
      <c r="A974" s="1" t="n"/>
      <c r="B974" s="1" t="n"/>
      <c r="C974" s="1" t="n"/>
      <c r="D974" s="1" t="n"/>
      <c r="E974" s="1" t="n"/>
      <c r="F974" s="1" t="n"/>
      <c r="G974" s="1" t="n"/>
      <c r="H974" s="1" t="n"/>
      <c r="I974" s="1" t="n"/>
      <c r="J974" s="1" t="n"/>
      <c r="K974" s="1" t="n"/>
      <c r="L974" s="1" t="n"/>
      <c r="M974" s="1" t="n"/>
    </row>
    <row r="975" ht="15.75" customHeight="1" s="311">
      <c r="A975" s="1" t="n"/>
      <c r="B975" s="1" t="n"/>
      <c r="C975" s="1" t="n"/>
      <c r="D975" s="1" t="n"/>
      <c r="E975" s="1" t="n"/>
      <c r="F975" s="1" t="n"/>
      <c r="G975" s="1" t="n"/>
      <c r="H975" s="1" t="n"/>
      <c r="I975" s="1" t="n"/>
      <c r="J975" s="1" t="n"/>
      <c r="K975" s="1" t="n"/>
      <c r="L975" s="1" t="n"/>
      <c r="M975" s="1" t="n"/>
    </row>
    <row r="976" ht="15.75" customHeight="1" s="311">
      <c r="A976" s="1" t="n"/>
      <c r="B976" s="1" t="n"/>
      <c r="C976" s="1" t="n"/>
      <c r="D976" s="1" t="n"/>
      <c r="E976" s="1" t="n"/>
      <c r="F976" s="1" t="n"/>
      <c r="G976" s="1" t="n"/>
      <c r="H976" s="1" t="n"/>
      <c r="I976" s="1" t="n"/>
      <c r="J976" s="1" t="n"/>
      <c r="K976" s="1" t="n"/>
      <c r="L976" s="1" t="n"/>
      <c r="M976" s="1" t="n"/>
    </row>
    <row r="977" ht="15.75" customHeight="1" s="311">
      <c r="A977" s="1" t="n"/>
      <c r="B977" s="1" t="n"/>
      <c r="C977" s="1" t="n"/>
      <c r="D977" s="1" t="n"/>
      <c r="E977" s="1" t="n"/>
      <c r="F977" s="1" t="n"/>
      <c r="G977" s="1" t="n"/>
      <c r="H977" s="1" t="n"/>
      <c r="I977" s="1" t="n"/>
      <c r="J977" s="1" t="n"/>
      <c r="K977" s="1" t="n"/>
      <c r="L977" s="1" t="n"/>
      <c r="M977" s="1" t="n"/>
    </row>
    <row r="978" ht="15.75" customHeight="1" s="311">
      <c r="A978" s="1" t="n"/>
      <c r="B978" s="1" t="n"/>
      <c r="C978" s="1" t="n"/>
      <c r="D978" s="1" t="n"/>
      <c r="E978" s="1" t="n"/>
      <c r="F978" s="1" t="n"/>
      <c r="G978" s="1" t="n"/>
      <c r="H978" s="1" t="n"/>
      <c r="I978" s="1" t="n"/>
      <c r="J978" s="1" t="n"/>
      <c r="K978" s="1" t="n"/>
      <c r="L978" s="1" t="n"/>
      <c r="M978" s="1" t="n"/>
    </row>
    <row r="979" ht="15.75" customHeight="1" s="311">
      <c r="A979" s="1" t="n"/>
      <c r="B979" s="1" t="n"/>
      <c r="C979" s="1" t="n"/>
      <c r="D979" s="1" t="n"/>
      <c r="E979" s="1" t="n"/>
      <c r="F979" s="1" t="n"/>
      <c r="G979" s="1" t="n"/>
      <c r="H979" s="1" t="n"/>
      <c r="I979" s="1" t="n"/>
      <c r="J979" s="1" t="n"/>
      <c r="K979" s="1" t="n"/>
      <c r="L979" s="1" t="n"/>
      <c r="M979" s="1" t="n"/>
    </row>
    <row r="980" ht="15.75" customHeight="1" s="311">
      <c r="A980" s="1" t="n"/>
      <c r="B980" s="1" t="n"/>
      <c r="C980" s="1" t="n"/>
      <c r="D980" s="1" t="n"/>
      <c r="E980" s="1" t="n"/>
      <c r="F980" s="1" t="n"/>
      <c r="G980" s="1" t="n"/>
      <c r="H980" s="1" t="n"/>
      <c r="I980" s="1" t="n"/>
      <c r="J980" s="1" t="n"/>
      <c r="K980" s="1" t="n"/>
      <c r="L980" s="1" t="n"/>
      <c r="M980" s="1" t="n"/>
    </row>
    <row r="981" ht="15.75" customHeight="1" s="311">
      <c r="A981" s="1" t="n"/>
      <c r="B981" s="1" t="n"/>
      <c r="C981" s="1" t="n"/>
      <c r="D981" s="1" t="n"/>
      <c r="E981" s="1" t="n"/>
      <c r="F981" s="1" t="n"/>
      <c r="G981" s="1" t="n"/>
      <c r="H981" s="1" t="n"/>
      <c r="I981" s="1" t="n"/>
      <c r="J981" s="1" t="n"/>
      <c r="K981" s="1" t="n"/>
      <c r="L981" s="1" t="n"/>
      <c r="M981" s="1" t="n"/>
    </row>
    <row r="982" ht="15.75" customHeight="1" s="311">
      <c r="A982" s="1" t="n"/>
      <c r="B982" s="1" t="n"/>
      <c r="C982" s="1" t="n"/>
      <c r="D982" s="1" t="n"/>
      <c r="E982" s="1" t="n"/>
      <c r="F982" s="1" t="n"/>
      <c r="G982" s="1" t="n"/>
      <c r="H982" s="1" t="n"/>
      <c r="I982" s="1" t="n"/>
      <c r="J982" s="1" t="n"/>
      <c r="K982" s="1" t="n"/>
      <c r="L982" s="1" t="n"/>
      <c r="M982" s="1" t="n"/>
    </row>
    <row r="983" ht="15.75" customHeight="1" s="311">
      <c r="A983" s="1" t="n"/>
      <c r="B983" s="1" t="n"/>
      <c r="C983" s="1" t="n"/>
      <c r="D983" s="1" t="n"/>
      <c r="E983" s="1" t="n"/>
      <c r="F983" s="1" t="n"/>
      <c r="G983" s="1" t="n"/>
      <c r="H983" s="1" t="n"/>
      <c r="I983" s="1" t="n"/>
      <c r="J983" s="1" t="n"/>
      <c r="K983" s="1" t="n"/>
      <c r="L983" s="1" t="n"/>
      <c r="M983" s="1" t="n"/>
    </row>
    <row r="984" ht="15.75" customHeight="1" s="311">
      <c r="A984" s="1" t="n"/>
      <c r="B984" s="1" t="n"/>
      <c r="C984" s="1" t="n"/>
      <c r="D984" s="1" t="n"/>
      <c r="E984" s="1" t="n"/>
      <c r="F984" s="1" t="n"/>
      <c r="G984" s="1" t="n"/>
      <c r="H984" s="1" t="n"/>
      <c r="I984" s="1" t="n"/>
      <c r="J984" s="1" t="n"/>
      <c r="K984" s="1" t="n"/>
      <c r="L984" s="1" t="n"/>
      <c r="M984" s="1" t="n"/>
    </row>
    <row r="985" ht="15.75" customHeight="1" s="311">
      <c r="A985" s="1" t="n"/>
      <c r="B985" s="1" t="n"/>
      <c r="C985" s="1" t="n"/>
      <c r="D985" s="1" t="n"/>
      <c r="E985" s="1" t="n"/>
      <c r="F985" s="1" t="n"/>
      <c r="G985" s="1" t="n"/>
      <c r="H985" s="1" t="n"/>
      <c r="I985" s="1" t="n"/>
      <c r="J985" s="1" t="n"/>
      <c r="K985" s="1" t="n"/>
      <c r="L985" s="1" t="n"/>
      <c r="M985" s="1" t="n"/>
    </row>
    <row r="986" ht="15.75" customHeight="1" s="311">
      <c r="A986" s="1" t="n"/>
      <c r="B986" s="1" t="n"/>
      <c r="C986" s="1" t="n"/>
      <c r="D986" s="1" t="n"/>
      <c r="E986" s="1" t="n"/>
      <c r="F986" s="1" t="n"/>
      <c r="G986" s="1" t="n"/>
      <c r="H986" s="1" t="n"/>
      <c r="I986" s="1" t="n"/>
      <c r="J986" s="1" t="n"/>
      <c r="K986" s="1" t="n"/>
      <c r="L986" s="1" t="n"/>
      <c r="M986" s="1" t="n"/>
    </row>
    <row r="987" ht="15.75" customHeight="1" s="311">
      <c r="A987" s="1" t="n"/>
      <c r="B987" s="1" t="n"/>
      <c r="C987" s="1" t="n"/>
      <c r="D987" s="1" t="n"/>
      <c r="E987" s="1" t="n"/>
      <c r="F987" s="1" t="n"/>
      <c r="G987" s="1" t="n"/>
      <c r="H987" s="1" t="n"/>
      <c r="I987" s="1" t="n"/>
      <c r="J987" s="1" t="n"/>
      <c r="K987" s="1" t="n"/>
      <c r="L987" s="1" t="n"/>
      <c r="M987" s="1" t="n"/>
    </row>
    <row r="988" ht="15.75" customHeight="1" s="311">
      <c r="A988" s="1" t="n"/>
      <c r="B988" s="1" t="n"/>
      <c r="C988" s="1" t="n"/>
      <c r="D988" s="1" t="n"/>
      <c r="E988" s="1" t="n"/>
      <c r="F988" s="1" t="n"/>
      <c r="G988" s="1" t="n"/>
      <c r="H988" s="1" t="n"/>
      <c r="I988" s="1" t="n"/>
      <c r="J988" s="1" t="n"/>
      <c r="K988" s="1" t="n"/>
      <c r="L988" s="1" t="n"/>
      <c r="M988" s="1" t="n"/>
    </row>
    <row r="989" ht="15.75" customHeight="1" s="311">
      <c r="A989" s="1" t="n"/>
      <c r="B989" s="1" t="n"/>
      <c r="C989" s="1" t="n"/>
      <c r="D989" s="1" t="n"/>
      <c r="E989" s="1" t="n"/>
      <c r="F989" s="1" t="n"/>
      <c r="G989" s="1" t="n"/>
      <c r="H989" s="1" t="n"/>
      <c r="I989" s="1" t="n"/>
      <c r="J989" s="1" t="n"/>
      <c r="K989" s="1" t="n"/>
      <c r="L989" s="1" t="n"/>
      <c r="M989" s="1" t="n"/>
    </row>
    <row r="990" ht="15.75" customHeight="1" s="311">
      <c r="A990" s="1" t="n"/>
      <c r="B990" s="1" t="n"/>
      <c r="C990" s="1" t="n"/>
      <c r="D990" s="1" t="n"/>
      <c r="E990" s="1" t="n"/>
      <c r="F990" s="1" t="n"/>
      <c r="G990" s="1" t="n"/>
      <c r="H990" s="1" t="n"/>
      <c r="I990" s="1" t="n"/>
      <c r="J990" s="1" t="n"/>
      <c r="K990" s="1" t="n"/>
      <c r="L990" s="1" t="n"/>
      <c r="M990" s="1" t="n"/>
    </row>
    <row r="991" ht="15.75" customHeight="1" s="311">
      <c r="A991" s="1" t="n"/>
      <c r="B991" s="1" t="n"/>
      <c r="C991" s="1" t="n"/>
      <c r="D991" s="1" t="n"/>
      <c r="E991" s="1" t="n"/>
      <c r="F991" s="1" t="n"/>
      <c r="G991" s="1" t="n"/>
      <c r="H991" s="1" t="n"/>
      <c r="I991" s="1" t="n"/>
      <c r="J991" s="1" t="n"/>
      <c r="K991" s="1" t="n"/>
      <c r="L991" s="1" t="n"/>
      <c r="M991" s="1" t="n"/>
    </row>
    <row r="992" ht="15.75" customHeight="1" s="311">
      <c r="A992" s="1" t="n"/>
      <c r="B992" s="1" t="n"/>
      <c r="C992" s="1" t="n"/>
      <c r="D992" s="1" t="n"/>
      <c r="E992" s="1" t="n"/>
      <c r="F992" s="1" t="n"/>
      <c r="G992" s="1" t="n"/>
      <c r="H992" s="1" t="n"/>
      <c r="I992" s="1" t="n"/>
      <c r="J992" s="1" t="n"/>
      <c r="K992" s="1" t="n"/>
      <c r="L992" s="1" t="n"/>
      <c r="M992" s="1" t="n"/>
    </row>
    <row r="993" ht="15.75" customHeight="1" s="311">
      <c r="A993" s="1" t="n"/>
      <c r="B993" s="1" t="n"/>
      <c r="C993" s="1" t="n"/>
      <c r="D993" s="1" t="n"/>
      <c r="E993" s="1" t="n"/>
      <c r="F993" s="1" t="n"/>
      <c r="G993" s="1" t="n"/>
      <c r="H993" s="1" t="n"/>
      <c r="I993" s="1" t="n"/>
      <c r="J993" s="1" t="n"/>
      <c r="K993" s="1" t="n"/>
      <c r="L993" s="1" t="n"/>
      <c r="M993" s="1" t="n"/>
    </row>
    <row r="994" ht="15.75" customHeight="1" s="311">
      <c r="A994" s="1" t="n"/>
      <c r="B994" s="1" t="n"/>
      <c r="C994" s="1" t="n"/>
      <c r="D994" s="1" t="n"/>
      <c r="E994" s="1" t="n"/>
      <c r="F994" s="1" t="n"/>
      <c r="G994" s="1" t="n"/>
      <c r="H994" s="1" t="n"/>
      <c r="I994" s="1" t="n"/>
      <c r="J994" s="1" t="n"/>
      <c r="K994" s="1" t="n"/>
      <c r="L994" s="1" t="n"/>
      <c r="M994" s="1" t="n"/>
    </row>
    <row r="995" ht="15.75" customHeight="1" s="311">
      <c r="A995" s="1" t="n"/>
      <c r="B995" s="1" t="n"/>
      <c r="C995" s="1" t="n"/>
      <c r="D995" s="1" t="n"/>
      <c r="E995" s="1" t="n"/>
      <c r="F995" s="1" t="n"/>
      <c r="G995" s="1" t="n"/>
      <c r="H995" s="1" t="n"/>
      <c r="I995" s="1" t="n"/>
      <c r="J995" s="1" t="n"/>
      <c r="K995" s="1" t="n"/>
      <c r="L995" s="1" t="n"/>
      <c r="M995" s="1" t="n"/>
    </row>
    <row r="996" ht="15.75" customHeight="1" s="311">
      <c r="A996" s="1" t="n"/>
      <c r="B996" s="1" t="n"/>
      <c r="C996" s="1" t="n"/>
      <c r="D996" s="1" t="n"/>
      <c r="E996" s="1" t="n"/>
      <c r="F996" s="1" t="n"/>
      <c r="G996" s="1" t="n"/>
      <c r="H996" s="1" t="n"/>
      <c r="I996" s="1" t="n"/>
      <c r="J996" s="1" t="n"/>
      <c r="K996" s="1" t="n"/>
      <c r="L996" s="1" t="n"/>
      <c r="M996" s="1" t="n"/>
    </row>
    <row r="997" ht="15.75" customHeight="1" s="311">
      <c r="A997" s="1" t="n"/>
      <c r="B997" s="1" t="n"/>
      <c r="C997" s="1" t="n"/>
      <c r="D997" s="1" t="n"/>
      <c r="E997" s="1" t="n"/>
      <c r="F997" s="1" t="n"/>
      <c r="G997" s="1" t="n"/>
      <c r="H997" s="1" t="n"/>
      <c r="I997" s="1" t="n"/>
      <c r="J997" s="1" t="n"/>
      <c r="K997" s="1" t="n"/>
      <c r="L997" s="1" t="n"/>
      <c r="M997" s="1" t="n"/>
    </row>
    <row r="998" ht="15.75" customHeight="1" s="311">
      <c r="A998" s="1" t="n"/>
      <c r="B998" s="1" t="n"/>
      <c r="C998" s="1" t="n"/>
      <c r="D998" s="1" t="n"/>
      <c r="E998" s="1" t="n"/>
      <c r="F998" s="1" t="n"/>
      <c r="G998" s="1" t="n"/>
      <c r="H998" s="1" t="n"/>
      <c r="I998" s="1" t="n"/>
      <c r="J998" s="1" t="n"/>
      <c r="K998" s="1" t="n"/>
      <c r="L998" s="1" t="n"/>
      <c r="M998" s="1" t="n"/>
    </row>
    <row r="999" ht="15.75" customHeight="1" s="311">
      <c r="A999" s="1" t="n"/>
      <c r="B999" s="1" t="n"/>
      <c r="C999" s="1" t="n"/>
      <c r="D999" s="1" t="n"/>
      <c r="E999" s="1" t="n"/>
      <c r="F999" s="1" t="n"/>
      <c r="G999" s="1" t="n"/>
      <c r="H999" s="1" t="n"/>
      <c r="I999" s="1" t="n"/>
      <c r="J999" s="1" t="n"/>
      <c r="K999" s="1" t="n"/>
      <c r="L999" s="1" t="n"/>
      <c r="M999" s="1" t="n"/>
    </row>
    <row r="1000" ht="15.75" customHeight="1" s="311">
      <c r="A1000" s="1" t="n"/>
      <c r="B1000" s="1" t="n"/>
      <c r="C1000" s="1" t="n"/>
      <c r="D1000" s="1" t="n"/>
      <c r="E1000" s="1" t="n"/>
      <c r="F1000" s="1" t="n"/>
      <c r="G1000" s="1" t="n"/>
      <c r="H1000" s="1" t="n"/>
      <c r="I1000" s="1" t="n"/>
      <c r="J1000" s="1" t="n"/>
      <c r="K1000" s="1" t="n"/>
      <c r="L1000" s="1" t="n"/>
      <c r="M1000" s="1" t="n"/>
    </row>
  </sheetData>
  <mergeCells count="35">
    <mergeCell ref="B117:M117"/>
    <mergeCell ref="B63:I63"/>
    <mergeCell ref="B54:I54"/>
    <mergeCell ref="B70:E71"/>
    <mergeCell ref="H108:M108"/>
    <mergeCell ref="B59:I59"/>
    <mergeCell ref="B66:I66"/>
    <mergeCell ref="H110:M110"/>
    <mergeCell ref="H115:M115"/>
    <mergeCell ref="B73:M73"/>
    <mergeCell ref="B56:I56"/>
    <mergeCell ref="B58:I58"/>
    <mergeCell ref="B103:M103"/>
    <mergeCell ref="H109:M109"/>
    <mergeCell ref="E104:M104"/>
    <mergeCell ref="B60:I60"/>
    <mergeCell ref="B67:I67"/>
    <mergeCell ref="B127:M127"/>
    <mergeCell ref="H111:M111"/>
    <mergeCell ref="B61:I61"/>
    <mergeCell ref="B57:I57"/>
    <mergeCell ref="H107:M107"/>
    <mergeCell ref="B123:M123"/>
    <mergeCell ref="H106:M106"/>
    <mergeCell ref="B65:I65"/>
    <mergeCell ref="H112:M112"/>
    <mergeCell ref="B68:I68"/>
    <mergeCell ref="B125:M125"/>
    <mergeCell ref="B64:I64"/>
    <mergeCell ref="B72:M72"/>
    <mergeCell ref="B55:I55"/>
    <mergeCell ref="D42:H42"/>
    <mergeCell ref="H113:M113"/>
    <mergeCell ref="H114:M114"/>
    <mergeCell ref="B77:M77"/>
  </mergeCells>
  <conditionalFormatting sqref="B11:I37">
    <cfRule type="expression" priority="1" dxfId="7">
      <formula>$F11="🔴"</formula>
    </cfRule>
    <cfRule type="expression" priority="2" dxfId="13">
      <formula>$F11="✅"</formula>
    </cfRule>
  </conditionalFormatting>
  <conditionalFormatting sqref="G107:G115">
    <cfRule type="expression" priority="3" dxfId="12">
      <formula>ISNUMBER(SEARCH("MEJORA",$G107))</formula>
    </cfRule>
    <cfRule type="expression" priority="4" dxfId="0">
      <formula>ISNUMBER(SEARCH("EMPEORA",$G107))</formula>
    </cfRule>
  </conditionalFormatting>
  <pageMargins left="0.75" right="0.75" top="1" bottom="1" header="0" footer="0"/>
  <pageSetup orientation="portrait" paperSize="9"/>
  <drawing xmlns:r="http://schemas.openxmlformats.org/officeDocument/2006/relationships" r:id="rId1"/>
</worksheet>
</file>

<file path=xl/worksheets/sheet16.xml><?xml version="1.0" encoding="utf-8"?>
<worksheet xmlns="http://schemas.openxmlformats.org/spreadsheetml/2006/main">
  <sheetPr>
    <tabColor rgb="FF0B7C6B"/>
    <outlinePr summaryBelow="1" summaryRight="1"/>
    <pageSetUpPr/>
  </sheetPr>
  <dimension ref="A1:AD1000"/>
  <sheetViews>
    <sheetView showGridLines="0" workbookViewId="0">
      <pane ySplit="6" topLeftCell="A7" activePane="bottomLeft" state="frozen"/>
      <selection pane="bottomLeft" activeCell="B8" sqref="B8"/>
    </sheetView>
  </sheetViews>
  <sheetFormatPr baseColWidth="8" defaultColWidth="14.43" defaultRowHeight="15" customHeight="1"/>
  <cols>
    <col width="5" customWidth="1" style="311" min="1" max="1"/>
    <col width="34" customWidth="1" style="311" min="2" max="2"/>
    <col width="20" customWidth="1" style="311" min="3" max="3"/>
    <col width="22" customWidth="1" style="311" min="4" max="4"/>
    <col width="9" customWidth="1" style="311" min="5" max="5"/>
    <col width="12" customWidth="1" style="311" min="6" max="6"/>
    <col width="13" customWidth="1" style="311" min="7" max="7"/>
    <col width="20" customWidth="1" style="311" min="8" max="8"/>
    <col width="29.57" customWidth="1" style="311" min="9" max="9"/>
    <col width="15" customWidth="1" style="311" min="10" max="11"/>
    <col width="16" customWidth="1" style="311" min="12" max="13"/>
    <col width="14" customWidth="1" style="311" min="14" max="14"/>
    <col width="15" customWidth="1" style="311" min="15" max="16"/>
    <col width="13" customWidth="1" style="311" min="17" max="17"/>
    <col width="15" customWidth="1" style="311" min="18" max="18"/>
    <col width="11" customWidth="1" style="311" min="19" max="19"/>
    <col width="9" customWidth="1" style="311" min="20" max="20"/>
    <col width="13" customWidth="1" style="311" min="21" max="21"/>
    <col width="10" customWidth="1" style="311" min="22" max="22"/>
    <col width="52" customWidth="1" style="311" min="23" max="23"/>
    <col width="16" customWidth="1" style="311" min="24" max="24"/>
    <col width="14" customWidth="1" style="311" min="25" max="25"/>
  </cols>
  <sheetData>
    <row r="1" ht="21.75" customHeight="1" s="311">
      <c r="A1" s="145" t="n"/>
      <c r="B1" s="19" t="inlineStr">
        <is>
          <t>CARTERA DE INVERSIONES</t>
        </is>
      </c>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 t="n"/>
      <c r="Z1" s="1" t="n"/>
      <c r="AA1" s="1" t="n"/>
      <c r="AB1" s="1" t="n"/>
      <c r="AC1" s="1" t="n"/>
      <c r="AD1" s="1" t="n"/>
    </row>
    <row r="2" ht="29.25" customHeight="1" s="311">
      <c r="A2" s="145" t="n"/>
      <c r="B2" s="20" t="inlineStr">
        <is>
          <t>Acciones, fondos, ETF, cripto, cuentas remuneradas, depósitos y P2P. Controla lo aportado, el valor actual, las comisiones y el retorno real. Regla clave: el ROI se mide sobre lo aportado MÁS las comisiones, porque una comisión es dinero que pusiste y no trabaja para ti.</t>
        </is>
      </c>
      <c r="H2" s="145" t="n"/>
      <c r="I2" s="145" t="n"/>
      <c r="J2" s="145" t="n"/>
      <c r="K2" s="145" t="n"/>
      <c r="L2" s="145" t="n"/>
      <c r="M2" s="145" t="n"/>
      <c r="N2" s="145" t="n"/>
      <c r="O2" s="145" t="n"/>
      <c r="P2" s="145" t="n"/>
      <c r="Q2" s="145" t="n"/>
      <c r="R2" s="145" t="n"/>
      <c r="S2" s="145" t="n"/>
      <c r="T2" s="145" t="n"/>
      <c r="U2" s="145" t="n"/>
      <c r="V2" s="145" t="n"/>
      <c r="W2" s="145" t="n"/>
      <c r="X2" s="145" t="n"/>
      <c r="Y2" s="1" t="n"/>
      <c r="Z2" s="1" t="n"/>
      <c r="AA2" s="1" t="n"/>
      <c r="AB2" s="1" t="n"/>
      <c r="AC2" s="1" t="n"/>
      <c r="AD2" s="1" t="n"/>
    </row>
    <row r="3">
      <c r="A3" s="145" t="n"/>
      <c r="B3" s="145" t="n"/>
      <c r="C3" s="145" t="n"/>
      <c r="D3" s="145" t="n"/>
      <c r="E3" s="145" t="n"/>
      <c r="F3" s="145" t="n"/>
      <c r="G3" s="145" t="n"/>
      <c r="H3" s="145" t="n"/>
      <c r="I3" s="145" t="n"/>
      <c r="J3" s="145" t="n"/>
      <c r="K3" s="145" t="n"/>
      <c r="L3" s="145" t="n"/>
      <c r="M3" s="145" t="n"/>
      <c r="N3" s="145" t="n"/>
      <c r="O3" s="145" t="n"/>
      <c r="P3" s="145" t="n"/>
      <c r="Q3" s="145" t="n"/>
      <c r="R3" s="145" t="n"/>
      <c r="S3" s="145" t="n"/>
      <c r="T3" s="145" t="n"/>
      <c r="U3" s="145" t="n"/>
      <c r="V3" s="145" t="n"/>
      <c r="W3" s="145" t="n"/>
      <c r="X3" s="145" t="n"/>
      <c r="Y3" s="1" t="n"/>
      <c r="Z3" s="1" t="n"/>
      <c r="AA3" s="1" t="n"/>
      <c r="AB3" s="1" t="n"/>
      <c r="AC3" s="1" t="n"/>
      <c r="AD3" s="1" t="n"/>
    </row>
    <row r="4" ht="18" customHeight="1" s="311">
      <c r="A4" s="145" t="n"/>
      <c r="B4" s="238" t="inlineStr">
        <is>
          <t>Tipos de cambio: se leen de la hoja Disponibilidad (celdas M6:N9).</t>
        </is>
      </c>
      <c r="C4" s="145" t="n"/>
      <c r="D4" s="145" t="n"/>
      <c r="E4" s="145" t="n"/>
      <c r="F4" s="145" t="n"/>
      <c r="G4" s="145" t="n"/>
      <c r="H4" s="145" t="n"/>
      <c r="I4" s="145" t="n"/>
      <c r="J4" s="145" t="n"/>
      <c r="K4" s="145" t="n"/>
      <c r="L4" s="145" t="n"/>
      <c r="M4" s="145" t="n"/>
      <c r="N4" s="145" t="n"/>
      <c r="O4" s="145" t="n"/>
      <c r="P4" s="145" t="n"/>
      <c r="Q4" s="145" t="n"/>
      <c r="R4" s="145" t="n"/>
      <c r="S4" s="145" t="n"/>
      <c r="T4" s="145" t="n"/>
      <c r="U4" s="145" t="n"/>
      <c r="V4" s="145" t="n"/>
      <c r="W4" s="145" t="n"/>
      <c r="X4" s="145" t="n"/>
      <c r="Y4" s="1" t="n"/>
      <c r="Z4" s="1" t="n"/>
      <c r="AA4" s="1" t="n"/>
      <c r="AB4" s="1" t="n"/>
      <c r="AC4" s="1" t="n"/>
      <c r="AD4" s="1" t="n"/>
    </row>
    <row r="5" ht="21.75" customHeight="1" s="311">
      <c r="A5" s="21" t="inlineStr">
        <is>
          <t>1.  POSICIONES</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145" t="n"/>
      <c r="Y5" s="1" t="n"/>
      <c r="Z5" s="1" t="n"/>
      <c r="AA5" s="1" t="n"/>
      <c r="AB5" s="1" t="n"/>
      <c r="AC5" s="1" t="n"/>
      <c r="AD5" s="1" t="n"/>
    </row>
    <row r="6" ht="48" customHeight="1" s="311">
      <c r="A6" s="33" t="inlineStr">
        <is>
          <t>#</t>
        </is>
      </c>
      <c r="B6" s="33" t="inlineStr">
        <is>
          <t>Activo / posición</t>
        </is>
      </c>
      <c r="C6" s="33" t="inlineStr">
        <is>
          <t>Tipo</t>
        </is>
      </c>
      <c r="D6" s="33" t="inlineStr">
        <is>
          <t>Plataforma / broker</t>
        </is>
      </c>
      <c r="E6" s="33" t="inlineStr">
        <is>
          <t>Moneda</t>
        </is>
      </c>
      <c r="F6" s="33" t="inlineStr">
        <is>
          <t>Fecha de
inicio</t>
        </is>
      </c>
      <c r="G6" s="33" t="inlineStr">
        <is>
          <t>Unidades</t>
        </is>
      </c>
      <c r="H6" s="33" t="inlineStr">
        <is>
          <t>Precio actual
(moneda)</t>
        </is>
      </c>
      <c r="I6" s="33" t="inlineStr">
        <is>
          <t>T.C.</t>
        </is>
      </c>
      <c r="J6" s="33" t="inlineStr">
        <is>
          <t>Valor de
mercado (€)</t>
        </is>
      </c>
      <c r="K6" s="33" t="inlineStr">
        <is>
          <t>Valor actual
manual (€)</t>
        </is>
      </c>
      <c r="L6" s="33" t="inlineStr">
        <is>
          <t>VALOR ACTUAL
(€)</t>
        </is>
      </c>
      <c r="M6" s="33" t="inlineStr">
        <is>
          <t>Aportado /
invertido (€)</t>
        </is>
      </c>
      <c r="N6" s="33" t="inlineStr">
        <is>
          <t>Comisiones
de compra (€)</t>
        </is>
      </c>
      <c r="O6" s="33" t="inlineStr">
        <is>
          <t>Comisiones
acumuladas (€)</t>
        </is>
      </c>
      <c r="P6" s="33" t="inlineStr">
        <is>
          <t>Dividendos e
intereses (€)</t>
        </is>
      </c>
      <c r="Q6" s="33" t="inlineStr">
        <is>
          <t>Retiros (€)</t>
        </is>
      </c>
      <c r="R6" s="33" t="inlineStr">
        <is>
          <t>RESULTADO (€)</t>
        </is>
      </c>
      <c r="S6" s="33" t="inlineStr">
        <is>
          <t>ROI %</t>
        </is>
      </c>
      <c r="T6" s="33" t="inlineStr">
        <is>
          <t>Meses</t>
        </is>
      </c>
      <c r="U6" s="33" t="inlineStr">
        <is>
          <t>ROI anual</t>
        </is>
      </c>
      <c r="V6" s="33" t="inlineStr">
        <is>
          <t>Peso</t>
        </is>
      </c>
      <c r="W6" s="33" t="inlineStr">
        <is>
          <t>Notas</t>
        </is>
      </c>
      <c r="X6" s="33" t="inlineStr">
        <is>
          <t>¿Sumar al
Balance?</t>
        </is>
      </c>
      <c r="Y6" s="33" t="inlineStr">
        <is>
          <t>Nivel de
riesgo</t>
        </is>
      </c>
      <c r="Z6" s="1" t="n"/>
      <c r="AA6" s="1" t="n"/>
      <c r="AB6" s="1" t="n"/>
      <c r="AC6" s="1" t="n"/>
      <c r="AD6" s="1" t="n"/>
    </row>
    <row r="7" ht="15" customHeight="1" s="311">
      <c r="A7" s="41">
        <f>IF($B7="","",ROW()-6)</f>
        <v/>
      </c>
      <c r="B7" s="146" t="inlineStr">
        <is>
          <t>MyInvestor</t>
        </is>
      </c>
      <c r="C7" s="83" t="inlineStr">
        <is>
          <t>Fondo de inversión</t>
        </is>
      </c>
      <c r="D7" s="146" t="inlineStr">
        <is>
          <t>MyInvestor</t>
        </is>
      </c>
      <c r="E7" s="83" t="inlineStr">
        <is>
          <t>EUR</t>
        </is>
      </c>
      <c r="F7" s="144" t="n">
        <v>45658</v>
      </c>
      <c r="G7" s="261" t="n"/>
      <c r="H7" s="162" t="n"/>
      <c r="I7" s="120">
        <f t="array" ref="I7">IF($E7="","",IFERROR(INDEX(Disponibilidad!$N$6:$N$9,MATCH($E7,Disponibilidad!$M$6:$M$9,0)),1))</f>
        <v/>
      </c>
      <c r="J7" s="42">
        <f>IF(OR($G7="",$H7=""),"",$G7*$H7*$I7)</f>
        <v/>
      </c>
      <c r="K7" s="76" t="n">
        <v>4.68</v>
      </c>
      <c r="L7" s="57">
        <f>IF($B7="","",IF(N($J7)&gt;0,$J7,N($K7)))</f>
        <v/>
      </c>
      <c r="M7" s="76" t="n">
        <v>0</v>
      </c>
      <c r="N7" s="76" t="n">
        <v>0</v>
      </c>
      <c r="O7" s="76" t="n">
        <v>0</v>
      </c>
      <c r="P7" s="76" t="n">
        <v>0</v>
      </c>
      <c r="Q7" s="76" t="n">
        <v>0</v>
      </c>
      <c r="R7" s="57">
        <f>IF($B7="","",$L7+N($P7)+N($Q7)-N($M7)-N($N7)-N($O7))</f>
        <v/>
      </c>
      <c r="S7" s="132">
        <f>IFERROR($R7/(N($M7)+N($N7)+N($O7)),"")</f>
        <v/>
      </c>
      <c r="T7" s="59">
        <f>IF($F7="","",MAX(1,ROUND((TODAY()-$F7)/30.4375,0)))</f>
        <v/>
      </c>
      <c r="U7" s="65">
        <f>IFERROR((1+$S7)^(12/$T7)-1,"")</f>
        <v/>
      </c>
      <c r="V7" s="65">
        <f>IFERROR($L7/$L$48,"")</f>
        <v/>
      </c>
      <c r="W7" s="20" t="n"/>
      <c r="X7" s="83" t="inlineStr">
        <is>
          <t>Sí</t>
        </is>
      </c>
      <c r="Y7" s="83" t="inlineStr">
        <is>
          <t>Medio</t>
        </is>
      </c>
      <c r="Z7" s="1" t="n"/>
      <c r="AA7" s="1" t="n"/>
      <c r="AB7" s="1" t="n"/>
      <c r="AC7" s="1" t="n"/>
      <c r="AD7" s="1" t="n"/>
    </row>
    <row r="8" ht="15" customHeight="1" s="311">
      <c r="A8" s="41">
        <f>IF($B8="","",ROW()-6)</f>
        <v/>
      </c>
      <c r="B8" s="146" t="inlineStr">
        <is>
          <t>Self Bank</t>
        </is>
      </c>
      <c r="C8" s="83" t="inlineStr">
        <is>
          <t>Fondo de inversión</t>
        </is>
      </c>
      <c r="D8" s="146" t="inlineStr">
        <is>
          <t>Self Bank</t>
        </is>
      </c>
      <c r="E8" s="83" t="inlineStr">
        <is>
          <t>EUR</t>
        </is>
      </c>
      <c r="F8" s="144" t="n">
        <v>45658</v>
      </c>
      <c r="G8" s="261" t="n"/>
      <c r="H8" s="162" t="n"/>
      <c r="I8" s="120">
        <f t="array" ref="I8">IF($E8="","",IFERROR(INDEX(Disponibilidad!$N$6:$N$9,MATCH($E8,Disponibilidad!$M$6:$M$9,0)),1))</f>
        <v/>
      </c>
      <c r="J8" s="42">
        <f>IF(OR($G8="",$H8=""),"",$G8*$H8*$I8)</f>
        <v/>
      </c>
      <c r="K8" s="76" t="n">
        <v>0</v>
      </c>
      <c r="L8" s="57">
        <f>IF($B8="","",IF(N($J8)&gt;0,$J8,N($K8)))</f>
        <v/>
      </c>
      <c r="M8" s="76" t="n">
        <v>0</v>
      </c>
      <c r="N8" s="76" t="n">
        <v>0</v>
      </c>
      <c r="O8" s="76" t="n">
        <v>0</v>
      </c>
      <c r="P8" s="76" t="n">
        <v>0</v>
      </c>
      <c r="Q8" s="76" t="n">
        <v>0</v>
      </c>
      <c r="R8" s="57">
        <f>IF($B8="","",$L8+N($P8)+N($Q8)-N($M8)-N($N8)-N($O8))</f>
        <v/>
      </c>
      <c r="S8" s="132">
        <f>IFERROR($R8/(N($M8)+N($N8)+N($O8)),"")</f>
        <v/>
      </c>
      <c r="T8" s="59">
        <f>IF($F8="","",MAX(1,ROUND((TODAY()-$F8)/30.4375,0)))</f>
        <v/>
      </c>
      <c r="U8" s="65">
        <f>IFERROR((1+$S8)^(12/$T8)-1,"")</f>
        <v/>
      </c>
      <c r="V8" s="65">
        <f>IFERROR($L8/$L$48,"")</f>
        <v/>
      </c>
      <c r="W8" s="20" t="n"/>
      <c r="X8" s="83" t="inlineStr">
        <is>
          <t>Sí</t>
        </is>
      </c>
      <c r="Y8" s="83" t="inlineStr">
        <is>
          <t>Medio</t>
        </is>
      </c>
      <c r="Z8" s="1" t="n"/>
      <c r="AA8" s="1" t="n"/>
      <c r="AB8" s="1" t="n"/>
      <c r="AC8" s="1" t="n"/>
      <c r="AD8" s="1" t="n"/>
    </row>
    <row r="9" ht="15" customHeight="1" s="311">
      <c r="A9" s="41">
        <f>IF($B9="","",ROW()-6)</f>
        <v/>
      </c>
      <c r="B9" s="146" t="inlineStr">
        <is>
          <t>Trading 212 (cartera)</t>
        </is>
      </c>
      <c r="C9" s="83" t="inlineStr">
        <is>
          <t>Acciones</t>
        </is>
      </c>
      <c r="D9" s="146" t="inlineStr">
        <is>
          <t>Trading 212</t>
        </is>
      </c>
      <c r="E9" s="83" t="inlineStr">
        <is>
          <t>EUR</t>
        </is>
      </c>
      <c r="F9" s="144" t="n">
        <v>45658</v>
      </c>
      <c r="G9" s="261" t="n"/>
      <c r="H9" s="162" t="n"/>
      <c r="I9" s="120">
        <f t="array" ref="I9">IF($E9="","",IFERROR(INDEX(Disponibilidad!$N$6:$N$9,MATCH($E9,Disponibilidad!$M$6:$M$9,0)),1))</f>
        <v/>
      </c>
      <c r="J9" s="42">
        <f>IF(OR($G9="",$H9=""),"",$G9*$H9*$I9)</f>
        <v/>
      </c>
      <c r="K9" s="76" t="n">
        <v>0</v>
      </c>
      <c r="L9" s="57">
        <f>IF($B9="","",IF(N($J9)&gt;0,$J9,N($K9)))</f>
        <v/>
      </c>
      <c r="M9" s="76" t="n">
        <v>0</v>
      </c>
      <c r="N9" s="76" t="n">
        <v>0</v>
      </c>
      <c r="O9" s="76" t="n">
        <v>0</v>
      </c>
      <c r="P9" s="76" t="n">
        <v>0</v>
      </c>
      <c r="Q9" s="76" t="n">
        <v>0</v>
      </c>
      <c r="R9" s="57">
        <f>IF($B9="","",$L9+N($P9)+N($Q9)-N($M9)-N($N9)-N($O9))</f>
        <v/>
      </c>
      <c r="S9" s="132">
        <f>IFERROR($R9/(N($M9)+N($N9)+N($O9)),"")</f>
        <v/>
      </c>
      <c r="T9" s="59">
        <f>IF($F9="","",MAX(1,ROUND((TODAY()-$F9)/30.4375,0)))</f>
        <v/>
      </c>
      <c r="U9" s="65">
        <f>IFERROR((1+$S9)^(12/$T9)-1,"")</f>
        <v/>
      </c>
      <c r="V9" s="65">
        <f>IFERROR($L9/$L$48,"")</f>
        <v/>
      </c>
      <c r="W9" s="20" t="n"/>
      <c r="X9" s="83" t="inlineStr">
        <is>
          <t>Sí</t>
        </is>
      </c>
      <c r="Y9" s="83" t="inlineStr">
        <is>
          <t>Alto</t>
        </is>
      </c>
      <c r="Z9" s="1" t="n"/>
      <c r="AA9" s="1" t="n"/>
      <c r="AB9" s="1" t="n"/>
      <c r="AC9" s="1" t="n"/>
      <c r="AD9" s="1" t="n"/>
    </row>
    <row r="10" ht="15" customHeight="1" s="311">
      <c r="A10" s="41">
        <f>IF($B10="","",ROW()-6)</f>
        <v/>
      </c>
      <c r="B10" s="146" t="inlineStr">
        <is>
          <t>Mintos</t>
        </is>
      </c>
      <c r="C10" s="83" t="inlineStr">
        <is>
          <t>Préstamos P2P</t>
        </is>
      </c>
      <c r="D10" s="146" t="inlineStr">
        <is>
          <t>Mintos</t>
        </is>
      </c>
      <c r="E10" s="83" t="inlineStr">
        <is>
          <t>EUR</t>
        </is>
      </c>
      <c r="F10" s="144" t="n">
        <v>45658</v>
      </c>
      <c r="G10" s="261" t="n"/>
      <c r="H10" s="162" t="n"/>
      <c r="I10" s="120">
        <f t="array" ref="I10">IF($E10="","",IFERROR(INDEX(Disponibilidad!$N$6:$N$9,MATCH($E10,Disponibilidad!$M$6:$M$9,0)),1))</f>
        <v/>
      </c>
      <c r="J10" s="42">
        <f>IF(OR($G10="",$H10=""),"",$G10*$H10*$I10)</f>
        <v/>
      </c>
      <c r="K10" s="76" t="n">
        <v>54.72</v>
      </c>
      <c r="L10" s="57">
        <f>IF($B10="","",IF(N($J10)&gt;0,$J10,N($K10)))</f>
        <v/>
      </c>
      <c r="M10" s="76" t="n">
        <v>54.72</v>
      </c>
      <c r="N10" s="76" t="n">
        <v>0</v>
      </c>
      <c r="O10" s="76" t="n">
        <v>0</v>
      </c>
      <c r="P10" s="76" t="n">
        <v>0</v>
      </c>
      <c r="Q10" s="76" t="n">
        <v>0</v>
      </c>
      <c r="R10" s="57">
        <f>IF($B10="","",$L10+N($P10)+N($Q10)-N($M10)-N($N10)-N($O10))</f>
        <v/>
      </c>
      <c r="S10" s="132">
        <f>IFERROR($R10/(N($M10)+N($N10)+N($O10)),"")</f>
        <v/>
      </c>
      <c r="T10" s="59">
        <f>IF($F10="","",MAX(1,ROUND((TODAY()-$F10)/30.4375,0)))</f>
        <v/>
      </c>
      <c r="U10" s="65">
        <f>IFERROR((1+$S10)^(12/$T10)-1,"")</f>
        <v/>
      </c>
      <c r="V10" s="65">
        <f>IFERROR($L10/$L$48,"")</f>
        <v/>
      </c>
      <c r="W10" s="20" t="inlineStr">
        <is>
          <t>Iliquidez y riesgo de impago del prestatario.</t>
        </is>
      </c>
      <c r="X10" s="83" t="inlineStr">
        <is>
          <t>Sí</t>
        </is>
      </c>
      <c r="Y10" s="83" t="inlineStr">
        <is>
          <t>Alto</t>
        </is>
      </c>
      <c r="Z10" s="1" t="n"/>
      <c r="AA10" s="1" t="n"/>
      <c r="AB10" s="1" t="n"/>
      <c r="AC10" s="1" t="n"/>
      <c r="AD10" s="1" t="n"/>
    </row>
    <row r="11" ht="15" customHeight="1" s="311">
      <c r="A11" s="41" t="n">
        <v>5</v>
      </c>
      <c r="B11" s="262" t="inlineStr">
        <is>
          <t>Erupe republic.com</t>
        </is>
      </c>
      <c r="C11" s="83" t="inlineStr">
        <is>
          <t>Capital riesgo</t>
        </is>
      </c>
      <c r="D11" s="146" t="inlineStr">
        <is>
          <t>Europe Republi</t>
        </is>
      </c>
      <c r="E11" s="83" t="inlineStr">
        <is>
          <t>GBP</t>
        </is>
      </c>
      <c r="F11" s="144" t="n">
        <v>45839</v>
      </c>
      <c r="G11" s="261" t="n">
        <v>4</v>
      </c>
      <c r="H11" s="162" t="n">
        <v>5.47</v>
      </c>
      <c r="I11" s="120">
        <f t="array" ref="I11">IF($E11="","",IFERROR(INDEX(Disponibilidad!$N$6:$N$9,MATCH($E11,Disponibilidad!$M$6:$M$9,0)),1))</f>
        <v/>
      </c>
      <c r="J11" s="42">
        <f>IF(OR($G11="",$H11=""),"",$G11*$H11*$I11)</f>
        <v/>
      </c>
      <c r="K11" s="76" t="n">
        <v>25.6</v>
      </c>
      <c r="L11" s="57">
        <f>IF($B11="","",IF(N($J11)&gt;0,$J11,N($K11)))</f>
        <v/>
      </c>
      <c r="M11" s="76" t="n">
        <v>25.6</v>
      </c>
      <c r="N11" s="76" t="n">
        <v>0</v>
      </c>
      <c r="O11" s="76" t="n">
        <v>0</v>
      </c>
      <c r="P11" s="76" t="n">
        <v>0</v>
      </c>
      <c r="Q11" s="76" t="n">
        <v>0</v>
      </c>
      <c r="R11" s="57">
        <f>IF($B11="","",$L11+N($P11)+N($Q11)-N($M11)-N($N11)-N($O11))</f>
        <v/>
      </c>
      <c r="S11" s="132">
        <f>IFERROR($R11/(N($M11)+N($N11)+N($O11)),"")</f>
        <v/>
      </c>
      <c r="T11" s="59">
        <f>IF($F11="","",MAX(1,ROUND((TODAY()-$F11)/30.4375,0)))</f>
        <v/>
      </c>
      <c r="U11" s="65">
        <f>IFERROR((1+$S11)^(12/$T11)-1,"")</f>
        <v/>
      </c>
      <c r="V11" s="65">
        <f>IFERROR($L11/$L$48,"")</f>
        <v/>
      </c>
      <c r="W11" s="20" t="n"/>
      <c r="X11" s="83" t="n"/>
      <c r="Y11" s="83" t="inlineStr">
        <is>
          <t>Muy alto</t>
        </is>
      </c>
      <c r="Z11" s="1" t="n"/>
      <c r="AA11" s="1" t="n"/>
      <c r="AB11" s="1" t="n"/>
      <c r="AC11" s="1" t="n"/>
      <c r="AD11" s="1" t="n"/>
    </row>
    <row r="12" ht="15" customHeight="1" s="311">
      <c r="A12" s="41">
        <f>IF($B12="","",ROW()-6)</f>
        <v/>
      </c>
      <c r="B12" s="146" t="inlineStr">
        <is>
          <t>Republic Europe (Watergate.ia)</t>
        </is>
      </c>
      <c r="C12" s="83" t="inlineStr">
        <is>
          <t>Capital riesgo</t>
        </is>
      </c>
      <c r="D12" s="146" t="inlineStr">
        <is>
          <t>Republic Europe</t>
        </is>
      </c>
      <c r="E12" s="83" t="inlineStr">
        <is>
          <t>EUR</t>
        </is>
      </c>
      <c r="F12" s="144" t="n">
        <v>45658</v>
      </c>
      <c r="G12" s="261" t="n"/>
      <c r="H12" s="162" t="n"/>
      <c r="I12" s="120">
        <f t="array" ref="I12">IF($E12="","",IFERROR(INDEX(Disponibilidad!$N$6:$N$9,MATCH($E12,Disponibilidad!$M$6:$M$9,0)),1))</f>
        <v/>
      </c>
      <c r="J12" s="42">
        <f>IF(OR($G12="",$H12=""),"",$G12*$H12*$I12)</f>
        <v/>
      </c>
      <c r="K12" s="76" t="n">
        <v>0</v>
      </c>
      <c r="L12" s="57">
        <f>IF($B12="","",IF(N($J12)&gt;0,$J12,N($K12)))</f>
        <v/>
      </c>
      <c r="M12" s="76" t="n">
        <v>0</v>
      </c>
      <c r="N12" s="76" t="n">
        <v>0</v>
      </c>
      <c r="O12" s="76" t="n">
        <v>0</v>
      </c>
      <c r="P12" s="76" t="n">
        <v>0</v>
      </c>
      <c r="Q12" s="76" t="n">
        <v>0</v>
      </c>
      <c r="R12" s="57">
        <f>IF($B12="","",$L12+N($P12)+N($Q12)-N($M12)-N($N12)-N($O12))</f>
        <v/>
      </c>
      <c r="S12" s="132">
        <f>IFERROR($R12/(N($M12)+N($N12)+N($O12)),"")</f>
        <v/>
      </c>
      <c r="T12" s="59">
        <f>IF($F12="","",MAX(1,ROUND((TODAY()-$F12)/30.4375,0)))</f>
        <v/>
      </c>
      <c r="U12" s="65">
        <f>IFERROR((1+$S12)^(12/$T12)-1,"")</f>
        <v/>
      </c>
      <c r="V12" s="65">
        <f>IFERROR($L12/$L$48,"")</f>
        <v/>
      </c>
      <c r="W12" s="20" t="inlineStr">
        <is>
          <t>Iliquidez casi total: no cuentes con este dinero.</t>
        </is>
      </c>
      <c r="X12" s="83" t="inlineStr">
        <is>
          <t>Sí</t>
        </is>
      </c>
      <c r="Y12" s="83" t="inlineStr">
        <is>
          <t>Muy alto</t>
        </is>
      </c>
      <c r="Z12" s="1" t="n"/>
      <c r="AA12" s="1" t="n"/>
      <c r="AB12" s="1" t="n"/>
      <c r="AC12" s="1" t="n"/>
      <c r="AD12" s="1" t="n"/>
    </row>
    <row r="13" ht="15" customHeight="1" s="311">
      <c r="A13" s="41">
        <f>IF($B13="","",ROW()-6)</f>
        <v/>
      </c>
      <c r="B13" s="146" t="inlineStr">
        <is>
          <t>Degiro</t>
        </is>
      </c>
      <c r="C13" s="83" t="inlineStr">
        <is>
          <t>Acciones</t>
        </is>
      </c>
      <c r="D13" s="146" t="inlineStr">
        <is>
          <t>Degiro</t>
        </is>
      </c>
      <c r="E13" s="83" t="inlineStr">
        <is>
          <t>EUR</t>
        </is>
      </c>
      <c r="F13" s="144" t="n">
        <v>44980</v>
      </c>
      <c r="G13" s="261" t="n">
        <v>2</v>
      </c>
      <c r="H13" s="162" t="n">
        <v>9.9</v>
      </c>
      <c r="I13" s="120">
        <f t="array" ref="I13">IF($E13="","",IFERROR(INDEX(Disponibilidad!$N$6:$N$9,MATCH($E13,Disponibilidad!$M$6:$M$9,0)),1))</f>
        <v/>
      </c>
      <c r="J13" s="42">
        <f>IF(OR($G13="",$H13=""),"",$G13*$H13*$I13)</f>
        <v/>
      </c>
      <c r="K13" s="76" t="n">
        <v>22.87</v>
      </c>
      <c r="L13" s="57">
        <f>IF($B13="","",IF(N($J13)&gt;0,$J13,N($K13)))</f>
        <v/>
      </c>
      <c r="M13" s="76" t="n">
        <v>4.96</v>
      </c>
      <c r="N13" s="76" t="n">
        <v>0</v>
      </c>
      <c r="O13" s="76" t="n">
        <v>0</v>
      </c>
      <c r="P13" s="76" t="n">
        <v>0</v>
      </c>
      <c r="Q13" s="76" t="n">
        <v>0</v>
      </c>
      <c r="R13" s="57">
        <f>IF($B13="","",$L13+N($P13)+N($Q13)-N($M13)-N($N13)-N($O13))</f>
        <v/>
      </c>
      <c r="S13" s="132">
        <f>IFERROR($R13/(N($M13)+N($N13)+N($O13)),"")</f>
        <v/>
      </c>
      <c r="T13" s="59">
        <f>IF($F13="","",MAX(1,ROUND((TODAY()-$F13)/30.4375,0)))</f>
        <v/>
      </c>
      <c r="U13" s="65">
        <f>IFERROR((1+$S13)^(12/$T13)-1,"")</f>
        <v/>
      </c>
      <c r="V13" s="65">
        <f>IFERROR($L13/$L$48,"")</f>
        <v/>
      </c>
      <c r="W13" s="20" t="n"/>
      <c r="X13" s="83" t="inlineStr">
        <is>
          <t>Sí</t>
        </is>
      </c>
      <c r="Y13" s="83" t="inlineStr">
        <is>
          <t>Alto</t>
        </is>
      </c>
      <c r="Z13" s="1" t="n"/>
      <c r="AA13" s="1" t="n"/>
      <c r="AB13" s="1" t="n"/>
      <c r="AC13" s="1" t="n"/>
      <c r="AD13" s="1" t="n"/>
    </row>
    <row r="14" ht="15" customHeight="1" s="311">
      <c r="A14" s="41">
        <f>IF($B14="","",ROW()-6)</f>
        <v/>
      </c>
      <c r="B14" s="146" t="inlineStr">
        <is>
          <t>Criptomonedas</t>
        </is>
      </c>
      <c r="C14" s="83" t="inlineStr">
        <is>
          <t>Criptomoneda</t>
        </is>
      </c>
      <c r="D14" s="146" t="inlineStr">
        <is>
          <t>Binance / Coinbase / MERU</t>
        </is>
      </c>
      <c r="E14" s="83" t="inlineStr">
        <is>
          <t>EUR</t>
        </is>
      </c>
      <c r="F14" s="144" t="n">
        <v>45658</v>
      </c>
      <c r="G14" s="261" t="n"/>
      <c r="H14" s="162" t="n"/>
      <c r="I14" s="120">
        <f t="array" ref="I14">IF($E14="","",IFERROR(INDEX(Disponibilidad!$N$6:$N$9,MATCH($E14,Disponibilidad!$M$6:$M$9,0)),1))</f>
        <v/>
      </c>
      <c r="J14" s="42">
        <f>IF(OR($G14="",$H14=""),"",$G14*$H14*$I14)</f>
        <v/>
      </c>
      <c r="K14" s="76" t="n">
        <v>0</v>
      </c>
      <c r="L14" s="57">
        <f>IF($B14="","",IF(N($J14)&gt;0,$J14,N($K14)))</f>
        <v/>
      </c>
      <c r="M14" s="76" t="n">
        <v>0</v>
      </c>
      <c r="N14" s="76" t="n">
        <v>0</v>
      </c>
      <c r="O14" s="76" t="n">
        <v>0</v>
      </c>
      <c r="P14" s="76" t="n">
        <v>0</v>
      </c>
      <c r="Q14" s="76" t="n">
        <v>0</v>
      </c>
      <c r="R14" s="57">
        <f>IF($B14="","",$L14+N($P14)+N($Q14)-N($M14)-N($N14)-N($O14))</f>
        <v/>
      </c>
      <c r="S14" s="132">
        <f>IFERROR($R14/(N($M14)+N($N14)+N($O14)),"")</f>
        <v/>
      </c>
      <c r="T14" s="59">
        <f>IF($F14="","",MAX(1,ROUND((TODAY()-$F14)/30.4375,0)))</f>
        <v/>
      </c>
      <c r="U14" s="65">
        <f>IFERROR((1+$S14)^(12/$T14)-1,"")</f>
        <v/>
      </c>
      <c r="V14" s="65">
        <f>IFERROR($L14/$L$48,"")</f>
        <v/>
      </c>
      <c r="W14" s="20" t="n"/>
      <c r="X14" s="83" t="inlineStr">
        <is>
          <t>Sí</t>
        </is>
      </c>
      <c r="Y14" s="83" t="inlineStr">
        <is>
          <t>Muy alto</t>
        </is>
      </c>
      <c r="Z14" s="1" t="n"/>
      <c r="AA14" s="1" t="n"/>
      <c r="AB14" s="1" t="n"/>
      <c r="AC14" s="1" t="n"/>
      <c r="AD14" s="1" t="n"/>
    </row>
    <row r="15" ht="21.75" customHeight="1" s="311">
      <c r="A15" s="41">
        <f>IF($B15="","",ROW()-6)</f>
        <v/>
      </c>
      <c r="B15" s="146" t="inlineStr">
        <is>
          <t>Capital.com</t>
        </is>
      </c>
      <c r="C15" s="83" t="inlineStr">
        <is>
          <t>CFD / apalancado</t>
        </is>
      </c>
      <c r="D15" s="146" t="inlineStr">
        <is>
          <t>Capital.com</t>
        </is>
      </c>
      <c r="E15" s="83" t="inlineStr">
        <is>
          <t>EUR</t>
        </is>
      </c>
      <c r="F15" s="144" t="n">
        <v>45658</v>
      </c>
      <c r="G15" s="261" t="n"/>
      <c r="H15" s="162" t="n"/>
      <c r="I15" s="120">
        <f t="array" ref="I15">IF($E15="","",IFERROR(INDEX(Disponibilidad!$N$6:$N$9,MATCH($E15,Disponibilidad!$M$6:$M$9,0)),1))</f>
        <v/>
      </c>
      <c r="J15" s="42">
        <f>IF(OR($G15="",$H15=""),"",$G15*$H15*$I15)</f>
        <v/>
      </c>
      <c r="K15" s="76" t="n">
        <v>0</v>
      </c>
      <c r="L15" s="57">
        <f>IF($B15="","",IF(N($J15)&gt;0,$J15,N($K15)))</f>
        <v/>
      </c>
      <c r="M15" s="76" t="n">
        <v>0</v>
      </c>
      <c r="N15" s="76" t="n">
        <v>0</v>
      </c>
      <c r="O15" s="76" t="n">
        <v>0</v>
      </c>
      <c r="P15" s="76" t="n">
        <v>0</v>
      </c>
      <c r="Q15" s="76" t="n">
        <v>0</v>
      </c>
      <c r="R15" s="57">
        <f>IF($B15="","",$L15+N($P15)+N($Q15)-N($M15)-N($N15)-N($O15))</f>
        <v/>
      </c>
      <c r="S15" s="132">
        <f>IFERROR($R15/(N($M15)+N($N15)+N($O15)),"")</f>
        <v/>
      </c>
      <c r="T15" s="59">
        <f>IF($F15="","",MAX(1,ROUND((TODAY()-$F15)/30.4375,0)))</f>
        <v/>
      </c>
      <c r="U15" s="65">
        <f>IFERROR((1+$S15)^(12/$T15)-1,"")</f>
        <v/>
      </c>
      <c r="V15" s="65">
        <f>IFERROR($L15/$L$48,"")</f>
        <v/>
      </c>
      <c r="W15" s="20" t="inlineStr">
        <is>
          <t>⚠️ CFD con apalancamiento: puedes perder más de lo aportado. No es una inversión a largo plazo.</t>
        </is>
      </c>
      <c r="X15" s="83" t="inlineStr">
        <is>
          <t>Sí</t>
        </is>
      </c>
      <c r="Y15" s="83" t="inlineStr">
        <is>
          <t>Muy alto</t>
        </is>
      </c>
      <c r="Z15" s="1" t="n"/>
      <c r="AA15" s="1" t="n"/>
      <c r="AB15" s="1" t="n"/>
      <c r="AC15" s="1" t="n"/>
      <c r="AD15" s="1" t="n"/>
    </row>
    <row r="16" ht="15" customHeight="1" s="311">
      <c r="A16" s="41">
        <f>IF($B16="","",ROW()-6)</f>
        <v/>
      </c>
      <c r="B16" s="146" t="inlineStr">
        <is>
          <t>Trade Republic</t>
        </is>
      </c>
      <c r="C16" s="83" t="inlineStr">
        <is>
          <t>Acciones</t>
        </is>
      </c>
      <c r="D16" s="146" t="inlineStr">
        <is>
          <t>Trade Republic</t>
        </is>
      </c>
      <c r="E16" s="83" t="inlineStr">
        <is>
          <t>EUR</t>
        </is>
      </c>
      <c r="F16" s="144" t="n">
        <v>45658</v>
      </c>
      <c r="G16" s="261" t="n"/>
      <c r="H16" s="162" t="n"/>
      <c r="I16" s="120">
        <f t="array" ref="I16">IF($E16="","",IFERROR(INDEX(Disponibilidad!$N$6:$N$9,MATCH($E16,Disponibilidad!$M$6:$M$9,0)),1))</f>
        <v/>
      </c>
      <c r="J16" s="42">
        <f>IF(OR($G16="",$H16=""),"",$G16*$H16*$I16)</f>
        <v/>
      </c>
      <c r="K16" s="76" t="n">
        <v>0.31</v>
      </c>
      <c r="L16" s="57">
        <f>IF($B16="","",IF(N($J16)&gt;0,$J16,N($K16)))</f>
        <v/>
      </c>
      <c r="M16" s="76" t="n">
        <v>0.31</v>
      </c>
      <c r="N16" s="76" t="n">
        <v>0</v>
      </c>
      <c r="O16" s="76" t="n">
        <v>0</v>
      </c>
      <c r="P16" s="76" t="n">
        <v>0</v>
      </c>
      <c r="Q16" s="76" t="n">
        <v>0</v>
      </c>
      <c r="R16" s="57">
        <f>IF($B16="","",$L16+N($P16)+N($Q16)-N($M16)-N($N16)-N($O16))</f>
        <v/>
      </c>
      <c r="S16" s="132">
        <f>IFERROR($R16/(N($M16)+N($N16)+N($O16)),"")</f>
        <v/>
      </c>
      <c r="T16" s="59">
        <f>IF($F16="","",MAX(1,ROUND((TODAY()-$F16)/30.4375,0)))</f>
        <v/>
      </c>
      <c r="U16" s="65">
        <f>IFERROR((1+$S16)^(12/$T16)-1,"")</f>
        <v/>
      </c>
      <c r="V16" s="65">
        <f>IFERROR($L16/$L$48,"")</f>
        <v/>
      </c>
      <c r="W16" s="20" t="n"/>
      <c r="X16" s="83" t="inlineStr">
        <is>
          <t>Sí</t>
        </is>
      </c>
      <c r="Y16" s="83" t="inlineStr">
        <is>
          <t>Alto</t>
        </is>
      </c>
      <c r="Z16" s="1" t="n"/>
      <c r="AA16" s="1" t="n"/>
      <c r="AB16" s="1" t="n"/>
      <c r="AC16" s="1" t="n"/>
      <c r="AD16" s="1" t="n"/>
    </row>
    <row r="17" ht="21.75" customHeight="1" s="311">
      <c r="A17" s="41">
        <f>IF($B17="","",ROW()-6)</f>
        <v/>
      </c>
      <c r="B17" s="146" t="inlineStr">
        <is>
          <t>BOI Super Saver 3,0%</t>
        </is>
      </c>
      <c r="C17" s="83" t="inlineStr">
        <is>
          <t>Cuenta remunerada</t>
        </is>
      </c>
      <c r="D17" s="146" t="inlineStr">
        <is>
          <t>Bank of Ireland</t>
        </is>
      </c>
      <c r="E17" s="83" t="inlineStr">
        <is>
          <t>EUR</t>
        </is>
      </c>
      <c r="F17" s="144" t="n">
        <v>45658</v>
      </c>
      <c r="G17" s="261" t="n"/>
      <c r="H17" s="162" t="n"/>
      <c r="I17" s="120">
        <f t="array" ref="I17">IF($E17="","",IFERROR(INDEX(Disponibilidad!$N$6:$N$9,MATCH($E17,Disponibilidad!$M$6:$M$9,0)),1))</f>
        <v/>
      </c>
      <c r="J17" s="42">
        <f>IF(OR($G17="",$H17=""),"",$G17*$H17*$I17)</f>
        <v/>
      </c>
      <c r="K17" s="76" t="n">
        <v>0</v>
      </c>
      <c r="L17" s="57">
        <f>IF($B17="","",IF(N($J17)&gt;0,$J17,N($K17)))</f>
        <v/>
      </c>
      <c r="M17" s="76" t="n">
        <v>0</v>
      </c>
      <c r="N17" s="76" t="n">
        <v>0</v>
      </c>
      <c r="O17" s="76" t="n">
        <v>0</v>
      </c>
      <c r="P17" s="76" t="n">
        <v>0</v>
      </c>
      <c r="Q17" s="76" t="n">
        <v>0</v>
      </c>
      <c r="R17" s="57">
        <f>IF($B17="","",$L17+N($P17)+N($Q17)-N($M17)-N($N17)-N($O17))</f>
        <v/>
      </c>
      <c r="S17" s="132">
        <f>IFERROR($R17/(N($M17)+N($N17)+N($O17)),"")</f>
        <v/>
      </c>
      <c r="T17" s="59">
        <f>IF($F17="","",MAX(1,ROUND((TODAY()-$F17)/30.4375,0)))</f>
        <v/>
      </c>
      <c r="U17" s="65">
        <f>IFERROR((1+$S17)^(12/$T17)-1,"")</f>
        <v/>
      </c>
      <c r="V17" s="65">
        <f>IFERROR($L17/$L$48,"")</f>
        <v/>
      </c>
      <c r="W17" s="20" t="inlineStr">
        <is>
          <t>Esta cuenta ya figura en la hoja Disponibilidad. Se queda aquí para seguir su rentabilidad, pero marcada "No" para que el Balance no la cuente dos veces.</t>
        </is>
      </c>
      <c r="X17" s="83" t="inlineStr">
        <is>
          <t>No</t>
        </is>
      </c>
      <c r="Y17" s="83" t="inlineStr">
        <is>
          <t>Muy bajo</t>
        </is>
      </c>
      <c r="Z17" s="1" t="n"/>
      <c r="AA17" s="1" t="n"/>
      <c r="AB17" s="1" t="n"/>
      <c r="AC17" s="1" t="n"/>
      <c r="AD17" s="1" t="n"/>
    </row>
    <row r="18" ht="15" customHeight="1" s="311">
      <c r="A18" s="41">
        <f>IF($B18="","",ROW()-6)</f>
        <v/>
      </c>
      <c r="B18" s="146" t="inlineStr">
        <is>
          <t>Revolut (cuenta remunerada)</t>
        </is>
      </c>
      <c r="C18" s="83" t="inlineStr">
        <is>
          <t>Cuenta remunerada</t>
        </is>
      </c>
      <c r="D18" s="146" t="inlineStr">
        <is>
          <t>Revolut</t>
        </is>
      </c>
      <c r="E18" s="83" t="inlineStr">
        <is>
          <t>EUR</t>
        </is>
      </c>
      <c r="F18" s="144" t="n">
        <v>45658</v>
      </c>
      <c r="G18" s="261" t="n"/>
      <c r="H18" s="162" t="n"/>
      <c r="I18" s="120">
        <f t="array" ref="I18">IF($E18="","",IFERROR(INDEX(Disponibilidad!$N$6:$N$9,MATCH($E18,Disponibilidad!$M$6:$M$9,0)),1))</f>
        <v/>
      </c>
      <c r="J18" s="42">
        <f>IF(OR($G18="",$H18=""),"",$G18*$H18*$I18)</f>
        <v/>
      </c>
      <c r="K18" s="76" t="n">
        <v>0</v>
      </c>
      <c r="L18" s="57">
        <f>IF($B18="","",IF(N($J18)&gt;0,$J18,N($K18)))</f>
        <v/>
      </c>
      <c r="M18" s="76" t="n">
        <v>0</v>
      </c>
      <c r="N18" s="76" t="n">
        <v>0</v>
      </c>
      <c r="O18" s="76" t="n">
        <v>0</v>
      </c>
      <c r="P18" s="76" t="n">
        <v>0</v>
      </c>
      <c r="Q18" s="76" t="n">
        <v>0</v>
      </c>
      <c r="R18" s="57">
        <f>IF($B18="","",$L18+N($P18)+N($Q18)-N($M18)-N($N18)-N($O18))</f>
        <v/>
      </c>
      <c r="S18" s="132">
        <f>IFERROR($R18/(N($M18)+N($N18)+N($O18)),"")</f>
        <v/>
      </c>
      <c r="T18" s="59">
        <f>IF($F18="","",MAX(1,ROUND((TODAY()-$F18)/30.4375,0)))</f>
        <v/>
      </c>
      <c r="U18" s="65">
        <f>IFERROR((1+$S18)^(12/$T18)-1,"")</f>
        <v/>
      </c>
      <c r="V18" s="65">
        <f>IFERROR($L18/$L$48,"")</f>
        <v/>
      </c>
      <c r="W18" s="20" t="inlineStr">
        <is>
          <t>Esta cuenta ya figura en la hoja Disponibilidad. Se queda aquí para seguir su rentabilidad, pero marcada "No" para que el Balance no la cuente dos veces.</t>
        </is>
      </c>
      <c r="X18" s="83" t="inlineStr">
        <is>
          <t>No</t>
        </is>
      </c>
      <c r="Y18" s="83" t="inlineStr">
        <is>
          <t>Muy bajo</t>
        </is>
      </c>
      <c r="Z18" s="1" t="n"/>
      <c r="AA18" s="1" t="n"/>
      <c r="AB18" s="1" t="n"/>
      <c r="AC18" s="1" t="n"/>
      <c r="AD18" s="1" t="n"/>
    </row>
    <row r="19" ht="21.75" customHeight="1" s="311">
      <c r="A19" s="41">
        <f>IF($B19="","",ROW()-6)</f>
        <v/>
      </c>
      <c r="B19" s="146" t="inlineStr">
        <is>
          <t>CaixaBank ahorro (mi hucha)</t>
        </is>
      </c>
      <c r="C19" s="83" t="inlineStr">
        <is>
          <t>Cuenta remunerada</t>
        </is>
      </c>
      <c r="D19" s="146" t="inlineStr">
        <is>
          <t>CaixaBank</t>
        </is>
      </c>
      <c r="E19" s="83" t="inlineStr">
        <is>
          <t>EUR</t>
        </is>
      </c>
      <c r="F19" s="144" t="n">
        <v>45658</v>
      </c>
      <c r="G19" s="261" t="n"/>
      <c r="H19" s="162" t="n"/>
      <c r="I19" s="120">
        <f t="array" ref="I19">IF($E19="","",IFERROR(INDEX(Disponibilidad!$N$6:$N$9,MATCH($E19,Disponibilidad!$M$6:$M$9,0)),1))</f>
        <v/>
      </c>
      <c r="J19" s="42">
        <f>IF(OR($G19="",$H19=""),"",$G19*$H19*$I19)</f>
        <v/>
      </c>
      <c r="K19" s="76" t="n">
        <v>0</v>
      </c>
      <c r="L19" s="57">
        <f>IF($B19="","",IF(N($J19)&gt;0,$J19,N($K19)))</f>
        <v/>
      </c>
      <c r="M19" s="76" t="n">
        <v>0</v>
      </c>
      <c r="N19" s="76" t="n">
        <v>0</v>
      </c>
      <c r="O19" s="76" t="n">
        <v>0</v>
      </c>
      <c r="P19" s="76" t="n">
        <v>0</v>
      </c>
      <c r="Q19" s="76" t="n">
        <v>0</v>
      </c>
      <c r="R19" s="57">
        <f>IF($B19="","",$L19+N($P19)+N($Q19)-N($M19)-N($N19)-N($O19))</f>
        <v/>
      </c>
      <c r="S19" s="132">
        <f>IFERROR($R19/(N($M19)+N($N19)+N($O19)),"")</f>
        <v/>
      </c>
      <c r="T19" s="59">
        <f>IF($F19="","",MAX(1,ROUND((TODAY()-$F19)/30.4375,0)))</f>
        <v/>
      </c>
      <c r="U19" s="65">
        <f>IFERROR((1+$S19)^(12/$T19)-1,"")</f>
        <v/>
      </c>
      <c r="V19" s="65">
        <f>IFERROR($L19/$L$48,"")</f>
        <v/>
      </c>
      <c r="W19" s="20" t="inlineStr">
        <is>
          <t>Esta cuenta ya figura en la hoja Disponibilidad. Se queda aquí para seguir su rentabilidad, pero marcada "No" para que el Balance no la cuente dos veces.</t>
        </is>
      </c>
      <c r="X19" s="83" t="inlineStr">
        <is>
          <t>No</t>
        </is>
      </c>
      <c r="Y19" s="83" t="inlineStr">
        <is>
          <t>Muy bajo</t>
        </is>
      </c>
      <c r="Z19" s="1" t="n"/>
      <c r="AA19" s="1" t="n"/>
      <c r="AB19" s="1" t="n"/>
      <c r="AC19" s="1" t="n"/>
      <c r="AD19" s="1" t="n"/>
    </row>
    <row r="20" ht="15" customHeight="1" s="311">
      <c r="A20" s="41">
        <f>IF($B20="","",ROW()-6)</f>
        <v/>
      </c>
      <c r="B20" s="146" t="n"/>
      <c r="C20" s="146" t="n"/>
      <c r="D20" s="146" t="n"/>
      <c r="E20" s="146" t="n"/>
      <c r="F20" s="136" t="n"/>
      <c r="G20" s="261" t="n"/>
      <c r="H20" s="162" t="n"/>
      <c r="I20" s="120">
        <f t="array" ref="I20">IF($E20="","",IFERROR(INDEX(Disponibilidad!$N$6:$N$9,MATCH($E20,Disponibilidad!$M$6:$M$9,0)),1))</f>
        <v/>
      </c>
      <c r="J20" s="42">
        <f>IF(OR($G20="",$H20=""),"",$G20*$H20*$I20)</f>
        <v/>
      </c>
      <c r="K20" s="76" t="n"/>
      <c r="L20" s="57">
        <f>IF($B20="","",IF(N($J20)&gt;0,$J20,N($K20)))</f>
        <v/>
      </c>
      <c r="M20" s="76" t="n"/>
      <c r="N20" s="76" t="n"/>
      <c r="O20" s="76" t="n"/>
      <c r="P20" s="76" t="n"/>
      <c r="Q20" s="76" t="n"/>
      <c r="R20" s="57">
        <f>IF($B20="","",$L20+N($P20)+N($Q20)-N($M20)-N($N20)-N($O20))</f>
        <v/>
      </c>
      <c r="S20" s="132">
        <f>IFERROR($R20/(N($M20)+N($N20)+N($O20)),"")</f>
        <v/>
      </c>
      <c r="T20" s="59">
        <f>IF($F20="","",MAX(1,ROUND((TODAY()-$F20)/30.4375,0)))</f>
        <v/>
      </c>
      <c r="U20" s="65">
        <f>IFERROR((1+$S20)^(12/$T20)-1,"")</f>
        <v/>
      </c>
      <c r="V20" s="65">
        <f>IFERROR($L20/$L$48,"")</f>
        <v/>
      </c>
      <c r="W20" s="145" t="n"/>
      <c r="X20" s="83" t="n"/>
      <c r="Y20" s="83" t="n"/>
      <c r="Z20" s="1" t="n"/>
      <c r="AA20" s="1" t="n"/>
      <c r="AB20" s="1" t="n"/>
      <c r="AC20" s="1" t="n"/>
      <c r="AD20" s="1" t="n"/>
    </row>
    <row r="21" ht="15" customHeight="1" s="311">
      <c r="A21" s="41">
        <f>IF($B21="","",ROW()-6)</f>
        <v/>
      </c>
      <c r="B21" s="146" t="n"/>
      <c r="C21" s="146" t="n"/>
      <c r="D21" s="146" t="n"/>
      <c r="E21" s="146" t="n"/>
      <c r="F21" s="136" t="n"/>
      <c r="G21" s="261" t="n"/>
      <c r="H21" s="162" t="n"/>
      <c r="I21" s="120">
        <f t="array" ref="I21">IF($E21="","",IFERROR(INDEX(Disponibilidad!$N$6:$N$9,MATCH($E21,Disponibilidad!$M$6:$M$9,0)),1))</f>
        <v/>
      </c>
      <c r="J21" s="42">
        <f>IF(OR($G21="",$H21=""),"",$G21*$H21*$I21)</f>
        <v/>
      </c>
      <c r="K21" s="76" t="n"/>
      <c r="L21" s="57">
        <f>IF($B21="","",IF(N($J21)&gt;0,$J21,N($K21)))</f>
        <v/>
      </c>
      <c r="M21" s="76" t="n"/>
      <c r="N21" s="76" t="n"/>
      <c r="O21" s="76" t="n"/>
      <c r="P21" s="76" t="n"/>
      <c r="Q21" s="76" t="n"/>
      <c r="R21" s="57">
        <f>IF($B21="","",$L21+N($P21)+N($Q21)-N($M21)-N($N21)-N($O21))</f>
        <v/>
      </c>
      <c r="S21" s="132">
        <f>IFERROR($R21/(N($M21)+N($N21)+N($O21)),"")</f>
        <v/>
      </c>
      <c r="T21" s="59">
        <f>IF($F21="","",MAX(1,ROUND((TODAY()-$F21)/30.4375,0)))</f>
        <v/>
      </c>
      <c r="U21" s="65">
        <f>IFERROR((1+$S21)^(12/$T21)-1,"")</f>
        <v/>
      </c>
      <c r="V21" s="65">
        <f>IFERROR($L21/$L$48,"")</f>
        <v/>
      </c>
      <c r="W21" s="145" t="n"/>
      <c r="X21" s="83" t="n"/>
      <c r="Y21" s="83" t="n"/>
      <c r="Z21" s="1" t="n"/>
      <c r="AA21" s="1" t="n"/>
      <c r="AB21" s="1" t="n"/>
      <c r="AC21" s="1" t="n"/>
      <c r="AD21" s="1" t="n"/>
    </row>
    <row r="22" ht="15" customHeight="1" s="311">
      <c r="A22" s="41">
        <f>IF($B22="","",ROW()-6)</f>
        <v/>
      </c>
      <c r="B22" s="146" t="n"/>
      <c r="C22" s="146" t="n"/>
      <c r="D22" s="146" t="n"/>
      <c r="E22" s="146" t="n"/>
      <c r="F22" s="136" t="n"/>
      <c r="G22" s="261" t="n"/>
      <c r="H22" s="162" t="n"/>
      <c r="I22" s="120">
        <f t="array" ref="I22">IF($E22="","",IFERROR(INDEX(Disponibilidad!$N$6:$N$9,MATCH($E22,Disponibilidad!$M$6:$M$9,0)),1))</f>
        <v/>
      </c>
      <c r="J22" s="42">
        <f>IF(OR($G22="",$H22=""),"",$G22*$H22*$I22)</f>
        <v/>
      </c>
      <c r="K22" s="76" t="n"/>
      <c r="L22" s="57">
        <f>IF($B22="","",IF(N($J22)&gt;0,$J22,N($K22)))</f>
        <v/>
      </c>
      <c r="M22" s="76" t="n"/>
      <c r="N22" s="76" t="n"/>
      <c r="O22" s="76" t="n"/>
      <c r="P22" s="76" t="n"/>
      <c r="Q22" s="76" t="n"/>
      <c r="R22" s="57">
        <f>IF($B22="","",$L22+N($P22)+N($Q22)-N($M22)-N($N22)-N($O22))</f>
        <v/>
      </c>
      <c r="S22" s="132">
        <f>IFERROR($R22/(N($M22)+N($N22)+N($O22)),"")</f>
        <v/>
      </c>
      <c r="T22" s="59">
        <f>IF($F22="","",MAX(1,ROUND((TODAY()-$F22)/30.4375,0)))</f>
        <v/>
      </c>
      <c r="U22" s="65">
        <f>IFERROR((1+$S22)^(12/$T22)-1,"")</f>
        <v/>
      </c>
      <c r="V22" s="65">
        <f>IFERROR($L22/$L$48,"")</f>
        <v/>
      </c>
      <c r="W22" s="145" t="n"/>
      <c r="X22" s="83" t="n"/>
      <c r="Y22" s="83" t="n"/>
      <c r="Z22" s="1" t="n"/>
      <c r="AA22" s="1" t="n"/>
      <c r="AB22" s="1" t="n"/>
      <c r="AC22" s="1" t="n"/>
      <c r="AD22" s="1" t="n"/>
    </row>
    <row r="23" ht="15" customHeight="1" s="311">
      <c r="A23" s="41">
        <f>IF($B23="","",ROW()-6)</f>
        <v/>
      </c>
      <c r="B23" s="146" t="n"/>
      <c r="C23" s="146" t="n"/>
      <c r="D23" s="146" t="n"/>
      <c r="E23" s="146" t="n"/>
      <c r="F23" s="136" t="n"/>
      <c r="G23" s="261" t="n"/>
      <c r="H23" s="162" t="n"/>
      <c r="I23" s="120">
        <f t="array" ref="I23">IF($E23="","",IFERROR(INDEX(Disponibilidad!$N$6:$N$9,MATCH($E23,Disponibilidad!$M$6:$M$9,0)),1))</f>
        <v/>
      </c>
      <c r="J23" s="42">
        <f>IF(OR($G23="",$H23=""),"",$G23*$H23*$I23)</f>
        <v/>
      </c>
      <c r="K23" s="76" t="n"/>
      <c r="L23" s="57">
        <f>IF($B23="","",IF(N($J23)&gt;0,$J23,N($K23)))</f>
        <v/>
      </c>
      <c r="M23" s="76" t="n"/>
      <c r="N23" s="76" t="n"/>
      <c r="O23" s="76" t="n"/>
      <c r="P23" s="76" t="n"/>
      <c r="Q23" s="76" t="n"/>
      <c r="R23" s="57">
        <f>IF($B23="","",$L23+N($P23)+N($Q23)-N($M23)-N($N23)-N($O23))</f>
        <v/>
      </c>
      <c r="S23" s="132">
        <f>IFERROR($R23/(N($M23)+N($N23)+N($O23)),"")</f>
        <v/>
      </c>
      <c r="T23" s="59">
        <f>IF($F23="","",MAX(1,ROUND((TODAY()-$F23)/30.4375,0)))</f>
        <v/>
      </c>
      <c r="U23" s="65">
        <f>IFERROR((1+$S23)^(12/$T23)-1,"")</f>
        <v/>
      </c>
      <c r="V23" s="65">
        <f>IFERROR($L23/$L$48,"")</f>
        <v/>
      </c>
      <c r="W23" s="145" t="n"/>
      <c r="X23" s="83" t="n"/>
      <c r="Y23" s="83" t="n"/>
      <c r="Z23" s="1" t="n"/>
      <c r="AA23" s="1" t="n"/>
      <c r="AB23" s="1" t="n"/>
      <c r="AC23" s="1" t="n"/>
      <c r="AD23" s="1" t="n"/>
    </row>
    <row r="24" ht="15" customHeight="1" s="311">
      <c r="A24" s="41">
        <f>IF($B24="","",ROW()-6)</f>
        <v/>
      </c>
      <c r="B24" s="146" t="n"/>
      <c r="C24" s="146" t="n"/>
      <c r="D24" s="146" t="n"/>
      <c r="E24" s="146" t="n"/>
      <c r="F24" s="136" t="n"/>
      <c r="G24" s="261" t="n"/>
      <c r="H24" s="162" t="n"/>
      <c r="I24" s="120">
        <f t="array" ref="I24">IF($E24="","",IFERROR(INDEX(Disponibilidad!$N$6:$N$9,MATCH($E24,Disponibilidad!$M$6:$M$9,0)),1))</f>
        <v/>
      </c>
      <c r="J24" s="42">
        <f>IF(OR($G24="",$H24=""),"",$G24*$H24*$I24)</f>
        <v/>
      </c>
      <c r="K24" s="76" t="n"/>
      <c r="L24" s="57">
        <f>IF($B24="","",IF(N($J24)&gt;0,$J24,N($K24)))</f>
        <v/>
      </c>
      <c r="M24" s="76" t="n"/>
      <c r="N24" s="76" t="n"/>
      <c r="O24" s="76" t="n"/>
      <c r="P24" s="76" t="n"/>
      <c r="Q24" s="76" t="n"/>
      <c r="R24" s="57">
        <f>IF($B24="","",$L24+N($P24)+N($Q24)-N($M24)-N($N24)-N($O24))</f>
        <v/>
      </c>
      <c r="S24" s="132">
        <f>IFERROR($R24/(N($M24)+N($N24)+N($O24)),"")</f>
        <v/>
      </c>
      <c r="T24" s="59">
        <f>IF($F24="","",MAX(1,ROUND((TODAY()-$F24)/30.4375,0)))</f>
        <v/>
      </c>
      <c r="U24" s="65">
        <f>IFERROR((1+$S24)^(12/$T24)-1,"")</f>
        <v/>
      </c>
      <c r="V24" s="65">
        <f>IFERROR($L24/$L$48,"")</f>
        <v/>
      </c>
      <c r="W24" s="145" t="n"/>
      <c r="X24" s="83" t="n"/>
      <c r="Y24" s="83" t="n"/>
      <c r="Z24" s="1" t="n"/>
      <c r="AA24" s="1" t="n"/>
      <c r="AB24" s="1" t="n"/>
      <c r="AC24" s="1" t="n"/>
      <c r="AD24" s="1" t="n"/>
    </row>
    <row r="25" ht="15" customHeight="1" s="311">
      <c r="A25" s="41">
        <f>IF($B25="","",ROW()-6)</f>
        <v/>
      </c>
      <c r="B25" s="146" t="n"/>
      <c r="C25" s="146" t="n"/>
      <c r="D25" s="146" t="n"/>
      <c r="E25" s="146" t="n"/>
      <c r="F25" s="136" t="n"/>
      <c r="G25" s="261" t="n"/>
      <c r="H25" s="162" t="n"/>
      <c r="I25" s="120">
        <f t="array" ref="I25">IF($E25="","",IFERROR(INDEX(Disponibilidad!$N$6:$N$9,MATCH($E25,Disponibilidad!$M$6:$M$9,0)),1))</f>
        <v/>
      </c>
      <c r="J25" s="42">
        <f>IF(OR($G25="",$H25=""),"",$G25*$H25*$I25)</f>
        <v/>
      </c>
      <c r="K25" s="76" t="n"/>
      <c r="L25" s="57">
        <f>IF($B25="","",IF(N($J25)&gt;0,$J25,N($K25)))</f>
        <v/>
      </c>
      <c r="M25" s="76" t="n"/>
      <c r="N25" s="76" t="n"/>
      <c r="O25" s="76" t="n"/>
      <c r="P25" s="76" t="n"/>
      <c r="Q25" s="76" t="n"/>
      <c r="R25" s="57">
        <f>IF($B25="","",$L25+N($P25)+N($Q25)-N($M25)-N($N25)-N($O25))</f>
        <v/>
      </c>
      <c r="S25" s="132">
        <f>IFERROR($R25/(N($M25)+N($N25)+N($O25)),"")</f>
        <v/>
      </c>
      <c r="T25" s="59">
        <f>IF($F25="","",MAX(1,ROUND((TODAY()-$F25)/30.4375,0)))</f>
        <v/>
      </c>
      <c r="U25" s="65">
        <f>IFERROR((1+$S25)^(12/$T25)-1,"")</f>
        <v/>
      </c>
      <c r="V25" s="65">
        <f>IFERROR($L25/$L$48,"")</f>
        <v/>
      </c>
      <c r="W25" s="145" t="n"/>
      <c r="X25" s="83" t="n"/>
      <c r="Y25" s="83" t="n"/>
      <c r="Z25" s="1" t="n"/>
      <c r="AA25" s="1" t="n"/>
      <c r="AB25" s="1" t="n"/>
      <c r="AC25" s="1" t="n"/>
      <c r="AD25" s="1" t="n"/>
    </row>
    <row r="26" ht="15" customHeight="1" s="311">
      <c r="A26" s="41">
        <f>IF($B26="","",ROW()-6)</f>
        <v/>
      </c>
      <c r="B26" s="146" t="n"/>
      <c r="C26" s="146" t="n"/>
      <c r="D26" s="146" t="n"/>
      <c r="E26" s="146" t="n"/>
      <c r="F26" s="136" t="n"/>
      <c r="G26" s="261" t="n"/>
      <c r="H26" s="162" t="n"/>
      <c r="I26" s="120">
        <f t="array" ref="I26">IF($E26="","",IFERROR(INDEX(Disponibilidad!$N$6:$N$9,MATCH($E26,Disponibilidad!$M$6:$M$9,0)),1))</f>
        <v/>
      </c>
      <c r="J26" s="42">
        <f>IF(OR($G26="",$H26=""),"",$G26*$H26*$I26)</f>
        <v/>
      </c>
      <c r="K26" s="76" t="n"/>
      <c r="L26" s="57">
        <f>IF($B26="","",IF(N($J26)&gt;0,$J26,N($K26)))</f>
        <v/>
      </c>
      <c r="M26" s="76" t="n"/>
      <c r="N26" s="76" t="n"/>
      <c r="O26" s="76" t="n"/>
      <c r="P26" s="76" t="n"/>
      <c r="Q26" s="76" t="n"/>
      <c r="R26" s="57">
        <f>IF($B26="","",$L26+N($P26)+N($Q26)-N($M26)-N($N26)-N($O26))</f>
        <v/>
      </c>
      <c r="S26" s="132">
        <f>IFERROR($R26/(N($M26)+N($N26)+N($O26)),"")</f>
        <v/>
      </c>
      <c r="T26" s="59">
        <f>IF($F26="","",MAX(1,ROUND((TODAY()-$F26)/30.4375,0)))</f>
        <v/>
      </c>
      <c r="U26" s="65">
        <f>IFERROR((1+$S26)^(12/$T26)-1,"")</f>
        <v/>
      </c>
      <c r="V26" s="65">
        <f>IFERROR($L26/$L$48,"")</f>
        <v/>
      </c>
      <c r="W26" s="145" t="n"/>
      <c r="X26" s="83" t="n"/>
      <c r="Y26" s="83" t="n"/>
      <c r="Z26" s="1" t="n"/>
      <c r="AA26" s="1" t="n"/>
      <c r="AB26" s="1" t="n"/>
      <c r="AC26" s="1" t="n"/>
      <c r="AD26" s="1" t="n"/>
    </row>
    <row r="27" ht="15" customHeight="1" s="311">
      <c r="A27" s="41">
        <f>IF($B27="","",ROW()-6)</f>
        <v/>
      </c>
      <c r="B27" s="146" t="n"/>
      <c r="C27" s="146" t="n"/>
      <c r="D27" s="146" t="n"/>
      <c r="E27" s="146" t="n"/>
      <c r="F27" s="136" t="n"/>
      <c r="G27" s="261" t="n"/>
      <c r="H27" s="162" t="n"/>
      <c r="I27" s="120">
        <f t="array" ref="I27">IF($E27="","",IFERROR(INDEX(Disponibilidad!$N$6:$N$9,MATCH($E27,Disponibilidad!$M$6:$M$9,0)),1))</f>
        <v/>
      </c>
      <c r="J27" s="42">
        <f>IF(OR($G27="",$H27=""),"",$G27*$H27*$I27)</f>
        <v/>
      </c>
      <c r="K27" s="76" t="n"/>
      <c r="L27" s="57">
        <f>IF($B27="","",IF(N($J27)&gt;0,$J27,N($K27)))</f>
        <v/>
      </c>
      <c r="M27" s="76" t="n"/>
      <c r="N27" s="76" t="n"/>
      <c r="O27" s="76" t="n"/>
      <c r="P27" s="76" t="n"/>
      <c r="Q27" s="76" t="n"/>
      <c r="R27" s="57">
        <f>IF($B27="","",$L27+N($P27)+N($Q27)-N($M27)-N($N27)-N($O27))</f>
        <v/>
      </c>
      <c r="S27" s="132">
        <f>IFERROR($R27/(N($M27)+N($N27)+N($O27)),"")</f>
        <v/>
      </c>
      <c r="T27" s="59">
        <f>IF($F27="","",MAX(1,ROUND((TODAY()-$F27)/30.4375,0)))</f>
        <v/>
      </c>
      <c r="U27" s="65">
        <f>IFERROR((1+$S27)^(12/$T27)-1,"")</f>
        <v/>
      </c>
      <c r="V27" s="65">
        <f>IFERROR($L27/$L$48,"")</f>
        <v/>
      </c>
      <c r="W27" s="145" t="n"/>
      <c r="X27" s="83" t="n"/>
      <c r="Y27" s="83" t="n"/>
      <c r="Z27" s="1" t="n"/>
      <c r="AA27" s="1" t="n"/>
      <c r="AB27" s="1" t="n"/>
      <c r="AC27" s="1" t="n"/>
      <c r="AD27" s="1" t="n"/>
    </row>
    <row r="28" ht="15" customHeight="1" s="311">
      <c r="A28" s="41">
        <f>IF($B28="","",ROW()-6)</f>
        <v/>
      </c>
      <c r="B28" s="146" t="n"/>
      <c r="C28" s="146" t="n"/>
      <c r="D28" s="146" t="n"/>
      <c r="E28" s="146" t="n"/>
      <c r="F28" s="136" t="n"/>
      <c r="G28" s="261" t="n"/>
      <c r="H28" s="162" t="n"/>
      <c r="I28" s="120">
        <f t="array" ref="I28">IF($E28="","",IFERROR(INDEX(Disponibilidad!$N$6:$N$9,MATCH($E28,Disponibilidad!$M$6:$M$9,0)),1))</f>
        <v/>
      </c>
      <c r="J28" s="42">
        <f>IF(OR($G28="",$H28=""),"",$G28*$H28*$I28)</f>
        <v/>
      </c>
      <c r="K28" s="76" t="n"/>
      <c r="L28" s="57">
        <f>IF($B28="","",IF(N($J28)&gt;0,$J28,N($K28)))</f>
        <v/>
      </c>
      <c r="M28" s="76" t="n"/>
      <c r="N28" s="76" t="n"/>
      <c r="O28" s="76" t="n"/>
      <c r="P28" s="76" t="n"/>
      <c r="Q28" s="76" t="n"/>
      <c r="R28" s="57">
        <f>IF($B28="","",$L28+N($P28)+N($Q28)-N($M28)-N($N28)-N($O28))</f>
        <v/>
      </c>
      <c r="S28" s="132">
        <f>IFERROR($R28/(N($M28)+N($N28)+N($O28)),"")</f>
        <v/>
      </c>
      <c r="T28" s="59">
        <f>IF($F28="","",MAX(1,ROUND((TODAY()-$F28)/30.4375,0)))</f>
        <v/>
      </c>
      <c r="U28" s="65">
        <f>IFERROR((1+$S28)^(12/$T28)-1,"")</f>
        <v/>
      </c>
      <c r="V28" s="65">
        <f>IFERROR($L28/$L$48,"")</f>
        <v/>
      </c>
      <c r="W28" s="145" t="n"/>
      <c r="X28" s="83" t="n"/>
      <c r="Y28" s="83" t="n"/>
      <c r="Z28" s="1" t="n"/>
      <c r="AA28" s="1" t="n"/>
      <c r="AB28" s="1" t="n"/>
      <c r="AC28" s="1" t="n"/>
      <c r="AD28" s="1" t="n"/>
    </row>
    <row r="29" ht="15" customHeight="1" s="311">
      <c r="A29" s="41">
        <f>IF($B29="","",ROW()-6)</f>
        <v/>
      </c>
      <c r="B29" s="146" t="n"/>
      <c r="C29" s="146" t="n"/>
      <c r="D29" s="146" t="n"/>
      <c r="E29" s="146" t="n"/>
      <c r="F29" s="136" t="n"/>
      <c r="G29" s="261" t="n"/>
      <c r="H29" s="162" t="n"/>
      <c r="I29" s="120">
        <f t="array" ref="I29">IF($E29="","",IFERROR(INDEX(Disponibilidad!$N$6:$N$9,MATCH($E29,Disponibilidad!$M$6:$M$9,0)),1))</f>
        <v/>
      </c>
      <c r="J29" s="42">
        <f>IF(OR($G29="",$H29=""),"",$G29*$H29*$I29)</f>
        <v/>
      </c>
      <c r="K29" s="76" t="n"/>
      <c r="L29" s="57">
        <f>IF($B29="","",IF(N($J29)&gt;0,$J29,N($K29)))</f>
        <v/>
      </c>
      <c r="M29" s="76" t="n"/>
      <c r="N29" s="76" t="n"/>
      <c r="O29" s="76" t="n"/>
      <c r="P29" s="76" t="n"/>
      <c r="Q29" s="76" t="n"/>
      <c r="R29" s="57">
        <f>IF($B29="","",$L29+N($P29)+N($Q29)-N($M29)-N($N29)-N($O29))</f>
        <v/>
      </c>
      <c r="S29" s="132">
        <f>IFERROR($R29/(N($M29)+N($N29)+N($O29)),"")</f>
        <v/>
      </c>
      <c r="T29" s="59">
        <f>IF($F29="","",MAX(1,ROUND((TODAY()-$F29)/30.4375,0)))</f>
        <v/>
      </c>
      <c r="U29" s="65">
        <f>IFERROR((1+$S29)^(12/$T29)-1,"")</f>
        <v/>
      </c>
      <c r="V29" s="65">
        <f>IFERROR($L29/$L$48,"")</f>
        <v/>
      </c>
      <c r="W29" s="145" t="n"/>
      <c r="X29" s="83" t="n"/>
      <c r="Y29" s="83" t="n"/>
      <c r="Z29" s="1" t="n"/>
      <c r="AA29" s="1" t="n"/>
      <c r="AB29" s="1" t="n"/>
      <c r="AC29" s="1" t="n"/>
      <c r="AD29" s="1" t="n"/>
    </row>
    <row r="30" ht="15" customHeight="1" s="311">
      <c r="A30" s="41">
        <f>IF($B30="","",ROW()-6)</f>
        <v/>
      </c>
      <c r="B30" s="146" t="n"/>
      <c r="C30" s="146" t="n"/>
      <c r="D30" s="146" t="n"/>
      <c r="E30" s="146" t="n"/>
      <c r="F30" s="136" t="n"/>
      <c r="G30" s="261" t="n"/>
      <c r="H30" s="162" t="n"/>
      <c r="I30" s="120">
        <f t="array" ref="I30">IF($E30="","",IFERROR(INDEX(Disponibilidad!$N$6:$N$9,MATCH($E30,Disponibilidad!$M$6:$M$9,0)),1))</f>
        <v/>
      </c>
      <c r="J30" s="42">
        <f>IF(OR($G30="",$H30=""),"",$G30*$H30*$I30)</f>
        <v/>
      </c>
      <c r="K30" s="76" t="n"/>
      <c r="L30" s="57">
        <f>IF($B30="","",IF(N($J30)&gt;0,$J30,N($K30)))</f>
        <v/>
      </c>
      <c r="M30" s="76" t="n"/>
      <c r="N30" s="76" t="n"/>
      <c r="O30" s="76" t="n"/>
      <c r="P30" s="76" t="n"/>
      <c r="Q30" s="76" t="n"/>
      <c r="R30" s="57">
        <f>IF($B30="","",$L30+N($P30)+N($Q30)-N($M30)-N($N30)-N($O30))</f>
        <v/>
      </c>
      <c r="S30" s="132">
        <f>IFERROR($R30/(N($M30)+N($N30)+N($O30)),"")</f>
        <v/>
      </c>
      <c r="T30" s="59">
        <f>IF($F30="","",MAX(1,ROUND((TODAY()-$F30)/30.4375,0)))</f>
        <v/>
      </c>
      <c r="U30" s="65">
        <f>IFERROR((1+$S30)^(12/$T30)-1,"")</f>
        <v/>
      </c>
      <c r="V30" s="65">
        <f>IFERROR($L30/$L$48,"")</f>
        <v/>
      </c>
      <c r="W30" s="145" t="n"/>
      <c r="X30" s="83" t="n"/>
      <c r="Y30" s="83" t="n"/>
      <c r="Z30" s="1" t="n"/>
      <c r="AA30" s="1" t="n"/>
      <c r="AB30" s="1" t="n"/>
      <c r="AC30" s="1" t="n"/>
      <c r="AD30" s="1" t="n"/>
    </row>
    <row r="31" ht="15" customHeight="1" s="311">
      <c r="A31" s="41">
        <f>IF($B31="","",ROW()-6)</f>
        <v/>
      </c>
      <c r="B31" s="146" t="n"/>
      <c r="C31" s="146" t="n"/>
      <c r="D31" s="146" t="n"/>
      <c r="E31" s="146" t="n"/>
      <c r="F31" s="136" t="n"/>
      <c r="G31" s="261" t="n"/>
      <c r="H31" s="162" t="n"/>
      <c r="I31" s="120">
        <f t="array" ref="I31">IF($E31="","",IFERROR(INDEX(Disponibilidad!$N$6:$N$9,MATCH($E31,Disponibilidad!$M$6:$M$9,0)),1))</f>
        <v/>
      </c>
      <c r="J31" s="42">
        <f>IF(OR($G31="",$H31=""),"",$G31*$H31*$I31)</f>
        <v/>
      </c>
      <c r="K31" s="76" t="n"/>
      <c r="L31" s="57">
        <f>IF($B31="","",IF(N($J31)&gt;0,$J31,N($K31)))</f>
        <v/>
      </c>
      <c r="M31" s="76" t="n"/>
      <c r="N31" s="76" t="n"/>
      <c r="O31" s="76" t="n"/>
      <c r="P31" s="76" t="n"/>
      <c r="Q31" s="76" t="n"/>
      <c r="R31" s="57">
        <f>IF($B31="","",$L31+N($P31)+N($Q31)-N($M31)-N($N31)-N($O31))</f>
        <v/>
      </c>
      <c r="S31" s="132">
        <f>IFERROR($R31/(N($M31)+N($N31)+N($O31)),"")</f>
        <v/>
      </c>
      <c r="T31" s="59">
        <f>IF($F31="","",MAX(1,ROUND((TODAY()-$F31)/30.4375,0)))</f>
        <v/>
      </c>
      <c r="U31" s="65">
        <f>IFERROR((1+$S31)^(12/$T31)-1,"")</f>
        <v/>
      </c>
      <c r="V31" s="65">
        <f>IFERROR($L31/$L$48,"")</f>
        <v/>
      </c>
      <c r="W31" s="145" t="n"/>
      <c r="X31" s="83" t="n"/>
      <c r="Y31" s="83" t="n"/>
      <c r="Z31" s="1" t="n"/>
      <c r="AA31" s="1" t="n"/>
      <c r="AB31" s="1" t="n"/>
      <c r="AC31" s="1" t="n"/>
      <c r="AD31" s="1" t="n"/>
    </row>
    <row r="32" ht="15" customHeight="1" s="311">
      <c r="A32" s="41">
        <f>IF($B32="","",ROW()-6)</f>
        <v/>
      </c>
      <c r="B32" s="146" t="n"/>
      <c r="C32" s="146" t="n"/>
      <c r="D32" s="146" t="n"/>
      <c r="E32" s="146" t="n"/>
      <c r="F32" s="136" t="n"/>
      <c r="G32" s="261" t="n"/>
      <c r="H32" s="162" t="n"/>
      <c r="I32" s="120">
        <f t="array" ref="I32">IF($E32="","",IFERROR(INDEX(Disponibilidad!$N$6:$N$9,MATCH($E32,Disponibilidad!$M$6:$M$9,0)),1))</f>
        <v/>
      </c>
      <c r="J32" s="42">
        <f>IF(OR($G32="",$H32=""),"",$G32*$H32*$I32)</f>
        <v/>
      </c>
      <c r="K32" s="76" t="n"/>
      <c r="L32" s="57">
        <f>IF($B32="","",IF(N($J32)&gt;0,$J32,N($K32)))</f>
        <v/>
      </c>
      <c r="M32" s="76" t="n"/>
      <c r="N32" s="76" t="n"/>
      <c r="O32" s="76" t="n"/>
      <c r="P32" s="76" t="n"/>
      <c r="Q32" s="76" t="n"/>
      <c r="R32" s="57">
        <f>IF($B32="","",$L32+N($P32)+N($Q32)-N($M32)-N($N32)-N($O32))</f>
        <v/>
      </c>
      <c r="S32" s="132">
        <f>IFERROR($R32/(N($M32)+N($N32)+N($O32)),"")</f>
        <v/>
      </c>
      <c r="T32" s="59">
        <f>IF($F32="","",MAX(1,ROUND((TODAY()-$F32)/30.4375,0)))</f>
        <v/>
      </c>
      <c r="U32" s="65">
        <f>IFERROR((1+$S32)^(12/$T32)-1,"")</f>
        <v/>
      </c>
      <c r="V32" s="65">
        <f>IFERROR($L32/$L$48,"")</f>
        <v/>
      </c>
      <c r="W32" s="145" t="n"/>
      <c r="X32" s="83" t="n"/>
      <c r="Y32" s="83" t="n"/>
      <c r="Z32" s="1" t="n"/>
      <c r="AA32" s="1" t="n"/>
      <c r="AB32" s="1" t="n"/>
      <c r="AC32" s="1" t="n"/>
      <c r="AD32" s="1" t="n"/>
    </row>
    <row r="33" ht="15" customHeight="1" s="311">
      <c r="A33" s="41">
        <f>IF($B33="","",ROW()-6)</f>
        <v/>
      </c>
      <c r="B33" s="146" t="n"/>
      <c r="C33" s="146" t="n"/>
      <c r="D33" s="146" t="n"/>
      <c r="E33" s="146" t="n"/>
      <c r="F33" s="136" t="n"/>
      <c r="G33" s="261" t="n"/>
      <c r="H33" s="162" t="n"/>
      <c r="I33" s="120">
        <f t="array" ref="I33">IF($E33="","",IFERROR(INDEX(Disponibilidad!$N$6:$N$9,MATCH($E33,Disponibilidad!$M$6:$M$9,0)),1))</f>
        <v/>
      </c>
      <c r="J33" s="42">
        <f>IF(OR($G33="",$H33=""),"",$G33*$H33*$I33)</f>
        <v/>
      </c>
      <c r="K33" s="76" t="n"/>
      <c r="L33" s="57">
        <f>IF($B33="","",IF(N($J33)&gt;0,$J33,N($K33)))</f>
        <v/>
      </c>
      <c r="M33" s="76" t="n"/>
      <c r="N33" s="76" t="n"/>
      <c r="O33" s="76" t="n"/>
      <c r="P33" s="76" t="n"/>
      <c r="Q33" s="76" t="n"/>
      <c r="R33" s="57">
        <f>IF($B33="","",$L33+N($P33)+N($Q33)-N($M33)-N($N33)-N($O33))</f>
        <v/>
      </c>
      <c r="S33" s="132">
        <f>IFERROR($R33/(N($M33)+N($N33)+N($O33)),"")</f>
        <v/>
      </c>
      <c r="T33" s="59">
        <f>IF($F33="","",MAX(1,ROUND((TODAY()-$F33)/30.4375,0)))</f>
        <v/>
      </c>
      <c r="U33" s="65">
        <f>IFERROR((1+$S33)^(12/$T33)-1,"")</f>
        <v/>
      </c>
      <c r="V33" s="65">
        <f>IFERROR($L33/$L$48,"")</f>
        <v/>
      </c>
      <c r="W33" s="145" t="n"/>
      <c r="X33" s="83" t="n"/>
      <c r="Y33" s="83" t="n"/>
      <c r="Z33" s="1" t="n"/>
      <c r="AA33" s="1" t="n"/>
      <c r="AB33" s="1" t="n"/>
      <c r="AC33" s="1" t="n"/>
      <c r="AD33" s="1" t="n"/>
    </row>
    <row r="34" ht="15" customHeight="1" s="311">
      <c r="A34" s="41">
        <f>IF($B34="","",ROW()-6)</f>
        <v/>
      </c>
      <c r="B34" s="146" t="n"/>
      <c r="C34" s="146" t="n"/>
      <c r="D34" s="146" t="n"/>
      <c r="E34" s="146" t="n"/>
      <c r="F34" s="136" t="n"/>
      <c r="G34" s="261" t="n"/>
      <c r="H34" s="162" t="n"/>
      <c r="I34" s="120">
        <f t="array" ref="I34">IF($E34="","",IFERROR(INDEX(Disponibilidad!$N$6:$N$9,MATCH($E34,Disponibilidad!$M$6:$M$9,0)),1))</f>
        <v/>
      </c>
      <c r="J34" s="42">
        <f>IF(OR($G34="",$H34=""),"",$G34*$H34*$I34)</f>
        <v/>
      </c>
      <c r="K34" s="76" t="n"/>
      <c r="L34" s="57">
        <f>IF($B34="","",IF(N($J34)&gt;0,$J34,N($K34)))</f>
        <v/>
      </c>
      <c r="M34" s="76" t="n"/>
      <c r="N34" s="76" t="n"/>
      <c r="O34" s="76" t="n"/>
      <c r="P34" s="76" t="n"/>
      <c r="Q34" s="76" t="n"/>
      <c r="R34" s="57">
        <f>IF($B34="","",$L34+N($P34)+N($Q34)-N($M34)-N($N34)-N($O34))</f>
        <v/>
      </c>
      <c r="S34" s="132">
        <f>IFERROR($R34/(N($M34)+N($N34)+N($O34)),"")</f>
        <v/>
      </c>
      <c r="T34" s="59">
        <f>IF($F34="","",MAX(1,ROUND((TODAY()-$F34)/30.4375,0)))</f>
        <v/>
      </c>
      <c r="U34" s="65">
        <f>IFERROR((1+$S34)^(12/$T34)-1,"")</f>
        <v/>
      </c>
      <c r="V34" s="65">
        <f>IFERROR($L34/$L$48,"")</f>
        <v/>
      </c>
      <c r="W34" s="145" t="n"/>
      <c r="X34" s="83" t="n"/>
      <c r="Y34" s="83" t="n"/>
      <c r="Z34" s="1" t="n"/>
      <c r="AA34" s="1" t="n"/>
      <c r="AB34" s="1" t="n"/>
      <c r="AC34" s="1" t="n"/>
      <c r="AD34" s="1" t="n"/>
    </row>
    <row r="35" ht="15" customHeight="1" s="311">
      <c r="A35" s="41">
        <f>IF($B35="","",ROW()-6)</f>
        <v/>
      </c>
      <c r="B35" s="146" t="n"/>
      <c r="C35" s="146" t="n"/>
      <c r="D35" s="146" t="n"/>
      <c r="E35" s="146" t="n"/>
      <c r="F35" s="136" t="n"/>
      <c r="G35" s="261" t="n"/>
      <c r="H35" s="162" t="n"/>
      <c r="I35" s="120">
        <f t="array" ref="I35">IF($E35="","",IFERROR(INDEX(Disponibilidad!$N$6:$N$9,MATCH($E35,Disponibilidad!$M$6:$M$9,0)),1))</f>
        <v/>
      </c>
      <c r="J35" s="42">
        <f>IF(OR($G35="",$H35=""),"",$G35*$H35*$I35)</f>
        <v/>
      </c>
      <c r="K35" s="76" t="n"/>
      <c r="L35" s="57">
        <f>IF($B35="","",IF(N($J35)&gt;0,$J35,N($K35)))</f>
        <v/>
      </c>
      <c r="M35" s="76" t="n"/>
      <c r="N35" s="76" t="n"/>
      <c r="O35" s="76" t="n"/>
      <c r="P35" s="76" t="n"/>
      <c r="Q35" s="76" t="n"/>
      <c r="R35" s="57">
        <f>IF($B35="","",$L35+N($P35)+N($Q35)-N($M35)-N($N35)-N($O35))</f>
        <v/>
      </c>
      <c r="S35" s="132">
        <f>IFERROR($R35/(N($M35)+N($N35)+N($O35)),"")</f>
        <v/>
      </c>
      <c r="T35" s="59">
        <f>IF($F35="","",MAX(1,ROUND((TODAY()-$F35)/30.4375,0)))</f>
        <v/>
      </c>
      <c r="U35" s="65">
        <f>IFERROR((1+$S35)^(12/$T35)-1,"")</f>
        <v/>
      </c>
      <c r="V35" s="65">
        <f>IFERROR($L35/$L$48,"")</f>
        <v/>
      </c>
      <c r="W35" s="145" t="n"/>
      <c r="X35" s="83" t="n"/>
      <c r="Y35" s="83" t="n"/>
      <c r="Z35" s="1" t="n"/>
      <c r="AA35" s="1" t="n"/>
      <c r="AB35" s="1" t="n"/>
      <c r="AC35" s="1" t="n"/>
      <c r="AD35" s="1" t="n"/>
    </row>
    <row r="36" ht="15" customHeight="1" s="311">
      <c r="A36" s="41">
        <f>IF($B36="","",ROW()-6)</f>
        <v/>
      </c>
      <c r="B36" s="146" t="n"/>
      <c r="C36" s="146" t="n"/>
      <c r="D36" s="146" t="n"/>
      <c r="E36" s="146" t="n"/>
      <c r="F36" s="136" t="n"/>
      <c r="G36" s="261" t="n"/>
      <c r="H36" s="162" t="n"/>
      <c r="I36" s="120">
        <f t="array" ref="I36">IF($E36="","",IFERROR(INDEX(Disponibilidad!$N$6:$N$9,MATCH($E36,Disponibilidad!$M$6:$M$9,0)),1))</f>
        <v/>
      </c>
      <c r="J36" s="42">
        <f>IF(OR($G36="",$H36=""),"",$G36*$H36*$I36)</f>
        <v/>
      </c>
      <c r="K36" s="76" t="n"/>
      <c r="L36" s="57">
        <f>IF($B36="","",IF(N($J36)&gt;0,$J36,N($K36)))</f>
        <v/>
      </c>
      <c r="M36" s="76" t="n"/>
      <c r="N36" s="76" t="n"/>
      <c r="O36" s="76" t="n"/>
      <c r="P36" s="76" t="n"/>
      <c r="Q36" s="76" t="n"/>
      <c r="R36" s="57">
        <f>IF($B36="","",$L36+N($P36)+N($Q36)-N($M36)-N($N36)-N($O36))</f>
        <v/>
      </c>
      <c r="S36" s="132">
        <f>IFERROR($R36/(N($M36)+N($N36)+N($O36)),"")</f>
        <v/>
      </c>
      <c r="T36" s="59">
        <f>IF($F36="","",MAX(1,ROUND((TODAY()-$F36)/30.4375,0)))</f>
        <v/>
      </c>
      <c r="U36" s="65">
        <f>IFERROR((1+$S36)^(12/$T36)-1,"")</f>
        <v/>
      </c>
      <c r="V36" s="65">
        <f>IFERROR($L36/$L$48,"")</f>
        <v/>
      </c>
      <c r="W36" s="145" t="n"/>
      <c r="X36" s="83" t="n"/>
      <c r="Y36" s="83" t="n"/>
      <c r="Z36" s="1" t="n"/>
      <c r="AA36" s="1" t="n"/>
      <c r="AB36" s="1" t="n"/>
      <c r="AC36" s="1" t="n"/>
      <c r="AD36" s="1" t="n"/>
    </row>
    <row r="37" ht="15" customHeight="1" s="311">
      <c r="A37" s="41">
        <f>IF($B37="","",ROW()-6)</f>
        <v/>
      </c>
      <c r="B37" s="146" t="n"/>
      <c r="C37" s="146" t="n"/>
      <c r="D37" s="146" t="n"/>
      <c r="E37" s="146" t="n"/>
      <c r="F37" s="136" t="n"/>
      <c r="G37" s="261" t="n"/>
      <c r="H37" s="162" t="n"/>
      <c r="I37" s="120">
        <f t="array" ref="I37">IF($E37="","",IFERROR(INDEX(Disponibilidad!$N$6:$N$9,MATCH($E37,Disponibilidad!$M$6:$M$9,0)),1))</f>
        <v/>
      </c>
      <c r="J37" s="42">
        <f>IF(OR($G37="",$H37=""),"",$G37*$H37*$I37)</f>
        <v/>
      </c>
      <c r="K37" s="76" t="n"/>
      <c r="L37" s="57">
        <f>IF($B37="","",IF(N($J37)&gt;0,$J37,N($K37)))</f>
        <v/>
      </c>
      <c r="M37" s="76" t="n"/>
      <c r="N37" s="76" t="n"/>
      <c r="O37" s="76" t="n"/>
      <c r="P37" s="76" t="n"/>
      <c r="Q37" s="76" t="n"/>
      <c r="R37" s="57">
        <f>IF($B37="","",$L37+N($P37)+N($Q37)-N($M37)-N($N37)-N($O37))</f>
        <v/>
      </c>
      <c r="S37" s="132">
        <f>IFERROR($R37/(N($M37)+N($N37)+N($O37)),"")</f>
        <v/>
      </c>
      <c r="T37" s="59">
        <f>IF($F37="","",MAX(1,ROUND((TODAY()-$F37)/30.4375,0)))</f>
        <v/>
      </c>
      <c r="U37" s="65">
        <f>IFERROR((1+$S37)^(12/$T37)-1,"")</f>
        <v/>
      </c>
      <c r="V37" s="65">
        <f>IFERROR($L37/$L$48,"")</f>
        <v/>
      </c>
      <c r="W37" s="145" t="n"/>
      <c r="X37" s="83" t="n"/>
      <c r="Y37" s="83" t="n"/>
      <c r="Z37" s="1" t="n"/>
      <c r="AA37" s="1" t="n"/>
      <c r="AB37" s="1" t="n"/>
      <c r="AC37" s="1" t="n"/>
      <c r="AD37" s="1" t="n"/>
    </row>
    <row r="38" ht="15" customHeight="1" s="311">
      <c r="A38" s="41">
        <f>IF($B38="","",ROW()-6)</f>
        <v/>
      </c>
      <c r="B38" s="146" t="n"/>
      <c r="C38" s="146" t="n"/>
      <c r="D38" s="146" t="n"/>
      <c r="E38" s="146" t="n"/>
      <c r="F38" s="136" t="n"/>
      <c r="G38" s="261" t="n"/>
      <c r="H38" s="162" t="n"/>
      <c r="I38" s="120">
        <f t="array" ref="I38">IF($E38="","",IFERROR(INDEX(Disponibilidad!$N$6:$N$9,MATCH($E38,Disponibilidad!$M$6:$M$9,0)),1))</f>
        <v/>
      </c>
      <c r="J38" s="42">
        <f>IF(OR($G38="",$H38=""),"",$G38*$H38*$I38)</f>
        <v/>
      </c>
      <c r="K38" s="76" t="n"/>
      <c r="L38" s="57">
        <f>IF($B38="","",IF(N($J38)&gt;0,$J38,N($K38)))</f>
        <v/>
      </c>
      <c r="M38" s="76" t="n"/>
      <c r="N38" s="76" t="n"/>
      <c r="O38" s="76" t="n"/>
      <c r="P38" s="76" t="n"/>
      <c r="Q38" s="76" t="n"/>
      <c r="R38" s="57">
        <f>IF($B38="","",$L38+N($P38)+N($Q38)-N($M38)-N($N38)-N($O38))</f>
        <v/>
      </c>
      <c r="S38" s="132">
        <f>IFERROR($R38/(N($M38)+N($N38)+N($O38)),"")</f>
        <v/>
      </c>
      <c r="T38" s="59">
        <f>IF($F38="","",MAX(1,ROUND((TODAY()-$F38)/30.4375,0)))</f>
        <v/>
      </c>
      <c r="U38" s="65">
        <f>IFERROR((1+$S38)^(12/$T38)-1,"")</f>
        <v/>
      </c>
      <c r="V38" s="65">
        <f>IFERROR($L38/$L$48,"")</f>
        <v/>
      </c>
      <c r="W38" s="145" t="n"/>
      <c r="X38" s="83" t="n"/>
      <c r="Y38" s="83" t="n"/>
      <c r="Z38" s="1" t="n"/>
      <c r="AA38" s="1" t="n"/>
      <c r="AB38" s="1" t="n"/>
      <c r="AC38" s="1" t="n"/>
      <c r="AD38" s="1" t="n"/>
    </row>
    <row r="39" ht="15" customHeight="1" s="311">
      <c r="A39" s="41">
        <f>IF($B39="","",ROW()-6)</f>
        <v/>
      </c>
      <c r="B39" s="146" t="n"/>
      <c r="C39" s="146" t="n"/>
      <c r="D39" s="146" t="n"/>
      <c r="E39" s="146" t="n"/>
      <c r="F39" s="136" t="n"/>
      <c r="G39" s="261" t="n"/>
      <c r="H39" s="162" t="n"/>
      <c r="I39" s="120">
        <f t="array" ref="I39">IF($E39="","",IFERROR(INDEX(Disponibilidad!$N$6:$N$9,MATCH($E39,Disponibilidad!$M$6:$M$9,0)),1))</f>
        <v/>
      </c>
      <c r="J39" s="42">
        <f>IF(OR($G39="",$H39=""),"",$G39*$H39*$I39)</f>
        <v/>
      </c>
      <c r="K39" s="76" t="n"/>
      <c r="L39" s="57">
        <f>IF($B39="","",IF(N($J39)&gt;0,$J39,N($K39)))</f>
        <v/>
      </c>
      <c r="M39" s="76" t="n"/>
      <c r="N39" s="76" t="n"/>
      <c r="O39" s="76" t="n"/>
      <c r="P39" s="76" t="n"/>
      <c r="Q39" s="76" t="n"/>
      <c r="R39" s="57">
        <f>IF($B39="","",$L39+N($P39)+N($Q39)-N($M39)-N($N39)-N($O39))</f>
        <v/>
      </c>
      <c r="S39" s="132">
        <f>IFERROR($R39/(N($M39)+N($N39)+N($O39)),"")</f>
        <v/>
      </c>
      <c r="T39" s="59">
        <f>IF($F39="","",MAX(1,ROUND((TODAY()-$F39)/30.4375,0)))</f>
        <v/>
      </c>
      <c r="U39" s="65">
        <f>IFERROR((1+$S39)^(12/$T39)-1,"")</f>
        <v/>
      </c>
      <c r="V39" s="65">
        <f>IFERROR($L39/$L$48,"")</f>
        <v/>
      </c>
      <c r="W39" s="145" t="n"/>
      <c r="X39" s="83" t="n"/>
      <c r="Y39" s="83" t="n"/>
      <c r="Z39" s="1" t="n"/>
      <c r="AA39" s="1" t="n"/>
      <c r="AB39" s="1" t="n"/>
      <c r="AC39" s="1" t="n"/>
      <c r="AD39" s="1" t="n"/>
    </row>
    <row r="40" ht="15" customHeight="1" s="311">
      <c r="A40" s="41">
        <f>IF($B40="","",ROW()-6)</f>
        <v/>
      </c>
      <c r="B40" s="146" t="n"/>
      <c r="C40" s="146" t="n"/>
      <c r="D40" s="146" t="n"/>
      <c r="E40" s="146" t="n"/>
      <c r="F40" s="136" t="n"/>
      <c r="G40" s="261" t="n"/>
      <c r="H40" s="162" t="n"/>
      <c r="I40" s="120">
        <f t="array" ref="I40">IF($E40="","",IFERROR(INDEX(Disponibilidad!$N$6:$N$9,MATCH($E40,Disponibilidad!$M$6:$M$9,0)),1))</f>
        <v/>
      </c>
      <c r="J40" s="42">
        <f>IF(OR($G40="",$H40=""),"",$G40*$H40*$I40)</f>
        <v/>
      </c>
      <c r="K40" s="76" t="n"/>
      <c r="L40" s="57">
        <f>IF($B40="","",IF(N($J40)&gt;0,$J40,N($K40)))</f>
        <v/>
      </c>
      <c r="M40" s="76" t="n"/>
      <c r="N40" s="76" t="n"/>
      <c r="O40" s="76" t="n"/>
      <c r="P40" s="76" t="n"/>
      <c r="Q40" s="76" t="n"/>
      <c r="R40" s="57">
        <f>IF($B40="","",$L40+N($P40)+N($Q40)-N($M40)-N($N40)-N($O40))</f>
        <v/>
      </c>
      <c r="S40" s="132">
        <f>IFERROR($R40/(N($M40)+N($N40)+N($O40)),"")</f>
        <v/>
      </c>
      <c r="T40" s="59">
        <f>IF($F40="","",MAX(1,ROUND((TODAY()-$F40)/30.4375,0)))</f>
        <v/>
      </c>
      <c r="U40" s="65">
        <f>IFERROR((1+$S40)^(12/$T40)-1,"")</f>
        <v/>
      </c>
      <c r="V40" s="65">
        <f>IFERROR($L40/$L$48,"")</f>
        <v/>
      </c>
      <c r="W40" s="145" t="n"/>
      <c r="X40" s="83" t="n"/>
      <c r="Y40" s="83" t="n"/>
      <c r="Z40" s="1" t="n"/>
      <c r="AA40" s="1" t="n"/>
      <c r="AB40" s="1" t="n"/>
      <c r="AC40" s="1" t="n"/>
      <c r="AD40" s="1" t="n"/>
    </row>
    <row r="41" ht="15" customHeight="1" s="311">
      <c r="A41" s="41">
        <f>IF($B41="","",ROW()-6)</f>
        <v/>
      </c>
      <c r="B41" s="146" t="n"/>
      <c r="C41" s="146" t="n"/>
      <c r="D41" s="146" t="n"/>
      <c r="E41" s="146" t="n"/>
      <c r="F41" s="136" t="n"/>
      <c r="G41" s="261" t="n"/>
      <c r="H41" s="162" t="n"/>
      <c r="I41" s="120">
        <f t="array" ref="I41">IF($E41="","",IFERROR(INDEX(Disponibilidad!$N$6:$N$9,MATCH($E41,Disponibilidad!$M$6:$M$9,0)),1))</f>
        <v/>
      </c>
      <c r="J41" s="42">
        <f>IF(OR($G41="",$H41=""),"",$G41*$H41*$I41)</f>
        <v/>
      </c>
      <c r="K41" s="76" t="n"/>
      <c r="L41" s="57">
        <f>IF($B41="","",IF(N($J41)&gt;0,$J41,N($K41)))</f>
        <v/>
      </c>
      <c r="M41" s="76" t="n"/>
      <c r="N41" s="76" t="n"/>
      <c r="O41" s="76" t="n"/>
      <c r="P41" s="76" t="n"/>
      <c r="Q41" s="76" t="n"/>
      <c r="R41" s="57">
        <f>IF($B41="","",$L41+N($P41)+N($Q41)-N($M41)-N($N41)-N($O41))</f>
        <v/>
      </c>
      <c r="S41" s="132">
        <f>IFERROR($R41/(N($M41)+N($N41)+N($O41)),"")</f>
        <v/>
      </c>
      <c r="T41" s="59">
        <f>IF($F41="","",MAX(1,ROUND((TODAY()-$F41)/30.4375,0)))</f>
        <v/>
      </c>
      <c r="U41" s="65">
        <f>IFERROR((1+$S41)^(12/$T41)-1,"")</f>
        <v/>
      </c>
      <c r="V41" s="65">
        <f>IFERROR($L41/$L$48,"")</f>
        <v/>
      </c>
      <c r="W41" s="145" t="n"/>
      <c r="X41" s="83" t="n"/>
      <c r="Y41" s="83" t="n"/>
      <c r="Z41" s="1" t="n"/>
      <c r="AA41" s="1" t="n"/>
      <c r="AB41" s="1" t="n"/>
      <c r="AC41" s="1" t="n"/>
      <c r="AD41" s="1" t="n"/>
    </row>
    <row r="42" ht="15" customHeight="1" s="311">
      <c r="A42" s="41">
        <f>IF($B42="","",ROW()-6)</f>
        <v/>
      </c>
      <c r="B42" s="146" t="n"/>
      <c r="C42" s="146" t="n"/>
      <c r="D42" s="146" t="n"/>
      <c r="E42" s="146" t="n"/>
      <c r="F42" s="136" t="n"/>
      <c r="G42" s="261" t="n"/>
      <c r="H42" s="162" t="n"/>
      <c r="I42" s="120">
        <f t="array" ref="I42">IF($E42="","",IFERROR(INDEX(Disponibilidad!$N$6:$N$9,MATCH($E42,Disponibilidad!$M$6:$M$9,0)),1))</f>
        <v/>
      </c>
      <c r="J42" s="42">
        <f>IF(OR($G42="",$H42=""),"",$G42*$H42*$I42)</f>
        <v/>
      </c>
      <c r="K42" s="76" t="n"/>
      <c r="L42" s="57">
        <f>IF($B42="","",IF(N($J42)&gt;0,$J42,N($K42)))</f>
        <v/>
      </c>
      <c r="M42" s="76" t="n"/>
      <c r="N42" s="76" t="n"/>
      <c r="O42" s="76" t="n"/>
      <c r="P42" s="76" t="n"/>
      <c r="Q42" s="76" t="n"/>
      <c r="R42" s="57">
        <f>IF($B42="","",$L42+N($P42)+N($Q42)-N($M42)-N($N42)-N($O42))</f>
        <v/>
      </c>
      <c r="S42" s="132">
        <f>IFERROR($R42/(N($M42)+N($N42)+N($O42)),"")</f>
        <v/>
      </c>
      <c r="T42" s="59">
        <f>IF($F42="","",MAX(1,ROUND((TODAY()-$F42)/30.4375,0)))</f>
        <v/>
      </c>
      <c r="U42" s="65">
        <f>IFERROR((1+$S42)^(12/$T42)-1,"")</f>
        <v/>
      </c>
      <c r="V42" s="65">
        <f>IFERROR($L42/$L$48,"")</f>
        <v/>
      </c>
      <c r="W42" s="145" t="n"/>
      <c r="X42" s="83" t="n"/>
      <c r="Y42" s="83" t="n"/>
      <c r="Z42" s="1" t="n"/>
      <c r="AA42" s="1" t="n"/>
      <c r="AB42" s="1" t="n"/>
      <c r="AC42" s="1" t="n"/>
      <c r="AD42" s="1" t="n"/>
    </row>
    <row r="43" ht="15" customHeight="1" s="311">
      <c r="A43" s="41">
        <f>IF($B43="","",ROW()-6)</f>
        <v/>
      </c>
      <c r="B43" s="146" t="n"/>
      <c r="C43" s="146" t="n"/>
      <c r="D43" s="146" t="n"/>
      <c r="E43" s="146" t="n"/>
      <c r="F43" s="136" t="n"/>
      <c r="G43" s="261" t="n"/>
      <c r="H43" s="162" t="n"/>
      <c r="I43" s="120">
        <f t="array" ref="I43">IF($E43="","",IFERROR(INDEX(Disponibilidad!$N$6:$N$9,MATCH($E43,Disponibilidad!$M$6:$M$9,0)),1))</f>
        <v/>
      </c>
      <c r="J43" s="42">
        <f>IF(OR($G43="",$H43=""),"",$G43*$H43*$I43)</f>
        <v/>
      </c>
      <c r="K43" s="76" t="n"/>
      <c r="L43" s="57">
        <f>IF($B43="","",IF(N($J43)&gt;0,$J43,N($K43)))</f>
        <v/>
      </c>
      <c r="M43" s="76" t="n"/>
      <c r="N43" s="76" t="n"/>
      <c r="O43" s="76" t="n"/>
      <c r="P43" s="76" t="n"/>
      <c r="Q43" s="76" t="n"/>
      <c r="R43" s="57">
        <f>IF($B43="","",$L43+N($P43)+N($Q43)-N($M43)-N($N43)-N($O43))</f>
        <v/>
      </c>
      <c r="S43" s="132">
        <f>IFERROR($R43/(N($M43)+N($N43)+N($O43)),"")</f>
        <v/>
      </c>
      <c r="T43" s="59">
        <f>IF($F43="","",MAX(1,ROUND((TODAY()-$F43)/30.4375,0)))</f>
        <v/>
      </c>
      <c r="U43" s="65">
        <f>IFERROR((1+$S43)^(12/$T43)-1,"")</f>
        <v/>
      </c>
      <c r="V43" s="65">
        <f>IFERROR($L43/$L$48,"")</f>
        <v/>
      </c>
      <c r="W43" s="145" t="n"/>
      <c r="X43" s="83" t="n"/>
      <c r="Y43" s="83" t="n"/>
      <c r="Z43" s="1" t="n"/>
      <c r="AA43" s="1" t="n"/>
      <c r="AB43" s="1" t="n"/>
      <c r="AC43" s="1" t="n"/>
      <c r="AD43" s="1" t="n"/>
    </row>
    <row r="44" ht="15" customHeight="1" s="311">
      <c r="A44" s="41">
        <f>IF($B44="","",ROW()-6)</f>
        <v/>
      </c>
      <c r="B44" s="146" t="n"/>
      <c r="C44" s="146" t="n"/>
      <c r="D44" s="146" t="n"/>
      <c r="E44" s="146" t="n"/>
      <c r="F44" s="136" t="n"/>
      <c r="G44" s="261" t="n"/>
      <c r="H44" s="162" t="n"/>
      <c r="I44" s="120">
        <f t="array" ref="I44">IF($E44="","",IFERROR(INDEX(Disponibilidad!$N$6:$N$9,MATCH($E44,Disponibilidad!$M$6:$M$9,0)),1))</f>
        <v/>
      </c>
      <c r="J44" s="42">
        <f>IF(OR($G44="",$H44=""),"",$G44*$H44*$I44)</f>
        <v/>
      </c>
      <c r="K44" s="76" t="n"/>
      <c r="L44" s="57">
        <f>IF($B44="","",IF(N($J44)&gt;0,$J44,N($K44)))</f>
        <v/>
      </c>
      <c r="M44" s="76" t="n"/>
      <c r="N44" s="76" t="n"/>
      <c r="O44" s="76" t="n"/>
      <c r="P44" s="76" t="n"/>
      <c r="Q44" s="76" t="n"/>
      <c r="R44" s="57">
        <f>IF($B44="","",$L44+N($P44)+N($Q44)-N($M44)-N($N44)-N($O44))</f>
        <v/>
      </c>
      <c r="S44" s="132">
        <f>IFERROR($R44/(N($M44)+N($N44)+N($O44)),"")</f>
        <v/>
      </c>
      <c r="T44" s="59">
        <f>IF($F44="","",MAX(1,ROUND((TODAY()-$F44)/30.4375,0)))</f>
        <v/>
      </c>
      <c r="U44" s="65">
        <f>IFERROR((1+$S44)^(12/$T44)-1,"")</f>
        <v/>
      </c>
      <c r="V44" s="65">
        <f>IFERROR($L44/$L$48,"")</f>
        <v/>
      </c>
      <c r="W44" s="145" t="n"/>
      <c r="X44" s="83" t="n"/>
      <c r="Y44" s="83" t="n"/>
      <c r="Z44" s="1" t="n"/>
      <c r="AA44" s="1" t="n"/>
      <c r="AB44" s="1" t="n"/>
      <c r="AC44" s="1" t="n"/>
      <c r="AD44" s="1" t="n"/>
    </row>
    <row r="45" ht="15" customHeight="1" s="311">
      <c r="A45" s="41">
        <f>IF($B45="","",ROW()-6)</f>
        <v/>
      </c>
      <c r="B45" s="146" t="n"/>
      <c r="C45" s="146" t="n"/>
      <c r="D45" s="146" t="n"/>
      <c r="E45" s="146" t="n"/>
      <c r="F45" s="136" t="n"/>
      <c r="G45" s="261" t="n"/>
      <c r="H45" s="162" t="n"/>
      <c r="I45" s="120">
        <f t="array" ref="I45">IF($E45="","",IFERROR(INDEX(Disponibilidad!$N$6:$N$9,MATCH($E45,Disponibilidad!$M$6:$M$9,0)),1))</f>
        <v/>
      </c>
      <c r="J45" s="42">
        <f>IF(OR($G45="",$H45=""),"",$G45*$H45*$I45)</f>
        <v/>
      </c>
      <c r="K45" s="76" t="n"/>
      <c r="L45" s="57">
        <f>IF($B45="","",IF(N($J45)&gt;0,$J45,N($K45)))</f>
        <v/>
      </c>
      <c r="M45" s="76" t="n"/>
      <c r="N45" s="76" t="n"/>
      <c r="O45" s="76" t="n"/>
      <c r="P45" s="76" t="n"/>
      <c r="Q45" s="76" t="n"/>
      <c r="R45" s="57">
        <f>IF($B45="","",$L45+N($P45)+N($Q45)-N($M45)-N($N45)-N($O45))</f>
        <v/>
      </c>
      <c r="S45" s="132">
        <f>IFERROR($R45/(N($M45)+N($N45)+N($O45)),"")</f>
        <v/>
      </c>
      <c r="T45" s="59">
        <f>IF($F45="","",MAX(1,ROUND((TODAY()-$F45)/30.4375,0)))</f>
        <v/>
      </c>
      <c r="U45" s="65">
        <f>IFERROR((1+$S45)^(12/$T45)-1,"")</f>
        <v/>
      </c>
      <c r="V45" s="65">
        <f>IFERROR($L45/$L$48,"")</f>
        <v/>
      </c>
      <c r="W45" s="145" t="n"/>
      <c r="X45" s="83" t="n"/>
      <c r="Y45" s="83" t="n"/>
      <c r="Z45" s="1" t="n"/>
      <c r="AA45" s="1" t="n"/>
      <c r="AB45" s="1" t="n"/>
      <c r="AC45" s="1" t="n"/>
      <c r="AD45" s="1" t="n"/>
    </row>
    <row r="46" ht="15" customHeight="1" s="311">
      <c r="A46" s="41">
        <f>IF($B46="","",ROW()-6)</f>
        <v/>
      </c>
      <c r="B46" s="146" t="n"/>
      <c r="C46" s="146" t="n"/>
      <c r="D46" s="146" t="n"/>
      <c r="E46" s="146" t="n"/>
      <c r="F46" s="136" t="n"/>
      <c r="G46" s="261" t="n"/>
      <c r="H46" s="162" t="n"/>
      <c r="I46" s="120">
        <f t="array" ref="I46">IF($E46="","",IFERROR(INDEX(Disponibilidad!$N$6:$N$9,MATCH($E46,Disponibilidad!$M$6:$M$9,0)),1))</f>
        <v/>
      </c>
      <c r="J46" s="42">
        <f>IF(OR($G46="",$H46=""),"",$G46*$H46*$I46)</f>
        <v/>
      </c>
      <c r="K46" s="76" t="n"/>
      <c r="L46" s="57">
        <f>IF($B46="","",IF(N($J46)&gt;0,$J46,N($K46)))</f>
        <v/>
      </c>
      <c r="M46" s="76" t="n"/>
      <c r="N46" s="76" t="n"/>
      <c r="O46" s="76" t="n"/>
      <c r="P46" s="76" t="n"/>
      <c r="Q46" s="76" t="n"/>
      <c r="R46" s="57">
        <f>IF($B46="","",$L46+N($P46)+N($Q46)-N($M46)-N($N46)-N($O46))</f>
        <v/>
      </c>
      <c r="S46" s="132">
        <f>IFERROR($R46/(N($M46)+N($N46)+N($O46)),"")</f>
        <v/>
      </c>
      <c r="T46" s="59">
        <f>IF($F46="","",MAX(1,ROUND((TODAY()-$F46)/30.4375,0)))</f>
        <v/>
      </c>
      <c r="U46" s="65">
        <f>IFERROR((1+$S46)^(12/$T46)-1,"")</f>
        <v/>
      </c>
      <c r="V46" s="65">
        <f>IFERROR($L46/$L$48,"")</f>
        <v/>
      </c>
      <c r="W46" s="145" t="n"/>
      <c r="X46" s="83" t="n"/>
      <c r="Y46" s="83" t="n"/>
      <c r="Z46" s="1" t="n"/>
      <c r="AA46" s="1" t="n"/>
      <c r="AB46" s="1" t="n"/>
      <c r="AC46" s="1" t="n"/>
      <c r="AD46" s="1" t="n"/>
    </row>
    <row r="47" ht="15" customHeight="1" s="311">
      <c r="A47" s="41">
        <f>IF($B47="","",ROW()-6)</f>
        <v/>
      </c>
      <c r="B47" s="146" t="n"/>
      <c r="C47" s="146" t="n"/>
      <c r="D47" s="146" t="n"/>
      <c r="E47" s="146" t="n"/>
      <c r="F47" s="136" t="n"/>
      <c r="G47" s="261" t="n"/>
      <c r="H47" s="162" t="n"/>
      <c r="I47" s="120">
        <f t="array" ref="I47">IF($E47="","",IFERROR(INDEX(Disponibilidad!$N$6:$N$9,MATCH($E47,Disponibilidad!$M$6:$M$9,0)),1))</f>
        <v/>
      </c>
      <c r="J47" s="42">
        <f>IF(OR($G47="",$H47=""),"",$G47*$H47*$I47)</f>
        <v/>
      </c>
      <c r="K47" s="76" t="n"/>
      <c r="L47" s="57">
        <f>IF($B47="","",IF(N($J47)&gt;0,$J47,N($K47)))</f>
        <v/>
      </c>
      <c r="M47" s="76" t="n"/>
      <c r="N47" s="76" t="n"/>
      <c r="O47" s="76" t="n"/>
      <c r="P47" s="76" t="n"/>
      <c r="Q47" s="76" t="n"/>
      <c r="R47" s="57">
        <f>IF($B47="","",$L47+N($P47)+N($Q47)-N($M47)-N($N47)-N($O47))</f>
        <v/>
      </c>
      <c r="S47" s="132">
        <f>IFERROR($R47/(N($M47)+N($N47)+N($O47)),"")</f>
        <v/>
      </c>
      <c r="T47" s="59">
        <f>IF($F47="","",MAX(1,ROUND((TODAY()-$F47)/30.4375,0)))</f>
        <v/>
      </c>
      <c r="U47" s="65">
        <f>IFERROR((1+$S47)^(12/$T47)-1,"")</f>
        <v/>
      </c>
      <c r="V47" s="65">
        <f>IFERROR($L47/$L$48,"")</f>
        <v/>
      </c>
      <c r="W47" s="145" t="n"/>
      <c r="X47" s="83" t="n"/>
      <c r="Y47" s="83" t="n"/>
      <c r="Z47" s="1" t="n"/>
      <c r="AA47" s="1" t="n"/>
      <c r="AB47" s="1" t="n"/>
      <c r="AC47" s="1" t="n"/>
      <c r="AD47" s="1" t="n"/>
    </row>
    <row r="48" ht="15" customHeight="1" s="311">
      <c r="A48" s="183" t="n"/>
      <c r="B48" s="176" t="inlineStr">
        <is>
          <t>TOTAL DE LA CARTERA</t>
        </is>
      </c>
      <c r="C48" s="183" t="n"/>
      <c r="D48" s="183" t="n"/>
      <c r="E48" s="183" t="n"/>
      <c r="F48" s="183" t="n"/>
      <c r="G48" s="183" t="n"/>
      <c r="H48" s="183" t="n"/>
      <c r="I48" s="183" t="n"/>
      <c r="J48" s="183" t="n"/>
      <c r="K48" s="183" t="n"/>
      <c r="L48" s="269">
        <f>SUM(L$7:L$47)</f>
        <v/>
      </c>
      <c r="M48" s="269">
        <f>SUM(M$7:M$47)</f>
        <v/>
      </c>
      <c r="N48" s="269">
        <f>SUM(N$7:N$47)</f>
        <v/>
      </c>
      <c r="O48" s="269">
        <f>SUM(O$7:O$47)</f>
        <v/>
      </c>
      <c r="P48" s="269">
        <f>SUM(P$7:P$47)</f>
        <v/>
      </c>
      <c r="Q48" s="269">
        <f>SUM(Q$7:Q$47)</f>
        <v/>
      </c>
      <c r="R48" s="269">
        <f>SUM(R$7:R$47)</f>
        <v/>
      </c>
      <c r="S48" s="183" t="n"/>
      <c r="T48" s="183" t="n"/>
      <c r="U48" s="183" t="n"/>
      <c r="V48" s="183" t="n"/>
      <c r="W48" s="145" t="n"/>
      <c r="X48" s="183" t="n"/>
      <c r="Y48" s="1" t="n"/>
      <c r="Z48" s="1" t="n"/>
      <c r="AA48" s="1" t="n"/>
      <c r="AB48" s="1" t="n"/>
      <c r="AC48" s="1" t="n"/>
      <c r="AD48" s="1" t="n"/>
    </row>
    <row r="49" ht="15.75" customHeight="1" s="311">
      <c r="A49" s="145" t="n"/>
      <c r="B49" s="145" t="n"/>
      <c r="C49" s="145" t="n"/>
      <c r="D49" s="145" t="n"/>
      <c r="E49" s="145" t="n"/>
      <c r="F49" s="145" t="n"/>
      <c r="G49" s="145" t="n"/>
      <c r="H49" s="145" t="n"/>
      <c r="I49" s="145" t="n"/>
      <c r="J49" s="145" t="n"/>
      <c r="K49" s="145" t="n"/>
      <c r="L49" s="145" t="n"/>
      <c r="M49" s="145" t="n"/>
      <c r="N49" s="145" t="n"/>
      <c r="O49" s="145" t="n"/>
      <c r="P49" s="145" t="n"/>
      <c r="Q49" s="145" t="n"/>
      <c r="R49" s="145" t="n"/>
      <c r="S49" s="145" t="n"/>
      <c r="T49" s="145" t="n"/>
      <c r="U49" s="145" t="n"/>
      <c r="V49" s="145" t="n"/>
      <c r="W49" s="145" t="n"/>
      <c r="X49" s="145" t="n"/>
      <c r="Y49" s="1" t="n"/>
      <c r="Z49" s="1" t="n"/>
      <c r="AA49" s="1" t="n"/>
      <c r="AB49" s="1" t="n"/>
      <c r="AC49" s="1" t="n"/>
      <c r="AD49" s="1" t="n"/>
    </row>
    <row r="50" ht="21.75" customHeight="1" s="311">
      <c r="A50" s="21" t="inlineStr">
        <is>
          <t>2.  RESUMEN DE LA CARTERA</t>
        </is>
      </c>
      <c r="B50" s="22" t="n"/>
      <c r="C50" s="22" t="n"/>
      <c r="D50" s="22" t="n"/>
      <c r="E50" s="22" t="n"/>
      <c r="F50" s="22" t="n"/>
      <c r="G50" s="22" t="n"/>
      <c r="H50" s="22" t="n"/>
      <c r="I50" s="22" t="n"/>
      <c r="J50" s="22" t="n"/>
      <c r="K50" s="145" t="n"/>
      <c r="L50" s="145" t="n"/>
      <c r="M50" s="145" t="n"/>
      <c r="N50" s="145" t="n"/>
      <c r="O50" s="145" t="n"/>
      <c r="P50" s="145" t="n"/>
      <c r="Q50" s="145" t="n"/>
      <c r="R50" s="145" t="n"/>
      <c r="S50" s="145" t="n"/>
      <c r="T50" s="145" t="n"/>
      <c r="U50" s="145" t="n"/>
      <c r="V50" s="145" t="n"/>
      <c r="W50" s="145" t="n"/>
      <c r="X50" s="145" t="n"/>
      <c r="Y50" s="1" t="n"/>
      <c r="Z50" s="1" t="n"/>
      <c r="AA50" s="1" t="n"/>
      <c r="AB50" s="1" t="n"/>
      <c r="AC50" s="1" t="n"/>
      <c r="AD50" s="1" t="n"/>
    </row>
    <row r="51" ht="15" customHeight="1" s="311">
      <c r="A51" s="145" t="n"/>
      <c r="B51" s="38" t="inlineStr">
        <is>
          <t>Total aportado (sin comisiones)</t>
        </is>
      </c>
      <c r="C51" s="39" t="n"/>
      <c r="D51" s="39" t="n"/>
      <c r="E51" s="68">
        <f>$M$48</f>
        <v/>
      </c>
      <c r="F51" s="313" t="n"/>
      <c r="G51" s="314" t="n"/>
      <c r="H51" s="39" t="n"/>
      <c r="I51" s="39" t="n"/>
      <c r="J51" s="39" t="n"/>
      <c r="K51" s="145" t="n"/>
      <c r="L51" s="145" t="n"/>
      <c r="M51" s="145" t="n"/>
      <c r="N51" s="145" t="n"/>
      <c r="O51" s="145" t="n"/>
      <c r="P51" s="145" t="n"/>
      <c r="Q51" s="145" t="n"/>
      <c r="R51" s="145" t="n"/>
      <c r="S51" s="145" t="n"/>
      <c r="T51" s="145" t="n"/>
      <c r="U51" s="145" t="n"/>
      <c r="V51" s="145" t="n"/>
      <c r="W51" s="145" t="n"/>
      <c r="X51" s="145" t="n"/>
      <c r="Y51" s="1" t="n"/>
      <c r="Z51" s="1" t="n"/>
      <c r="AA51" s="1" t="n"/>
      <c r="AB51" s="1" t="n"/>
      <c r="AC51" s="1" t="n"/>
      <c r="AD51" s="1" t="n"/>
    </row>
    <row r="52" ht="15" customHeight="1" s="311">
      <c r="A52" s="145" t="n"/>
      <c r="B52" s="46" t="inlineStr">
        <is>
          <t>Comisiones de compra</t>
        </is>
      </c>
      <c r="C52" s="46" t="n"/>
      <c r="D52" s="46" t="n"/>
      <c r="E52" s="61">
        <f>$N$48</f>
        <v/>
      </c>
      <c r="F52" s="313" t="n"/>
      <c r="G52" s="314" t="n"/>
      <c r="H52" s="46" t="n"/>
      <c r="I52" s="46" t="n"/>
      <c r="J52" s="46" t="n"/>
      <c r="K52" s="145" t="n"/>
      <c r="L52" s="145" t="n"/>
      <c r="M52" s="145" t="n"/>
      <c r="N52" s="145" t="n"/>
      <c r="O52" s="145" t="n"/>
      <c r="P52" s="145" t="n"/>
      <c r="Q52" s="145" t="n"/>
      <c r="R52" s="145" t="n"/>
      <c r="S52" s="145" t="n"/>
      <c r="T52" s="145" t="n"/>
      <c r="U52" s="145" t="n"/>
      <c r="V52" s="145" t="n"/>
      <c r="W52" s="145" t="n"/>
      <c r="X52" s="145" t="n"/>
      <c r="Y52" s="1" t="n"/>
      <c r="Z52" s="1" t="n"/>
      <c r="AA52" s="1" t="n"/>
      <c r="AB52" s="1" t="n"/>
      <c r="AC52" s="1" t="n"/>
      <c r="AD52" s="1" t="n"/>
    </row>
    <row r="53" ht="15" customHeight="1" s="311">
      <c r="A53" s="145" t="n"/>
      <c r="B53" s="46" t="inlineStr">
        <is>
          <t>Comisiones acumuladas (custodia y gestión)</t>
        </is>
      </c>
      <c r="C53" s="46" t="n"/>
      <c r="D53" s="46" t="n"/>
      <c r="E53" s="61">
        <f>$O$48</f>
        <v/>
      </c>
      <c r="F53" s="313" t="n"/>
      <c r="G53" s="314" t="n"/>
      <c r="H53" s="46" t="n"/>
      <c r="I53" s="46" t="n"/>
      <c r="J53" s="46" t="n"/>
      <c r="K53" s="145" t="n"/>
      <c r="L53" s="145" t="n"/>
      <c r="M53" s="145" t="n"/>
      <c r="N53" s="145" t="n"/>
      <c r="O53" s="145" t="n"/>
      <c r="P53" s="145" t="n"/>
      <c r="Q53" s="145" t="n"/>
      <c r="R53" s="145" t="n"/>
      <c r="S53" s="145" t="n"/>
      <c r="T53" s="145" t="n"/>
      <c r="U53" s="145" t="n"/>
      <c r="V53" s="145" t="n"/>
      <c r="W53" s="145" t="n"/>
      <c r="X53" s="145" t="n"/>
      <c r="Y53" s="1" t="n"/>
      <c r="Z53" s="1" t="n"/>
      <c r="AA53" s="1" t="n"/>
      <c r="AB53" s="1" t="n"/>
      <c r="AC53" s="1" t="n"/>
      <c r="AD53" s="1" t="n"/>
    </row>
    <row r="54" ht="15" customHeight="1" s="311">
      <c r="A54" s="145" t="n"/>
      <c r="B54" s="38" t="inlineStr">
        <is>
          <t>COSTE TOTAL DE LA INVERSIÓN</t>
        </is>
      </c>
      <c r="C54" s="39" t="n"/>
      <c r="D54" s="39" t="n"/>
      <c r="E54" s="68">
        <f>$M$48+$N$48+$O$48</f>
        <v/>
      </c>
      <c r="F54" s="313" t="n"/>
      <c r="G54" s="314" t="n"/>
      <c r="H54" s="39" t="n"/>
      <c r="I54" s="39" t="n"/>
      <c r="J54" s="39" t="n"/>
      <c r="K54" s="145" t="n"/>
      <c r="L54" s="145" t="n"/>
      <c r="M54" s="145" t="n"/>
      <c r="N54" s="145" t="n"/>
      <c r="O54" s="145" t="n"/>
      <c r="P54" s="145" t="n"/>
      <c r="Q54" s="145" t="n"/>
      <c r="R54" s="145" t="n"/>
      <c r="S54" s="145" t="n"/>
      <c r="T54" s="145" t="n"/>
      <c r="U54" s="145" t="n"/>
      <c r="V54" s="145" t="n"/>
      <c r="W54" s="145" t="n"/>
      <c r="X54" s="145" t="n"/>
      <c r="Y54" s="1" t="n"/>
      <c r="Z54" s="1" t="n"/>
      <c r="AA54" s="1" t="n"/>
      <c r="AB54" s="1" t="n"/>
      <c r="AC54" s="1" t="n"/>
      <c r="AD54" s="1" t="n"/>
    </row>
    <row r="55" ht="15" customHeight="1" s="311">
      <c r="A55" s="145" t="n"/>
      <c r="B55" s="38" t="inlineStr">
        <is>
          <t>Valor actual de la cartera</t>
        </is>
      </c>
      <c r="C55" s="39" t="n"/>
      <c r="D55" s="39" t="n"/>
      <c r="E55" s="68">
        <f>$L$48</f>
        <v/>
      </c>
      <c r="F55" s="313" t="n"/>
      <c r="G55" s="314" t="n"/>
      <c r="H55" s="39" t="n"/>
      <c r="I55" s="39" t="n"/>
      <c r="J55" s="39" t="n"/>
      <c r="K55" s="145" t="n"/>
      <c r="L55" s="145" t="n"/>
      <c r="M55" s="145" t="n"/>
      <c r="N55" s="145" t="n"/>
      <c r="O55" s="145" t="n"/>
      <c r="P55" s="145" t="n"/>
      <c r="Q55" s="145" t="n"/>
      <c r="R55" s="145" t="n"/>
      <c r="S55" s="145" t="n"/>
      <c r="T55" s="145" t="n"/>
      <c r="U55" s="145" t="n"/>
      <c r="V55" s="145" t="n"/>
      <c r="W55" s="145" t="n"/>
      <c r="X55" s="145" t="n"/>
      <c r="Y55" s="1" t="n"/>
      <c r="Z55" s="1" t="n"/>
      <c r="AA55" s="1" t="n"/>
      <c r="AB55" s="1" t="n"/>
      <c r="AC55" s="1" t="n"/>
      <c r="AD55" s="1" t="n"/>
    </row>
    <row r="56" ht="15" customHeight="1" s="311">
      <c r="A56" s="145" t="n"/>
      <c r="B56" s="46" t="inlineStr">
        <is>
          <t>Dividendos e intereses cobrados</t>
        </is>
      </c>
      <c r="C56" s="46" t="n"/>
      <c r="D56" s="46" t="n"/>
      <c r="E56" s="61">
        <f>$P$48</f>
        <v/>
      </c>
      <c r="F56" s="313" t="n"/>
      <c r="G56" s="314" t="n"/>
      <c r="H56" s="46" t="n"/>
      <c r="I56" s="46" t="n"/>
      <c r="J56" s="46" t="n"/>
      <c r="K56" s="145" t="n"/>
      <c r="L56" s="145" t="n"/>
      <c r="M56" s="145" t="n"/>
      <c r="N56" s="145" t="n"/>
      <c r="O56" s="145" t="n"/>
      <c r="P56" s="145" t="n"/>
      <c r="Q56" s="145" t="n"/>
      <c r="R56" s="145" t="n"/>
      <c r="S56" s="145" t="n"/>
      <c r="T56" s="145" t="n"/>
      <c r="U56" s="145" t="n"/>
      <c r="V56" s="145" t="n"/>
      <c r="W56" s="145" t="n"/>
      <c r="X56" s="145" t="n"/>
      <c r="Y56" s="1" t="n"/>
      <c r="Z56" s="1" t="n"/>
      <c r="AA56" s="1" t="n"/>
      <c r="AB56" s="1" t="n"/>
      <c r="AC56" s="1" t="n"/>
      <c r="AD56" s="1" t="n"/>
    </row>
    <row r="57" ht="15" customHeight="1" s="311">
      <c r="A57" s="145" t="n"/>
      <c r="B57" s="46" t="inlineStr">
        <is>
          <t>Retiros realizados</t>
        </is>
      </c>
      <c r="C57" s="46" t="n"/>
      <c r="D57" s="46" t="n"/>
      <c r="E57" s="61">
        <f>$Q$48</f>
        <v/>
      </c>
      <c r="F57" s="313" t="n"/>
      <c r="G57" s="314" t="n"/>
      <c r="H57" s="46" t="n"/>
      <c r="I57" s="46" t="n"/>
      <c r="J57" s="46" t="n"/>
      <c r="K57" s="145" t="n"/>
      <c r="L57" s="145" t="n"/>
      <c r="M57" s="145" t="n"/>
      <c r="N57" s="145" t="n"/>
      <c r="O57" s="145" t="n"/>
      <c r="P57" s="145" t="n"/>
      <c r="Q57" s="145" t="n"/>
      <c r="R57" s="145" t="n"/>
      <c r="S57" s="145" t="n"/>
      <c r="T57" s="145" t="n"/>
      <c r="U57" s="145" t="n"/>
      <c r="V57" s="145" t="n"/>
      <c r="W57" s="145" t="n"/>
      <c r="X57" s="145" t="n"/>
      <c r="Y57" s="1" t="n"/>
      <c r="Z57" s="1" t="n"/>
      <c r="AA57" s="1" t="n"/>
      <c r="AB57" s="1" t="n"/>
      <c r="AC57" s="1" t="n"/>
      <c r="AD57" s="1" t="n"/>
    </row>
    <row r="58" ht="15" customHeight="1" s="311">
      <c r="A58" s="145" t="n"/>
      <c r="B58" s="38" t="inlineStr">
        <is>
          <t>RESULTADO TOTAL</t>
        </is>
      </c>
      <c r="C58" s="39" t="n"/>
      <c r="D58" s="39" t="n"/>
      <c r="E58" s="68">
        <f>$R$48</f>
        <v/>
      </c>
      <c r="F58" s="313" t="n"/>
      <c r="G58" s="314" t="n"/>
      <c r="H58" s="39" t="n"/>
      <c r="I58" s="39" t="n"/>
      <c r="J58" s="39" t="n"/>
      <c r="K58" s="145" t="n"/>
      <c r="L58" s="145" t="n"/>
      <c r="M58" s="145" t="n"/>
      <c r="N58" s="145" t="n"/>
      <c r="O58" s="145" t="n"/>
      <c r="P58" s="145" t="n"/>
      <c r="Q58" s="145" t="n"/>
      <c r="R58" s="145" t="n"/>
      <c r="S58" s="145" t="n"/>
      <c r="T58" s="145" t="n"/>
      <c r="U58" s="145" t="n"/>
      <c r="V58" s="145" t="n"/>
      <c r="W58" s="145" t="n"/>
      <c r="X58" s="145" t="n"/>
      <c r="Y58" s="1" t="n"/>
      <c r="Z58" s="1" t="n"/>
      <c r="AA58" s="1" t="n"/>
      <c r="AB58" s="1" t="n"/>
      <c r="AC58" s="1" t="n"/>
      <c r="AD58" s="1" t="n"/>
    </row>
    <row r="59" ht="15" customHeight="1" s="311">
      <c r="A59" s="145" t="n"/>
      <c r="B59" s="38" t="inlineStr">
        <is>
          <t>ROI sobre el coste total</t>
        </is>
      </c>
      <c r="C59" s="39" t="n"/>
      <c r="D59" s="39" t="n"/>
      <c r="E59" s="77">
        <f>IFERROR($R$48/($M$48+$N$48+$O$48),"")</f>
        <v/>
      </c>
      <c r="F59" s="313" t="n"/>
      <c r="G59" s="314" t="n"/>
      <c r="H59" s="39" t="n"/>
      <c r="I59" s="39" t="n"/>
      <c r="J59" s="39" t="n"/>
      <c r="K59" s="145" t="n"/>
      <c r="L59" s="145" t="n"/>
      <c r="M59" s="145" t="n"/>
      <c r="N59" s="145" t="n"/>
      <c r="O59" s="145" t="n"/>
      <c r="P59" s="145" t="n"/>
      <c r="Q59" s="145" t="n"/>
      <c r="R59" s="145" t="n"/>
      <c r="S59" s="145" t="n"/>
      <c r="T59" s="145" t="n"/>
      <c r="U59" s="145" t="n"/>
      <c r="V59" s="145" t="n"/>
      <c r="W59" s="145" t="n"/>
      <c r="X59" s="145" t="n"/>
      <c r="Y59" s="1" t="n"/>
      <c r="Z59" s="1" t="n"/>
      <c r="AA59" s="1" t="n"/>
      <c r="AB59" s="1" t="n"/>
      <c r="AC59" s="1" t="n"/>
      <c r="AD59" s="1" t="n"/>
    </row>
    <row r="60" ht="15" customHeight="1" s="311">
      <c r="A60" s="145" t="n"/>
      <c r="B60" s="38" t="inlineStr">
        <is>
          <t>Comisiones sobre lo aportado</t>
        </is>
      </c>
      <c r="C60" s="39" t="n"/>
      <c r="D60" s="39" t="n"/>
      <c r="E60" s="77">
        <f>IFERROR(($N$48+$O$48)/$M$48,"")</f>
        <v/>
      </c>
      <c r="F60" s="313" t="n"/>
      <c r="G60" s="314" t="n"/>
      <c r="H60" s="39" t="n"/>
      <c r="I60" s="39" t="n"/>
      <c r="J60" s="39" t="n"/>
      <c r="K60" s="145" t="n"/>
      <c r="L60" s="145" t="n"/>
      <c r="M60" s="145" t="n"/>
      <c r="N60" s="145" t="n"/>
      <c r="O60" s="145" t="n"/>
      <c r="P60" s="145" t="n"/>
      <c r="Q60" s="145" t="n"/>
      <c r="R60" s="145" t="n"/>
      <c r="S60" s="145" t="n"/>
      <c r="T60" s="145" t="n"/>
      <c r="U60" s="145" t="n"/>
      <c r="V60" s="145" t="n"/>
      <c r="W60" s="145" t="n"/>
      <c r="X60" s="145" t="n"/>
      <c r="Y60" s="1" t="n"/>
      <c r="Z60" s="1" t="n"/>
      <c r="AA60" s="1" t="n"/>
      <c r="AB60" s="1" t="n"/>
      <c r="AC60" s="1" t="n"/>
      <c r="AD60" s="1" t="n"/>
    </row>
    <row r="61" ht="15" customHeight="1" s="311">
      <c r="A61" s="145" t="n"/>
      <c r="B61" s="46" t="inlineStr">
        <is>
          <t>Rentabilidad necesaria solo para cubrir comisiones</t>
        </is>
      </c>
      <c r="C61" s="46" t="n"/>
      <c r="D61" s="46" t="n"/>
      <c r="E61" s="71">
        <f>IFERROR(($N$48+$O$48)/$M$48,"")</f>
        <v/>
      </c>
      <c r="F61" s="313" t="n"/>
      <c r="G61" s="314" t="n"/>
      <c r="H61" s="46" t="n"/>
      <c r="I61" s="46" t="n"/>
      <c r="J61" s="46" t="n"/>
      <c r="K61" s="145" t="n"/>
      <c r="L61" s="145" t="n"/>
      <c r="M61" s="145" t="n"/>
      <c r="N61" s="145" t="n"/>
      <c r="O61" s="145" t="n"/>
      <c r="P61" s="145" t="n"/>
      <c r="Q61" s="145" t="n"/>
      <c r="R61" s="145" t="n"/>
      <c r="S61" s="145" t="n"/>
      <c r="T61" s="145" t="n"/>
      <c r="U61" s="145" t="n"/>
      <c r="V61" s="145" t="n"/>
      <c r="W61" s="145" t="n"/>
      <c r="X61" s="145" t="n"/>
      <c r="Y61" s="1" t="n"/>
      <c r="Z61" s="1" t="n"/>
      <c r="AA61" s="1" t="n"/>
      <c r="AB61" s="1" t="n"/>
      <c r="AC61" s="1" t="n"/>
      <c r="AD61" s="1" t="n"/>
    </row>
    <row r="62" ht="15" customHeight="1" s="311">
      <c r="A62" s="145" t="n"/>
      <c r="B62" s="46" t="inlineStr">
        <is>
          <t>Nº de posiciones abiertas</t>
        </is>
      </c>
      <c r="C62" s="46" t="n"/>
      <c r="D62" s="46" t="n"/>
      <c r="E62" s="59">
        <f>COUNTIF($B$7:$B$47,"&lt;&gt;")</f>
        <v/>
      </c>
      <c r="F62" s="313" t="n"/>
      <c r="G62" s="314" t="n"/>
      <c r="H62" s="46" t="n"/>
      <c r="I62" s="46" t="n"/>
      <c r="J62" s="46" t="n"/>
      <c r="K62" s="145" t="n"/>
      <c r="L62" s="145" t="n"/>
      <c r="M62" s="145" t="n"/>
      <c r="N62" s="145" t="n"/>
      <c r="O62" s="145" t="n"/>
      <c r="P62" s="145" t="n"/>
      <c r="Q62" s="145" t="n"/>
      <c r="R62" s="145" t="n"/>
      <c r="S62" s="145" t="n"/>
      <c r="T62" s="145" t="n"/>
      <c r="U62" s="145" t="n"/>
      <c r="V62" s="145" t="n"/>
      <c r="W62" s="145" t="n"/>
      <c r="X62" s="145" t="n"/>
      <c r="Y62" s="1" t="n"/>
      <c r="Z62" s="1" t="n"/>
      <c r="AA62" s="1" t="n"/>
      <c r="AB62" s="1" t="n"/>
      <c r="AC62" s="1" t="n"/>
      <c r="AD62" s="1" t="n"/>
    </row>
    <row r="63" ht="15.75" customHeight="1" s="311">
      <c r="A63" s="145" t="n"/>
      <c r="B63" s="145" t="n"/>
      <c r="C63" s="145" t="n"/>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c r="W63" s="145" t="n"/>
      <c r="X63" s="145" t="n"/>
      <c r="Y63" s="1" t="n"/>
      <c r="Z63" s="1" t="n"/>
      <c r="AA63" s="1" t="n"/>
      <c r="AB63" s="1" t="n"/>
      <c r="AC63" s="1" t="n"/>
      <c r="AD63" s="1" t="n"/>
    </row>
    <row r="64" ht="15" customHeight="1" s="311">
      <c r="A64" s="145" t="n"/>
      <c r="B64" s="23" t="inlineStr">
        <is>
          <t>Mejor posición</t>
        </is>
      </c>
      <c r="C64" s="145" t="n"/>
      <c r="D64" s="145" t="n"/>
      <c r="E64" s="62">
        <f t="array" ref="E64">IF(MAX($S$7:$S$47)=MIN($S$7:$S$47),"— aún no hay diferencias de ROI",IFERROR(INDEX($B$7:$B$47,MATCH(MAX($S$7:$S$47),$S$7:$S$47,0)),""))</f>
        <v/>
      </c>
      <c r="F64" s="145" t="n"/>
      <c r="G64" s="145" t="n"/>
      <c r="H64" s="145" t="n"/>
      <c r="I64" s="145" t="n"/>
      <c r="J64" s="145" t="n"/>
      <c r="K64" s="145" t="n"/>
      <c r="L64" s="145" t="n"/>
      <c r="M64" s="145" t="n"/>
      <c r="N64" s="145" t="n"/>
      <c r="O64" s="145" t="n"/>
      <c r="P64" s="145" t="n"/>
      <c r="Q64" s="145" t="n"/>
      <c r="R64" s="145" t="n"/>
      <c r="S64" s="145" t="n"/>
      <c r="T64" s="145" t="n"/>
      <c r="U64" s="145" t="n"/>
      <c r="V64" s="145" t="n"/>
      <c r="W64" s="20" t="inlineStr">
        <is>
          <t>Todas tus posiciones marcan 0% porque he puesto lo aportado igual al valor actual: no conozco tu precio de compra. Rellena la columna "Aportado / invertido" con lo que pusiste de verdad y el ROI empezará a tener sentido.</t>
        </is>
      </c>
      <c r="X64" s="145" t="n"/>
      <c r="Y64" s="1" t="n"/>
      <c r="Z64" s="1" t="n"/>
      <c r="AA64" s="1" t="n"/>
      <c r="AB64" s="1" t="n"/>
      <c r="AC64" s="1" t="n"/>
      <c r="AD64" s="1" t="n"/>
    </row>
    <row r="65" ht="15" customHeight="1" s="311">
      <c r="A65" s="145" t="n"/>
      <c r="B65" s="23" t="inlineStr">
        <is>
          <t>Peor posición</t>
        </is>
      </c>
      <c r="C65" s="145" t="n"/>
      <c r="D65" s="145" t="n"/>
      <c r="E65" s="279">
        <f t="array" ref="E65">IF(MAX($S$7:$S$47)=MIN($S$7:$S$47),"— aún no hay diferencias de ROI",IFERROR(INDEX($B$7:$B$47,MATCH(MIN($S$7:$S$47),$S$7:$S$47,0)),""))</f>
        <v/>
      </c>
      <c r="F65" s="145" t="n"/>
      <c r="G65" s="145" t="n"/>
      <c r="H65" s="145" t="n"/>
      <c r="I65" s="145" t="n"/>
      <c r="J65" s="145" t="n"/>
      <c r="K65" s="145" t="n"/>
      <c r="L65" s="145" t="n"/>
      <c r="M65" s="145" t="n"/>
      <c r="N65" s="145" t="n"/>
      <c r="O65" s="145" t="n"/>
      <c r="P65" s="145" t="n"/>
      <c r="Q65" s="145" t="n"/>
      <c r="R65" s="145" t="n"/>
      <c r="S65" s="145" t="n"/>
      <c r="T65" s="145" t="n"/>
      <c r="U65" s="145" t="n"/>
      <c r="V65" s="145" t="n"/>
      <c r="W65" s="145" t="n"/>
      <c r="X65" s="145" t="n"/>
      <c r="Y65" s="1" t="n"/>
      <c r="Z65" s="1" t="n"/>
      <c r="AA65" s="1" t="n"/>
      <c r="AB65" s="1" t="n"/>
      <c r="AC65" s="1" t="n"/>
      <c r="AD65" s="1" t="n"/>
    </row>
    <row r="66" ht="32.25" customHeight="1" s="311">
      <c r="A66" s="145" t="n"/>
      <c r="B66" s="23" t="inlineStr">
        <is>
          <t>Diagnóstico de comisiones</t>
        </is>
      </c>
      <c r="C66" s="145" t="n"/>
      <c r="D66" s="145" t="n"/>
      <c r="E66" s="62">
        <f>IF($M$48=0,"Sin datos",IF(($N$48+$O$48)/$M$48&gt;0.02,"🔴 Las comisiones se comen más del 2% de lo aportado",IF(($N$48+$O$48)/$M$48&gt;0.01,"🟡 Comisiones aceptables","✅ Comisiones bajas")))</f>
        <v/>
      </c>
      <c r="F66" s="145" t="n"/>
      <c r="G66" s="145" t="n"/>
      <c r="H66" s="145" t="n"/>
      <c r="I66" s="145" t="n"/>
      <c r="J66" s="145" t="n"/>
      <c r="K66" s="145" t="n"/>
      <c r="L66" s="145" t="n"/>
      <c r="M66" s="145" t="n"/>
      <c r="N66" s="145" t="n"/>
      <c r="O66" s="145" t="n"/>
      <c r="P66" s="145" t="n"/>
      <c r="Q66" s="145" t="n"/>
      <c r="R66" s="145" t="n"/>
      <c r="S66" s="145" t="n"/>
      <c r="T66" s="145" t="n"/>
      <c r="U66" s="145" t="n"/>
      <c r="V66" s="145" t="n"/>
      <c r="W66" s="20" t="inlineStr">
        <is>
          <t>Referencia: un fondo indexado ronda el 0,15%-0,40% anual. Por encima del 2% acumulado, las comisiones se comen buena parte del rendimiento.</t>
        </is>
      </c>
      <c r="X66" s="145" t="n"/>
      <c r="Y66" s="1" t="n"/>
      <c r="Z66" s="1" t="n"/>
      <c r="AA66" s="1" t="n"/>
      <c r="AB66" s="1" t="n"/>
      <c r="AC66" s="1" t="n"/>
      <c r="AD66" s="1" t="n"/>
    </row>
    <row r="67" ht="21.75" customHeight="1" s="311">
      <c r="A67" s="145" t="n"/>
      <c r="B67" s="38" t="inlineStr">
        <is>
          <t>Valor que se suma al Balance (sin duplicar cuentas)</t>
        </is>
      </c>
      <c r="C67" s="39" t="n"/>
      <c r="D67" s="39" t="n"/>
      <c r="E67" s="68">
        <f>SUMIFS(Inversiones!$L$7:$L$47,Inversiones!$X$7:$X$47,"Sí")</f>
        <v/>
      </c>
      <c r="F67" s="313" t="n"/>
      <c r="G67" s="314" t="n"/>
      <c r="H67" s="39" t="n"/>
      <c r="I67" s="39" t="n"/>
      <c r="J67" s="39" t="n"/>
      <c r="K67" s="145" t="n"/>
      <c r="L67" s="145" t="n"/>
      <c r="M67" s="145" t="n"/>
      <c r="N67" s="145" t="n"/>
      <c r="O67" s="145" t="n"/>
      <c r="P67" s="145" t="n"/>
      <c r="Q67" s="145" t="n"/>
      <c r="R67" s="145" t="n"/>
      <c r="S67" s="145" t="n"/>
      <c r="T67" s="145" t="n"/>
      <c r="U67" s="145" t="n"/>
      <c r="V67" s="145" t="n"/>
      <c r="W67" s="20" t="inlineStr">
        <is>
          <t>Total de las posiciones marcadas "Sí". Es lo que usan el Balance y el cálculo de independencia financiera.</t>
        </is>
      </c>
      <c r="X67" s="145" t="n"/>
      <c r="Y67" s="1" t="n"/>
      <c r="Z67" s="1" t="n"/>
      <c r="AA67" s="1" t="n"/>
      <c r="AB67" s="1" t="n"/>
      <c r="AC67" s="1" t="n"/>
      <c r="AD67" s="1" t="n"/>
    </row>
    <row r="68" ht="21.75" customHeight="1" s="311">
      <c r="A68" s="21" t="inlineStr">
        <is>
          <t>3.  DISTRIBUCIÓN POR TIPO DE ACTIVO</t>
        </is>
      </c>
      <c r="B68" s="22" t="n"/>
      <c r="C68" s="22" t="n"/>
      <c r="D68" s="22" t="n"/>
      <c r="E68" s="22" t="n"/>
      <c r="F68" s="22" t="n"/>
      <c r="G68" s="22" t="n"/>
      <c r="H68" s="22" t="n"/>
      <c r="I68" s="22" t="n"/>
      <c r="J68" s="22" t="n"/>
      <c r="K68" s="145" t="n"/>
      <c r="L68" s="145" t="n"/>
      <c r="M68" s="145" t="n"/>
      <c r="N68" s="145" t="n"/>
      <c r="O68" s="145" t="n"/>
      <c r="P68" s="145" t="n"/>
      <c r="Q68" s="145" t="n"/>
      <c r="R68" s="145" t="n"/>
      <c r="S68" s="145" t="n"/>
      <c r="T68" s="145" t="n"/>
      <c r="U68" s="145" t="n"/>
      <c r="V68" s="145" t="n"/>
      <c r="W68" s="145" t="n"/>
      <c r="X68" s="145" t="n"/>
      <c r="Y68" s="1" t="n"/>
      <c r="Z68" s="1" t="n"/>
      <c r="AA68" s="1" t="n"/>
      <c r="AB68" s="1" t="n"/>
      <c r="AC68" s="1" t="n"/>
      <c r="AD68" s="1" t="n"/>
    </row>
    <row r="69" ht="25.5" customHeight="1" s="311">
      <c r="A69" s="145" t="n"/>
      <c r="B69" s="33" t="inlineStr">
        <is>
          <t>Tipo de activo</t>
        </is>
      </c>
      <c r="C69" s="33" t="n"/>
      <c r="D69" s="33" t="inlineStr">
        <is>
          <t>Valor actual (€)</t>
        </is>
      </c>
      <c r="E69" s="33" t="inlineStr">
        <is>
          <t>Aportado (€)</t>
        </is>
      </c>
      <c r="F69" s="33" t="inlineStr">
        <is>
          <t>Resultado (€)</t>
        </is>
      </c>
      <c r="G69" s="33" t="inlineStr">
        <is>
          <t>ROI</t>
        </is>
      </c>
      <c r="H69" s="33" t="inlineStr">
        <is>
          <t>Peso</t>
        </is>
      </c>
      <c r="I69" s="33" t="inlineStr">
        <is>
          <t>Visual</t>
        </is>
      </c>
      <c r="J69" s="145" t="n"/>
      <c r="K69" s="145" t="n"/>
      <c r="L69" s="145" t="n"/>
      <c r="M69" s="145" t="n"/>
      <c r="N69" s="145" t="n"/>
      <c r="O69" s="145" t="n"/>
      <c r="P69" s="145" t="n"/>
      <c r="Q69" s="145" t="n"/>
      <c r="R69" s="145" t="n"/>
      <c r="S69" s="145" t="n"/>
      <c r="T69" s="145" t="n"/>
      <c r="U69" s="145" t="n"/>
      <c r="V69" s="145" t="n"/>
      <c r="W69" s="145" t="n"/>
      <c r="X69" s="145" t="n"/>
      <c r="Y69" s="1" t="n"/>
      <c r="Z69" s="1" t="n"/>
      <c r="AA69" s="1" t="n"/>
      <c r="AB69" s="1" t="n"/>
      <c r="AC69" s="1" t="n"/>
      <c r="AD69" s="1" t="n"/>
    </row>
    <row r="70" ht="15" customHeight="1" s="311">
      <c r="A70" s="145" t="n"/>
      <c r="B70" s="46" t="inlineStr">
        <is>
          <t>Acciones</t>
        </is>
      </c>
      <c r="C70" s="145" t="n"/>
      <c r="D70" s="61">
        <f>SUMIFS($L$7:$L$47,$C$7:$C$47,$B70)</f>
        <v/>
      </c>
      <c r="E70" s="61">
        <f>SUMIFS($M$7:$M$47,$C$7:$C$47,$B70)</f>
        <v/>
      </c>
      <c r="F70" s="61">
        <f>SUMIFS($R$7:$R$47,$C$7:$C$47,$B70)</f>
        <v/>
      </c>
      <c r="G70" s="71">
        <f>IFERROR($F70/$E70,"")</f>
        <v/>
      </c>
      <c r="H70" s="71">
        <f>IFERROR($D70/$L$48,"")</f>
        <v/>
      </c>
      <c r="I70" s="134">
        <f>IF($D70=0,"",REPT("█",MAX(1,ROUND($D70/MAX($D$70:$D$80)*16,0))))</f>
        <v/>
      </c>
      <c r="J70" s="145" t="n"/>
      <c r="K70" s="145" t="n"/>
      <c r="L70" s="145" t="n"/>
      <c r="M70" s="145" t="n"/>
      <c r="N70" s="145" t="n"/>
      <c r="O70" s="145" t="n"/>
      <c r="P70" s="145" t="n"/>
      <c r="Q70" s="145" t="n"/>
      <c r="R70" s="145" t="n"/>
      <c r="S70" s="145" t="n"/>
      <c r="T70" s="145" t="n"/>
      <c r="U70" s="145" t="n"/>
      <c r="V70" s="145" t="n"/>
      <c r="W70" s="145" t="n"/>
      <c r="X70" s="145" t="n"/>
      <c r="Y70" s="1" t="n"/>
      <c r="Z70" s="1" t="n"/>
      <c r="AA70" s="1" t="n"/>
      <c r="AB70" s="1" t="n"/>
      <c r="AC70" s="1" t="n"/>
      <c r="AD70" s="1" t="n"/>
    </row>
    <row r="71" ht="15" customHeight="1" s="311">
      <c r="A71" s="145" t="n"/>
      <c r="B71" s="46" t="inlineStr">
        <is>
          <t>ETF</t>
        </is>
      </c>
      <c r="C71" s="145" t="n"/>
      <c r="D71" s="61">
        <f>SUMIFS($L$7:$L$47,$C$7:$C$47,$B71)</f>
        <v/>
      </c>
      <c r="E71" s="61">
        <f>SUMIFS($M$7:$M$47,$C$7:$C$47,$B71)</f>
        <v/>
      </c>
      <c r="F71" s="61">
        <f>SUMIFS($R$7:$R$47,$C$7:$C$47,$B71)</f>
        <v/>
      </c>
      <c r="G71" s="71">
        <f>IFERROR($F71/$E71,"")</f>
        <v/>
      </c>
      <c r="H71" s="71">
        <f>IFERROR($D71/$L$48,"")</f>
        <v/>
      </c>
      <c r="I71" s="134">
        <f>IF($D71=0,"",REPT("█",MAX(1,ROUND($D71/MAX($D$70:$D$80)*16,0))))</f>
        <v/>
      </c>
      <c r="J71" s="145" t="n"/>
      <c r="K71" s="145" t="n"/>
      <c r="L71" s="145" t="n"/>
      <c r="M71" s="145" t="n"/>
      <c r="N71" s="145" t="n"/>
      <c r="O71" s="145" t="n"/>
      <c r="P71" s="145" t="n"/>
      <c r="Q71" s="145" t="n"/>
      <c r="R71" s="145" t="n"/>
      <c r="S71" s="145" t="n"/>
      <c r="T71" s="145" t="n"/>
      <c r="U71" s="145" t="n"/>
      <c r="V71" s="145" t="n"/>
      <c r="W71" s="145" t="n"/>
      <c r="X71" s="145" t="n"/>
      <c r="Y71" s="1" t="n"/>
      <c r="Z71" s="1" t="n"/>
      <c r="AA71" s="1" t="n"/>
      <c r="AB71" s="1" t="n"/>
      <c r="AC71" s="1" t="n"/>
      <c r="AD71" s="1" t="n"/>
    </row>
    <row r="72" ht="15" customHeight="1" s="311">
      <c r="A72" s="145" t="n"/>
      <c r="B72" s="46" t="inlineStr">
        <is>
          <t>Fondo de inversión</t>
        </is>
      </c>
      <c r="C72" s="145" t="n"/>
      <c r="D72" s="61">
        <f>SUMIFS($L$7:$L$47,$C$7:$C$47,$B72)</f>
        <v/>
      </c>
      <c r="E72" s="61">
        <f>SUMIFS($M$7:$M$47,$C$7:$C$47,$B72)</f>
        <v/>
      </c>
      <c r="F72" s="61">
        <f>SUMIFS($R$7:$R$47,$C$7:$C$47,$B72)</f>
        <v/>
      </c>
      <c r="G72" s="71">
        <f>IFERROR($F72/$E72,"")</f>
        <v/>
      </c>
      <c r="H72" s="71">
        <f>IFERROR($D72/$L$48,"")</f>
        <v/>
      </c>
      <c r="I72" s="134">
        <f>IF($D72=0,"",REPT("█",MAX(1,ROUND($D72/MAX($D$70:$D$80)*16,0))))</f>
        <v/>
      </c>
      <c r="J72" s="145" t="n"/>
      <c r="K72" s="145" t="n"/>
      <c r="L72" s="145" t="n"/>
      <c r="M72" s="145" t="n"/>
      <c r="N72" s="145" t="n"/>
      <c r="O72" s="145" t="n"/>
      <c r="P72" s="145" t="n"/>
      <c r="Q72" s="145" t="n"/>
      <c r="R72" s="145" t="n"/>
      <c r="S72" s="145" t="n"/>
      <c r="T72" s="145" t="n"/>
      <c r="U72" s="145" t="n"/>
      <c r="V72" s="145" t="n"/>
      <c r="W72" s="145" t="n"/>
      <c r="X72" s="145" t="n"/>
      <c r="Y72" s="1" t="n"/>
      <c r="Z72" s="1" t="n"/>
      <c r="AA72" s="1" t="n"/>
      <c r="AB72" s="1" t="n"/>
      <c r="AC72" s="1" t="n"/>
      <c r="AD72" s="1" t="n"/>
    </row>
    <row r="73" ht="15" customHeight="1" s="311">
      <c r="A73" s="145" t="n"/>
      <c r="B73" s="46" t="inlineStr">
        <is>
          <t>Criptomoneda</t>
        </is>
      </c>
      <c r="C73" s="145" t="n"/>
      <c r="D73" s="61">
        <f>SUMIFS($L$7:$L$47,$C$7:$C$47,$B73)</f>
        <v/>
      </c>
      <c r="E73" s="61">
        <f>SUMIFS($M$7:$M$47,$C$7:$C$47,$B73)</f>
        <v/>
      </c>
      <c r="F73" s="61">
        <f>SUMIFS($R$7:$R$47,$C$7:$C$47,$B73)</f>
        <v/>
      </c>
      <c r="G73" s="71">
        <f>IFERROR($F73/$E73,"")</f>
        <v/>
      </c>
      <c r="H73" s="71">
        <f>IFERROR($D73/$L$48,"")</f>
        <v/>
      </c>
      <c r="I73" s="134">
        <f>IF($D73=0,"",REPT("█",MAX(1,ROUND($D73/MAX($D$70:$D$80)*16,0))))</f>
        <v/>
      </c>
      <c r="J73" s="145" t="n"/>
      <c r="K73" s="145" t="n"/>
      <c r="L73" s="145" t="n"/>
      <c r="M73" s="145" t="n"/>
      <c r="N73" s="145" t="n"/>
      <c r="O73" s="145" t="n"/>
      <c r="P73" s="145" t="n"/>
      <c r="Q73" s="145" t="n"/>
      <c r="R73" s="145" t="n"/>
      <c r="S73" s="145" t="n"/>
      <c r="T73" s="145" t="n"/>
      <c r="U73" s="145" t="n"/>
      <c r="V73" s="145" t="n"/>
      <c r="W73" s="145" t="n"/>
      <c r="X73" s="145" t="n"/>
      <c r="Y73" s="1" t="n"/>
      <c r="Z73" s="1" t="n"/>
      <c r="AA73" s="1" t="n"/>
      <c r="AB73" s="1" t="n"/>
      <c r="AC73" s="1" t="n"/>
      <c r="AD73" s="1" t="n"/>
    </row>
    <row r="74" ht="15" customHeight="1" s="311">
      <c r="A74" s="145" t="n"/>
      <c r="B74" s="46" t="inlineStr">
        <is>
          <t>Cuenta remunerada</t>
        </is>
      </c>
      <c r="C74" s="145" t="n"/>
      <c r="D74" s="61">
        <f>SUMIFS($L$7:$L$47,$C$7:$C$47,$B74)</f>
        <v/>
      </c>
      <c r="E74" s="61">
        <f>SUMIFS($M$7:$M$47,$C$7:$C$47,$B74)</f>
        <v/>
      </c>
      <c r="F74" s="61">
        <f>SUMIFS($R$7:$R$47,$C$7:$C$47,$B74)</f>
        <v/>
      </c>
      <c r="G74" s="71">
        <f>IFERROR($F74/$E74,"")</f>
        <v/>
      </c>
      <c r="H74" s="71">
        <f>IFERROR($D74/$L$48,"")</f>
        <v/>
      </c>
      <c r="I74" s="134">
        <f>IF($D74=0,"",REPT("█",MAX(1,ROUND($D74/MAX($D$70:$D$80)*16,0))))</f>
        <v/>
      </c>
      <c r="J74" s="145" t="n"/>
      <c r="K74" s="145" t="n"/>
      <c r="L74" s="145" t="n"/>
      <c r="M74" s="145" t="n"/>
      <c r="N74" s="145" t="n"/>
      <c r="O74" s="145" t="n"/>
      <c r="P74" s="145" t="n"/>
      <c r="Q74" s="145" t="n"/>
      <c r="R74" s="145" t="n"/>
      <c r="S74" s="145" t="n"/>
      <c r="T74" s="145" t="n"/>
      <c r="U74" s="145" t="n"/>
      <c r="V74" s="145" t="n"/>
      <c r="W74" s="145" t="n"/>
      <c r="X74" s="145" t="n"/>
      <c r="Y74" s="1" t="n"/>
      <c r="Z74" s="1" t="n"/>
      <c r="AA74" s="1" t="n"/>
      <c r="AB74" s="1" t="n"/>
      <c r="AC74" s="1" t="n"/>
      <c r="AD74" s="1" t="n"/>
    </row>
    <row r="75" ht="15" customHeight="1" s="311">
      <c r="A75" s="145" t="n"/>
      <c r="B75" s="46" t="inlineStr">
        <is>
          <t>Depósito a plazo</t>
        </is>
      </c>
      <c r="C75" s="145" t="n"/>
      <c r="D75" s="61">
        <f>SUMIFS($L$7:$L$47,$C$7:$C$47,$B75)</f>
        <v/>
      </c>
      <c r="E75" s="61">
        <f>SUMIFS($M$7:$M$47,$C$7:$C$47,$B75)</f>
        <v/>
      </c>
      <c r="F75" s="61">
        <f>SUMIFS($R$7:$R$47,$C$7:$C$47,$B75)</f>
        <v/>
      </c>
      <c r="G75" s="71">
        <f>IFERROR($F75/$E75,"")</f>
        <v/>
      </c>
      <c r="H75" s="71">
        <f>IFERROR($D75/$L$48,"")</f>
        <v/>
      </c>
      <c r="I75" s="134">
        <f>IF($D75=0,"",REPT("█",MAX(1,ROUND($D75/MAX($D$70:$D$80)*16,0))))</f>
        <v/>
      </c>
      <c r="J75" s="145" t="n"/>
      <c r="K75" s="145" t="n"/>
      <c r="L75" s="145" t="n"/>
      <c r="M75" s="145" t="n"/>
      <c r="N75" s="145" t="n"/>
      <c r="O75" s="145" t="n"/>
      <c r="P75" s="145" t="n"/>
      <c r="Q75" s="145" t="n"/>
      <c r="R75" s="145" t="n"/>
      <c r="S75" s="145" t="n"/>
      <c r="T75" s="145" t="n"/>
      <c r="U75" s="145" t="n"/>
      <c r="V75" s="145" t="n"/>
      <c r="W75" s="145" t="n"/>
      <c r="X75" s="145" t="n"/>
      <c r="Y75" s="1" t="n"/>
      <c r="Z75" s="1" t="n"/>
      <c r="AA75" s="1" t="n"/>
      <c r="AB75" s="1" t="n"/>
      <c r="AC75" s="1" t="n"/>
      <c r="AD75" s="1" t="n"/>
    </row>
    <row r="76" ht="15" customHeight="1" s="311">
      <c r="A76" s="145" t="n"/>
      <c r="B76" s="46" t="inlineStr">
        <is>
          <t>Préstamos P2P</t>
        </is>
      </c>
      <c r="C76" s="145" t="n"/>
      <c r="D76" s="61">
        <f>SUMIFS($L$7:$L$47,$C$7:$C$47,$B76)</f>
        <v/>
      </c>
      <c r="E76" s="61">
        <f>SUMIFS($M$7:$M$47,$C$7:$C$47,$B76)</f>
        <v/>
      </c>
      <c r="F76" s="61">
        <f>SUMIFS($R$7:$R$47,$C$7:$C$47,$B76)</f>
        <v/>
      </c>
      <c r="G76" s="71">
        <f>IFERROR($F76/$E76,"")</f>
        <v/>
      </c>
      <c r="H76" s="71">
        <f>IFERROR($D76/$L$48,"")</f>
        <v/>
      </c>
      <c r="I76" s="134">
        <f>IF($D76=0,"",REPT("█",MAX(1,ROUND($D76/MAX($D$70:$D$80)*16,0))))</f>
        <v/>
      </c>
      <c r="J76" s="145" t="n"/>
      <c r="K76" s="145" t="n"/>
      <c r="L76" s="145" t="n"/>
      <c r="M76" s="145" t="n"/>
      <c r="N76" s="145" t="n"/>
      <c r="O76" s="145" t="n"/>
      <c r="P76" s="145" t="n"/>
      <c r="Q76" s="145" t="n"/>
      <c r="R76" s="145" t="n"/>
      <c r="S76" s="145" t="n"/>
      <c r="T76" s="145" t="n"/>
      <c r="U76" s="145" t="n"/>
      <c r="V76" s="145" t="n"/>
      <c r="W76" s="145" t="n"/>
      <c r="X76" s="145" t="n"/>
      <c r="Y76" s="1" t="n"/>
      <c r="Z76" s="1" t="n"/>
      <c r="AA76" s="1" t="n"/>
      <c r="AB76" s="1" t="n"/>
      <c r="AC76" s="1" t="n"/>
      <c r="AD76" s="1" t="n"/>
    </row>
    <row r="77" ht="15" customHeight="1" s="311">
      <c r="A77" s="145" t="n"/>
      <c r="B77" s="46" t="inlineStr">
        <is>
          <t>Capital riesgo</t>
        </is>
      </c>
      <c r="C77" s="145" t="n"/>
      <c r="D77" s="61">
        <f>SUMIFS($L$7:$L$47,$C$7:$C$47,$B77)</f>
        <v/>
      </c>
      <c r="E77" s="61">
        <f>SUMIFS($M$7:$M$47,$C$7:$C$47,$B77)</f>
        <v/>
      </c>
      <c r="F77" s="61">
        <f>SUMIFS($R$7:$R$47,$C$7:$C$47,$B77)</f>
        <v/>
      </c>
      <c r="G77" s="71">
        <f>IFERROR($F77/$E77,"")</f>
        <v/>
      </c>
      <c r="H77" s="71">
        <f>IFERROR($D77/$L$48,"")</f>
        <v/>
      </c>
      <c r="I77" s="134">
        <f>IF($D77=0,"",REPT("█",MAX(1,ROUND($D77/MAX($D$70:$D$80)*16,0))))</f>
        <v/>
      </c>
      <c r="J77" s="145" t="n"/>
      <c r="K77" s="145" t="n"/>
      <c r="L77" s="145" t="n"/>
      <c r="M77" s="145" t="n"/>
      <c r="N77" s="145" t="n"/>
      <c r="O77" s="145" t="n"/>
      <c r="P77" s="145" t="n"/>
      <c r="Q77" s="145" t="n"/>
      <c r="R77" s="145" t="n"/>
      <c r="S77" s="145" t="n"/>
      <c r="T77" s="145" t="n"/>
      <c r="U77" s="145" t="n"/>
      <c r="V77" s="145" t="n"/>
      <c r="W77" s="145" t="n"/>
      <c r="X77" s="145" t="n"/>
      <c r="Y77" s="1" t="n"/>
      <c r="Z77" s="1" t="n"/>
      <c r="AA77" s="1" t="n"/>
      <c r="AB77" s="1" t="n"/>
      <c r="AC77" s="1" t="n"/>
      <c r="AD77" s="1" t="n"/>
    </row>
    <row r="78" ht="15" customHeight="1" s="311">
      <c r="A78" s="145" t="n"/>
      <c r="B78" s="46" t="inlineStr">
        <is>
          <t>Plan de pensiones</t>
        </is>
      </c>
      <c r="C78" s="145" t="n"/>
      <c r="D78" s="61">
        <f>SUMIFS($L$7:$L$47,$C$7:$C$47,$B78)</f>
        <v/>
      </c>
      <c r="E78" s="61">
        <f>SUMIFS($M$7:$M$47,$C$7:$C$47,$B78)</f>
        <v/>
      </c>
      <c r="F78" s="61">
        <f>SUMIFS($R$7:$R$47,$C$7:$C$47,$B78)</f>
        <v/>
      </c>
      <c r="G78" s="71">
        <f>IFERROR($F78/$E78,"")</f>
        <v/>
      </c>
      <c r="H78" s="71">
        <f>IFERROR($D78/$L$48,"")</f>
        <v/>
      </c>
      <c r="I78" s="134">
        <f>IF($D78=0,"",REPT("█",MAX(1,ROUND($D78/MAX($D$70:$D$80)*16,0))))</f>
        <v/>
      </c>
      <c r="J78" s="145" t="n"/>
      <c r="K78" s="145" t="n"/>
      <c r="L78" s="145" t="n"/>
      <c r="M78" s="145" t="n"/>
      <c r="N78" s="145" t="n"/>
      <c r="O78" s="145" t="n"/>
      <c r="P78" s="145" t="n"/>
      <c r="Q78" s="145" t="n"/>
      <c r="R78" s="145" t="n"/>
      <c r="S78" s="145" t="n"/>
      <c r="T78" s="145" t="n"/>
      <c r="U78" s="145" t="n"/>
      <c r="V78" s="145" t="n"/>
      <c r="W78" s="145" t="n"/>
      <c r="X78" s="145" t="n"/>
      <c r="Y78" s="1" t="n"/>
      <c r="Z78" s="1" t="n"/>
      <c r="AA78" s="1" t="n"/>
      <c r="AB78" s="1" t="n"/>
      <c r="AC78" s="1" t="n"/>
      <c r="AD78" s="1" t="n"/>
    </row>
    <row r="79" ht="15" customHeight="1" s="311">
      <c r="A79" s="145" t="n"/>
      <c r="B79" s="46" t="inlineStr">
        <is>
          <t>CFD / apalancado</t>
        </is>
      </c>
      <c r="C79" s="145" t="n"/>
      <c r="D79" s="61">
        <f>SUMIFS($L$7:$L$47,$C$7:$C$47,$B79)</f>
        <v/>
      </c>
      <c r="E79" s="61">
        <f>SUMIFS($M$7:$M$47,$C$7:$C$47,$B79)</f>
        <v/>
      </c>
      <c r="F79" s="61">
        <f>SUMIFS($R$7:$R$47,$C$7:$C$47,$B79)</f>
        <v/>
      </c>
      <c r="G79" s="71">
        <f>IFERROR($F79/$E79,"")</f>
        <v/>
      </c>
      <c r="H79" s="71">
        <f>IFERROR($D79/$L$48,"")</f>
        <v/>
      </c>
      <c r="I79" s="134">
        <f>IF($D79=0,"",REPT("█",MAX(1,ROUND($D79/MAX($D$70:$D$80)*16,0))))</f>
        <v/>
      </c>
      <c r="J79" s="145" t="n"/>
      <c r="K79" s="145" t="n"/>
      <c r="L79" s="145" t="n"/>
      <c r="M79" s="145" t="n"/>
      <c r="N79" s="145" t="n"/>
      <c r="O79" s="145" t="n"/>
      <c r="P79" s="145" t="n"/>
      <c r="Q79" s="145" t="n"/>
      <c r="R79" s="145" t="n"/>
      <c r="S79" s="145" t="n"/>
      <c r="T79" s="145" t="n"/>
      <c r="U79" s="145" t="n"/>
      <c r="V79" s="145" t="n"/>
      <c r="W79" s="145" t="n"/>
      <c r="X79" s="145" t="n"/>
      <c r="Y79" s="1" t="n"/>
      <c r="Z79" s="1" t="n"/>
      <c r="AA79" s="1" t="n"/>
      <c r="AB79" s="1" t="n"/>
      <c r="AC79" s="1" t="n"/>
      <c r="AD79" s="1" t="n"/>
    </row>
    <row r="80" ht="15" customHeight="1" s="311">
      <c r="A80" s="145" t="n"/>
      <c r="B80" s="46" t="inlineStr">
        <is>
          <t>Otro</t>
        </is>
      </c>
      <c r="C80" s="145" t="n"/>
      <c r="D80" s="61">
        <f>SUMIFS($L$7:$L$47,$C$7:$C$47,$B80)</f>
        <v/>
      </c>
      <c r="E80" s="61">
        <f>SUMIFS($M$7:$M$47,$C$7:$C$47,$B80)</f>
        <v/>
      </c>
      <c r="F80" s="61">
        <f>SUMIFS($R$7:$R$47,$C$7:$C$47,$B80)</f>
        <v/>
      </c>
      <c r="G80" s="71">
        <f>IFERROR($F80/$E80,"")</f>
        <v/>
      </c>
      <c r="H80" s="71">
        <f>IFERROR($D80/$L$48,"")</f>
        <v/>
      </c>
      <c r="I80" s="134">
        <f>IF($D80=0,"",REPT("█",MAX(1,ROUND($D80/MAX($D$70:$D$80)*16,0))))</f>
        <v/>
      </c>
      <c r="J80" s="145" t="n"/>
      <c r="K80" s="145" t="n"/>
      <c r="L80" s="145" t="n"/>
      <c r="M80" s="145" t="n"/>
      <c r="N80" s="145" t="n"/>
      <c r="O80" s="145" t="n"/>
      <c r="P80" s="145" t="n"/>
      <c r="Q80" s="145" t="n"/>
      <c r="R80" s="145" t="n"/>
      <c r="S80" s="145" t="n"/>
      <c r="T80" s="145" t="n"/>
      <c r="U80" s="145" t="n"/>
      <c r="V80" s="145" t="n"/>
      <c r="W80" s="145" t="n"/>
      <c r="X80" s="145" t="n"/>
      <c r="Y80" s="1" t="n"/>
      <c r="Z80" s="1" t="n"/>
      <c r="AA80" s="1" t="n"/>
      <c r="AB80" s="1" t="n"/>
      <c r="AC80" s="1" t="n"/>
      <c r="AD80" s="1" t="n"/>
    </row>
    <row r="81" ht="15" customHeight="1" s="311">
      <c r="A81" s="145" t="n"/>
      <c r="B81" s="38" t="inlineStr">
        <is>
          <t>TOTAL</t>
        </is>
      </c>
      <c r="C81" s="39" t="n"/>
      <c r="D81" s="68">
        <f>SUM($D$70:$D$80)</f>
        <v/>
      </c>
      <c r="E81" s="68">
        <f>SUM($E$70:$E$80)</f>
        <v/>
      </c>
      <c r="F81" s="68">
        <f>SUM($F$70:$F$80)</f>
        <v/>
      </c>
      <c r="G81" s="77">
        <f>IFERROR($F$81/$E$81,"")</f>
        <v/>
      </c>
      <c r="H81" s="77">
        <f>IF($D$81=0,"",1)</f>
        <v/>
      </c>
      <c r="I81" s="39" t="n"/>
      <c r="J81" s="145" t="n"/>
      <c r="K81" s="145" t="n"/>
      <c r="L81" s="145" t="n"/>
      <c r="M81" s="145" t="n"/>
      <c r="N81" s="145" t="n"/>
      <c r="O81" s="145" t="n"/>
      <c r="P81" s="145" t="n"/>
      <c r="Q81" s="145" t="n"/>
      <c r="R81" s="145" t="n"/>
      <c r="S81" s="145" t="n"/>
      <c r="T81" s="145" t="n"/>
      <c r="U81" s="145" t="n"/>
      <c r="V81" s="145" t="n"/>
      <c r="W81" s="145" t="n"/>
      <c r="X81" s="145" t="n"/>
      <c r="Y81" s="1" t="n"/>
      <c r="Z81" s="1" t="n"/>
      <c r="AA81" s="1" t="n"/>
      <c r="AB81" s="1" t="n"/>
      <c r="AC81" s="1" t="n"/>
      <c r="AD81" s="1"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5" t="n"/>
      <c r="Y82" s="1" t="n"/>
      <c r="Z82" s="1" t="n"/>
      <c r="AA82" s="1" t="n"/>
      <c r="AB82" s="1" t="n"/>
      <c r="AC82" s="1" t="n"/>
      <c r="AD82" s="1"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5" t="n"/>
      <c r="Y83" s="1" t="n"/>
      <c r="Z83" s="1" t="n"/>
      <c r="AA83" s="1" t="n"/>
      <c r="AB83" s="1" t="n"/>
      <c r="AC83" s="1" t="n"/>
      <c r="AD83" s="1" t="n"/>
    </row>
    <row r="84" ht="21.75" customHeight="1" s="311">
      <c r="A84" s="21" t="inlineStr">
        <is>
          <t>4.  ASIGNACIÓN OBJETIVO vs REAL   —   ¿está tu dinero donde tú quieres que esté?</t>
        </is>
      </c>
      <c r="B84" s="22" t="n"/>
      <c r="C84" s="22" t="n"/>
      <c r="D84" s="22" t="n"/>
      <c r="E84" s="22" t="n"/>
      <c r="F84" s="22" t="n"/>
      <c r="G84" s="22" t="n"/>
      <c r="H84" s="22" t="n"/>
      <c r="I84" s="22" t="n"/>
      <c r="J84" s="22" t="n"/>
      <c r="K84" s="145" t="n"/>
      <c r="L84" s="145" t="n"/>
      <c r="M84" s="145" t="n"/>
      <c r="N84" s="145" t="n"/>
      <c r="O84" s="145" t="n"/>
      <c r="P84" s="145" t="n"/>
      <c r="Q84" s="145" t="n"/>
      <c r="R84" s="145" t="n"/>
      <c r="S84" s="145" t="n"/>
      <c r="T84" s="145" t="n"/>
      <c r="U84" s="145" t="n"/>
      <c r="V84" s="145" t="n"/>
      <c r="W84" s="145" t="n"/>
      <c r="X84" s="145" t="n"/>
      <c r="Y84" s="1" t="n"/>
      <c r="Z84" s="1" t="n"/>
      <c r="AA84" s="1" t="n"/>
      <c r="AB84" s="1" t="n"/>
      <c r="AC84" s="1" t="n"/>
      <c r="AD84" s="1" t="n"/>
    </row>
    <row r="85" ht="15.75" customHeight="1" s="311">
      <c r="A85" s="145" t="n"/>
      <c r="B85" s="20" t="inlineStr">
        <is>
          <t>Escribe en «Objetivo %» el reparto que quieres para tu cartera (la suma debe dar 100%). La hoja calcula sola cuánto te sobra o te falta en cada tipo de activo y qué movimiento haría falta para reequilibrar. No hace falta vender: lo normal es corregir con las aportaciones de los próximos meses.</t>
        </is>
      </c>
      <c r="C85" s="145" t="n"/>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5" t="n"/>
      <c r="Y85" s="1" t="n"/>
      <c r="Z85" s="1" t="n"/>
      <c r="AA85" s="1" t="n"/>
      <c r="AB85" s="1" t="n"/>
      <c r="AC85" s="1" t="n"/>
      <c r="AD85" s="1" t="n"/>
    </row>
    <row r="86" ht="25.5" customHeight="1" s="311">
      <c r="A86" s="145" t="n"/>
      <c r="B86" s="33" t="inlineStr">
        <is>
          <t>Tipo de activo</t>
        </is>
      </c>
      <c r="C86" s="33" t="inlineStr">
        <is>
          <t>Objetivo %</t>
        </is>
      </c>
      <c r="D86" s="33" t="inlineStr">
        <is>
          <t>Actual %</t>
        </is>
      </c>
      <c r="E86" s="33" t="inlineStr">
        <is>
          <t>Valor actual (€)</t>
        </is>
      </c>
      <c r="F86" s="33" t="inlineStr">
        <is>
          <t>Objetivo (€)</t>
        </is>
      </c>
      <c r="G86" s="33" t="inlineStr">
        <is>
          <t>Diferencia (€)</t>
        </is>
      </c>
      <c r="H86" s="33" t="inlineStr">
        <is>
          <t>Qué hacer</t>
        </is>
      </c>
      <c r="I86" s="33" t="inlineStr">
        <is>
          <t>Visual</t>
        </is>
      </c>
      <c r="J86" s="145" t="n"/>
      <c r="K86" s="145" t="n"/>
      <c r="L86" s="145" t="n"/>
      <c r="M86" s="145" t="n"/>
      <c r="N86" s="145" t="n"/>
      <c r="O86" s="145" t="n"/>
      <c r="P86" s="145" t="n"/>
      <c r="Q86" s="145" t="n"/>
      <c r="R86" s="145" t="n"/>
      <c r="S86" s="145" t="n"/>
      <c r="T86" s="145" t="n"/>
      <c r="U86" s="145" t="n"/>
      <c r="V86" s="145" t="n"/>
      <c r="W86" s="145" t="n"/>
      <c r="X86" s="145" t="n"/>
      <c r="Y86" s="1" t="n"/>
      <c r="Z86" s="1" t="n"/>
      <c r="AA86" s="1" t="n"/>
      <c r="AB86" s="1" t="n"/>
      <c r="AC86" s="1" t="n"/>
      <c r="AD86" s="1" t="n"/>
    </row>
    <row r="87" ht="15.75" customHeight="1" s="311">
      <c r="A87" s="145" t="n"/>
      <c r="B87" s="46">
        <f>$B70</f>
        <v/>
      </c>
      <c r="C87" s="281" t="n">
        <v>0.25</v>
      </c>
      <c r="D87" s="71">
        <f>IFERROR($D70/$L$48,"")</f>
        <v/>
      </c>
      <c r="E87" s="61">
        <f>$D70</f>
        <v/>
      </c>
      <c r="F87" s="61">
        <f>N($C87)*$L$48</f>
        <v/>
      </c>
      <c r="G87" s="61">
        <f>N($F87)-N($E87)</f>
        <v/>
      </c>
      <c r="H87" s="71">
        <f>IF($L$48=0,"",IF(ABS(N($D87)-N($C87))&lt;0.02,"🟢 En objetivo",IF($G87&gt;0,"🔵 Aportar "&amp;TEXT($G87,"#,##0")&amp;" €","🟠 Reducir "&amp;TEXT(-$G87,"#,##0")&amp;" €")))</f>
        <v/>
      </c>
      <c r="I87" s="134">
        <f>IF($L$48=0,"",REPT("█",ROUND(N($D87)*20,0))&amp;REPT("·",MAX(0,20-ROUND(N($D87)*20,0)))&amp;"  obj "&amp;TEXT($C87,"0%"))</f>
        <v/>
      </c>
      <c r="J87" s="145" t="n"/>
      <c r="K87" s="145" t="n"/>
      <c r="L87" s="145" t="n"/>
      <c r="M87" s="145" t="n"/>
      <c r="N87" s="145" t="n"/>
      <c r="O87" s="145" t="n"/>
      <c r="P87" s="145" t="n"/>
      <c r="Q87" s="145" t="n"/>
      <c r="R87" s="145" t="n"/>
      <c r="S87" s="145" t="n"/>
      <c r="T87" s="145" t="n"/>
      <c r="U87" s="145" t="n"/>
      <c r="V87" s="145" t="n"/>
      <c r="W87" s="145" t="n"/>
      <c r="X87" s="145" t="n"/>
      <c r="Y87" s="1" t="n"/>
      <c r="Z87" s="1" t="n"/>
      <c r="AA87" s="1" t="n"/>
      <c r="AB87" s="1" t="n"/>
      <c r="AC87" s="1" t="n"/>
      <c r="AD87" s="1" t="n"/>
    </row>
    <row r="88" ht="15.75" customHeight="1" s="311">
      <c r="A88" s="145" t="n"/>
      <c r="B88" s="46">
        <f>$B71</f>
        <v/>
      </c>
      <c r="C88" s="281" t="n">
        <v>0.2</v>
      </c>
      <c r="D88" s="71">
        <f>IFERROR($D71/$L$48,"")</f>
        <v/>
      </c>
      <c r="E88" s="61">
        <f>$D71</f>
        <v/>
      </c>
      <c r="F88" s="61">
        <f>N($C88)*$L$48</f>
        <v/>
      </c>
      <c r="G88" s="61">
        <f>N($F88)-N($E88)</f>
        <v/>
      </c>
      <c r="H88" s="71">
        <f>IF($L$48=0,"",IF(ABS(N($D88)-N($C88))&lt;0.02,"🟢 En objetivo",IF($G88&gt;0,"🔵 Aportar "&amp;TEXT($G88,"#,##0")&amp;" €","🟠 Reducir "&amp;TEXT(-$G88,"#,##0")&amp;" €")))</f>
        <v/>
      </c>
      <c r="I88" s="134">
        <f>IF($L$48=0,"",REPT("█",ROUND(N($D88)*20,0))&amp;REPT("·",MAX(0,20-ROUND(N($D88)*20,0)))&amp;"  obj "&amp;TEXT($C88,"0%"))</f>
        <v/>
      </c>
      <c r="J88" s="145" t="n"/>
      <c r="K88" s="145" t="n"/>
      <c r="L88" s="145" t="n"/>
      <c r="M88" s="145" t="n"/>
      <c r="N88" s="145" t="n"/>
      <c r="O88" s="145" t="n"/>
      <c r="P88" s="145" t="n"/>
      <c r="Q88" s="145" t="n"/>
      <c r="R88" s="145" t="n"/>
      <c r="S88" s="145" t="n"/>
      <c r="T88" s="145" t="n"/>
      <c r="U88" s="145" t="n"/>
      <c r="V88" s="145" t="n"/>
      <c r="W88" s="145" t="n"/>
      <c r="X88" s="145" t="n"/>
      <c r="Y88" s="1" t="n"/>
      <c r="Z88" s="1" t="n"/>
      <c r="AA88" s="1" t="n"/>
      <c r="AB88" s="1" t="n"/>
      <c r="AC88" s="1" t="n"/>
      <c r="AD88" s="1" t="n"/>
    </row>
    <row r="89" ht="15.75" customHeight="1" s="311">
      <c r="A89" s="145" t="n"/>
      <c r="B89" s="46">
        <f>$B72</f>
        <v/>
      </c>
      <c r="C89" s="281" t="n">
        <v>0.2</v>
      </c>
      <c r="D89" s="71">
        <f>IFERROR($D72/$L$48,"")</f>
        <v/>
      </c>
      <c r="E89" s="61">
        <f>$D72</f>
        <v/>
      </c>
      <c r="F89" s="61">
        <f>N($C89)*$L$48</f>
        <v/>
      </c>
      <c r="G89" s="61">
        <f>N($F89)-N($E89)</f>
        <v/>
      </c>
      <c r="H89" s="71">
        <f>IF($L$48=0,"",IF(ABS(N($D89)-N($C89))&lt;0.02,"🟢 En objetivo",IF($G89&gt;0,"🔵 Aportar "&amp;TEXT($G89,"#,##0")&amp;" €","🟠 Reducir "&amp;TEXT(-$G89,"#,##0")&amp;" €")))</f>
        <v/>
      </c>
      <c r="I89" s="134">
        <f>IF($L$48=0,"",REPT("█",ROUND(N($D89)*20,0))&amp;REPT("·",MAX(0,20-ROUND(N($D89)*20,0)))&amp;"  obj "&amp;TEXT($C89,"0%"))</f>
        <v/>
      </c>
      <c r="J89" s="145" t="n"/>
      <c r="K89" s="145" t="n"/>
      <c r="L89" s="145" t="n"/>
      <c r="M89" s="145" t="n"/>
      <c r="N89" s="145" t="n"/>
      <c r="O89" s="145" t="n"/>
      <c r="P89" s="145" t="n"/>
      <c r="Q89" s="145" t="n"/>
      <c r="R89" s="145" t="n"/>
      <c r="S89" s="145" t="n"/>
      <c r="T89" s="145" t="n"/>
      <c r="U89" s="145" t="n"/>
      <c r="V89" s="145" t="n"/>
      <c r="W89" s="145" t="n"/>
      <c r="X89" s="145" t="n"/>
      <c r="Y89" s="1" t="n"/>
      <c r="Z89" s="1" t="n"/>
      <c r="AA89" s="1" t="n"/>
      <c r="AB89" s="1" t="n"/>
      <c r="AC89" s="1" t="n"/>
      <c r="AD89" s="1" t="n"/>
    </row>
    <row r="90" ht="15.75" customHeight="1" s="311">
      <c r="A90" s="145" t="n"/>
      <c r="B90" s="46">
        <f>$B73</f>
        <v/>
      </c>
      <c r="C90" s="281" t="n">
        <v>0.05</v>
      </c>
      <c r="D90" s="71">
        <f>IFERROR($D73/$L$48,"")</f>
        <v/>
      </c>
      <c r="E90" s="61">
        <f>$D73</f>
        <v/>
      </c>
      <c r="F90" s="61">
        <f>N($C90)*$L$48</f>
        <v/>
      </c>
      <c r="G90" s="61">
        <f>N($F90)-N($E90)</f>
        <v/>
      </c>
      <c r="H90" s="71">
        <f>IF($L$48=0,"",IF(ABS(N($D90)-N($C90))&lt;0.02,"🟢 En objetivo",IF($G90&gt;0,"🔵 Aportar "&amp;TEXT($G90,"#,##0")&amp;" €","🟠 Reducir "&amp;TEXT(-$G90,"#,##0")&amp;" €")))</f>
        <v/>
      </c>
      <c r="I90" s="134">
        <f>IF($L$48=0,"",REPT("█",ROUND(N($D90)*20,0))&amp;REPT("·",MAX(0,20-ROUND(N($D90)*20,0)))&amp;"  obj "&amp;TEXT($C90,"0%"))</f>
        <v/>
      </c>
      <c r="J90" s="145" t="n"/>
      <c r="K90" s="145" t="n"/>
      <c r="L90" s="145" t="n"/>
      <c r="M90" s="145" t="n"/>
      <c r="N90" s="145" t="n"/>
      <c r="O90" s="145" t="n"/>
      <c r="P90" s="145" t="n"/>
      <c r="Q90" s="145" t="n"/>
      <c r="R90" s="145" t="n"/>
      <c r="S90" s="145" t="n"/>
      <c r="T90" s="145" t="n"/>
      <c r="U90" s="145" t="n"/>
      <c r="V90" s="145" t="n"/>
      <c r="W90" s="145" t="n"/>
      <c r="X90" s="145" t="n"/>
      <c r="Y90" s="1" t="n"/>
      <c r="Z90" s="1" t="n"/>
      <c r="AA90" s="1" t="n"/>
      <c r="AB90" s="1" t="n"/>
      <c r="AC90" s="1" t="n"/>
      <c r="AD90" s="1" t="n"/>
    </row>
    <row r="91" ht="15.75" customHeight="1" s="311">
      <c r="A91" s="145" t="n"/>
      <c r="B91" s="46">
        <f>$B74</f>
        <v/>
      </c>
      <c r="C91" s="281" t="n">
        <v>0.15</v>
      </c>
      <c r="D91" s="71">
        <f>IFERROR($D74/$L$48,"")</f>
        <v/>
      </c>
      <c r="E91" s="61">
        <f>$D74</f>
        <v/>
      </c>
      <c r="F91" s="61">
        <f>N($C91)*$L$48</f>
        <v/>
      </c>
      <c r="G91" s="61">
        <f>N($F91)-N($E91)</f>
        <v/>
      </c>
      <c r="H91" s="71">
        <f>IF($L$48=0,"",IF(ABS(N($D91)-N($C91))&lt;0.02,"🟢 En objetivo",IF($G91&gt;0,"🔵 Aportar "&amp;TEXT($G91,"#,##0")&amp;" €","🟠 Reducir "&amp;TEXT(-$G91,"#,##0")&amp;" €")))</f>
        <v/>
      </c>
      <c r="I91" s="134">
        <f>IF($L$48=0,"",REPT("█",ROUND(N($D91)*20,0))&amp;REPT("·",MAX(0,20-ROUND(N($D91)*20,0)))&amp;"  obj "&amp;TEXT($C91,"0%"))</f>
        <v/>
      </c>
      <c r="J91" s="145" t="n"/>
      <c r="K91" s="145" t="n"/>
      <c r="L91" s="145" t="n"/>
      <c r="M91" s="145" t="n"/>
      <c r="N91" s="145" t="n"/>
      <c r="O91" s="145" t="n"/>
      <c r="P91" s="145" t="n"/>
      <c r="Q91" s="145" t="n"/>
      <c r="R91" s="145" t="n"/>
      <c r="S91" s="145" t="n"/>
      <c r="T91" s="145" t="n"/>
      <c r="U91" s="145" t="n"/>
      <c r="V91" s="145" t="n"/>
      <c r="W91" s="145" t="n"/>
      <c r="X91" s="145" t="n"/>
      <c r="Y91" s="1" t="n"/>
      <c r="Z91" s="1" t="n"/>
      <c r="AA91" s="1" t="n"/>
      <c r="AB91" s="1" t="n"/>
      <c r="AC91" s="1" t="n"/>
      <c r="AD91" s="1" t="n"/>
    </row>
    <row r="92" ht="15.75" customHeight="1" s="311">
      <c r="A92" s="145" t="n"/>
      <c r="B92" s="46">
        <f>$B75</f>
        <v/>
      </c>
      <c r="C92" s="281" t="n">
        <v>0.05</v>
      </c>
      <c r="D92" s="71">
        <f>IFERROR($D75/$L$48,"")</f>
        <v/>
      </c>
      <c r="E92" s="61">
        <f>$D75</f>
        <v/>
      </c>
      <c r="F92" s="61">
        <f>N($C92)*$L$48</f>
        <v/>
      </c>
      <c r="G92" s="61">
        <f>N($F92)-N($E92)</f>
        <v/>
      </c>
      <c r="H92" s="71">
        <f>IF($L$48=0,"",IF(ABS(N($D92)-N($C92))&lt;0.02,"🟢 En objetivo",IF($G92&gt;0,"🔵 Aportar "&amp;TEXT($G92,"#,##0")&amp;" €","🟠 Reducir "&amp;TEXT(-$G92,"#,##0")&amp;" €")))</f>
        <v/>
      </c>
      <c r="I92" s="134">
        <f>IF($L$48=0,"",REPT("█",ROUND(N($D92)*20,0))&amp;REPT("·",MAX(0,20-ROUND(N($D92)*20,0)))&amp;"  obj "&amp;TEXT($C92,"0%"))</f>
        <v/>
      </c>
      <c r="J92" s="145" t="n"/>
      <c r="K92" s="145" t="n"/>
      <c r="L92" s="145" t="n"/>
      <c r="M92" s="145" t="n"/>
      <c r="N92" s="145" t="n"/>
      <c r="O92" s="145" t="n"/>
      <c r="P92" s="145" t="n"/>
      <c r="Q92" s="145" t="n"/>
      <c r="R92" s="145" t="n"/>
      <c r="S92" s="145" t="n"/>
      <c r="T92" s="145" t="n"/>
      <c r="U92" s="145" t="n"/>
      <c r="V92" s="145" t="n"/>
      <c r="W92" s="145" t="n"/>
      <c r="X92" s="145" t="n"/>
      <c r="Y92" s="1" t="n"/>
      <c r="Z92" s="1" t="n"/>
      <c r="AA92" s="1" t="n"/>
      <c r="AB92" s="1" t="n"/>
      <c r="AC92" s="1" t="n"/>
      <c r="AD92" s="1" t="n"/>
    </row>
    <row r="93" ht="15.75" customHeight="1" s="311">
      <c r="A93" s="145" t="n"/>
      <c r="B93" s="46">
        <f>$B76</f>
        <v/>
      </c>
      <c r="C93" s="281" t="n">
        <v>0.05</v>
      </c>
      <c r="D93" s="71">
        <f>IFERROR($D76/$L$48,"")</f>
        <v/>
      </c>
      <c r="E93" s="61">
        <f>$D76</f>
        <v/>
      </c>
      <c r="F93" s="61">
        <f>N($C93)*$L$48</f>
        <v/>
      </c>
      <c r="G93" s="61">
        <f>N($F93)-N($E93)</f>
        <v/>
      </c>
      <c r="H93" s="71">
        <f>IF($L$48=0,"",IF(ABS(N($D93)-N($C93))&lt;0.02,"🟢 En objetivo",IF($G93&gt;0,"🔵 Aportar "&amp;TEXT($G93,"#,##0")&amp;" €","🟠 Reducir "&amp;TEXT(-$G93,"#,##0")&amp;" €")))</f>
        <v/>
      </c>
      <c r="I93" s="134">
        <f>IF($L$48=0,"",REPT("█",ROUND(N($D93)*20,0))&amp;REPT("·",MAX(0,20-ROUND(N($D93)*20,0)))&amp;"  obj "&amp;TEXT($C93,"0%"))</f>
        <v/>
      </c>
      <c r="J93" s="145" t="n"/>
      <c r="K93" s="145" t="n"/>
      <c r="L93" s="145" t="n"/>
      <c r="M93" s="145" t="n"/>
      <c r="N93" s="145" t="n"/>
      <c r="O93" s="145" t="n"/>
      <c r="P93" s="145" t="n"/>
      <c r="Q93" s="145" t="n"/>
      <c r="R93" s="145" t="n"/>
      <c r="S93" s="145" t="n"/>
      <c r="T93" s="145" t="n"/>
      <c r="U93" s="145" t="n"/>
      <c r="V93" s="145" t="n"/>
      <c r="W93" s="145" t="n"/>
      <c r="X93" s="145" t="n"/>
      <c r="Y93" s="1" t="n"/>
      <c r="Z93" s="1" t="n"/>
      <c r="AA93" s="1" t="n"/>
      <c r="AB93" s="1" t="n"/>
      <c r="AC93" s="1" t="n"/>
      <c r="AD93" s="1" t="n"/>
    </row>
    <row r="94" ht="15.75" customHeight="1" s="311">
      <c r="A94" s="145" t="n"/>
      <c r="B94" s="46">
        <f>$B77</f>
        <v/>
      </c>
      <c r="C94" s="281" t="n">
        <v>0.03</v>
      </c>
      <c r="D94" s="71">
        <f>IFERROR($D77/$L$48,"")</f>
        <v/>
      </c>
      <c r="E94" s="61">
        <f>$D77</f>
        <v/>
      </c>
      <c r="F94" s="61">
        <f>N($C94)*$L$48</f>
        <v/>
      </c>
      <c r="G94" s="61">
        <f>N($F94)-N($E94)</f>
        <v/>
      </c>
      <c r="H94" s="71">
        <f>IF($L$48=0,"",IF(ABS(N($D94)-N($C94))&lt;0.02,"🟢 En objetivo",IF($G94&gt;0,"🔵 Aportar "&amp;TEXT($G94,"#,##0")&amp;" €","🟠 Reducir "&amp;TEXT(-$G94,"#,##0")&amp;" €")))</f>
        <v/>
      </c>
      <c r="I94" s="134">
        <f>IF($L$48=0,"",REPT("█",ROUND(N($D94)*20,0))&amp;REPT("·",MAX(0,20-ROUND(N($D94)*20,0)))&amp;"  obj "&amp;TEXT($C94,"0%"))</f>
        <v/>
      </c>
      <c r="J94" s="145" t="n"/>
      <c r="K94" s="145" t="n"/>
      <c r="L94" s="145" t="n"/>
      <c r="M94" s="145" t="n"/>
      <c r="N94" s="145" t="n"/>
      <c r="O94" s="145" t="n"/>
      <c r="P94" s="145" t="n"/>
      <c r="Q94" s="145" t="n"/>
      <c r="R94" s="145" t="n"/>
      <c r="S94" s="145" t="n"/>
      <c r="T94" s="145" t="n"/>
      <c r="U94" s="145" t="n"/>
      <c r="V94" s="145" t="n"/>
      <c r="W94" s="145" t="n"/>
      <c r="X94" s="145" t="n"/>
      <c r="Y94" s="1" t="n"/>
      <c r="Z94" s="1" t="n"/>
      <c r="AA94" s="1" t="n"/>
      <c r="AB94" s="1" t="n"/>
      <c r="AC94" s="1" t="n"/>
      <c r="AD94" s="1" t="n"/>
    </row>
    <row r="95" ht="15.75" customHeight="1" s="311">
      <c r="A95" s="145" t="n"/>
      <c r="B95" s="46">
        <f>$B78</f>
        <v/>
      </c>
      <c r="C95" s="281" t="n">
        <v>0.02</v>
      </c>
      <c r="D95" s="71">
        <f>IFERROR($D78/$L$48,"")</f>
        <v/>
      </c>
      <c r="E95" s="61">
        <f>$D78</f>
        <v/>
      </c>
      <c r="F95" s="61">
        <f>N($C95)*$L$48</f>
        <v/>
      </c>
      <c r="G95" s="61">
        <f>N($F95)-N($E95)</f>
        <v/>
      </c>
      <c r="H95" s="71">
        <f>IF($L$48=0,"",IF(ABS(N($D95)-N($C95))&lt;0.02,"🟢 En objetivo",IF($G95&gt;0,"🔵 Aportar "&amp;TEXT($G95,"#,##0")&amp;" €","🟠 Reducir "&amp;TEXT(-$G95,"#,##0")&amp;" €")))</f>
        <v/>
      </c>
      <c r="I95" s="134">
        <f>IF($L$48=0,"",REPT("█",ROUND(N($D95)*20,0))&amp;REPT("·",MAX(0,20-ROUND(N($D95)*20,0)))&amp;"  obj "&amp;TEXT($C95,"0%"))</f>
        <v/>
      </c>
      <c r="J95" s="145" t="n"/>
      <c r="K95" s="145" t="n"/>
      <c r="L95" s="145" t="n"/>
      <c r="M95" s="145" t="n"/>
      <c r="N95" s="145" t="n"/>
      <c r="O95" s="145" t="n"/>
      <c r="P95" s="145" t="n"/>
      <c r="Q95" s="145" t="n"/>
      <c r="R95" s="145" t="n"/>
      <c r="S95" s="145" t="n"/>
      <c r="T95" s="145" t="n"/>
      <c r="U95" s="145" t="n"/>
      <c r="V95" s="145" t="n"/>
      <c r="W95" s="145" t="n"/>
      <c r="X95" s="145" t="n"/>
      <c r="Y95" s="1" t="n"/>
      <c r="Z95" s="1" t="n"/>
      <c r="AA95" s="1" t="n"/>
      <c r="AB95" s="1" t="n"/>
      <c r="AC95" s="1" t="n"/>
      <c r="AD95" s="1" t="n"/>
    </row>
    <row r="96" ht="15.75" customHeight="1" s="311">
      <c r="A96" s="145" t="n"/>
      <c r="B96" s="46">
        <f>$B79</f>
        <v/>
      </c>
      <c r="C96" s="281" t="n">
        <v>0</v>
      </c>
      <c r="D96" s="71">
        <f>IFERROR($D79/$L$48,"")</f>
        <v/>
      </c>
      <c r="E96" s="61">
        <f>$D79</f>
        <v/>
      </c>
      <c r="F96" s="61">
        <f>N($C96)*$L$48</f>
        <v/>
      </c>
      <c r="G96" s="61">
        <f>N($F96)-N($E96)</f>
        <v/>
      </c>
      <c r="H96" s="71">
        <f>IF($L$48=0,"",IF(ABS(N($D96)-N($C96))&lt;0.02,"🟢 En objetivo",IF($G96&gt;0,"🔵 Aportar "&amp;TEXT($G96,"#,##0")&amp;" €","🟠 Reducir "&amp;TEXT(-$G96,"#,##0")&amp;" €")))</f>
        <v/>
      </c>
      <c r="I96" s="134">
        <f>IF($L$48=0,"",REPT("█",ROUND(N($D96)*20,0))&amp;REPT("·",MAX(0,20-ROUND(N($D96)*20,0)))&amp;"  obj "&amp;TEXT($C96,"0%"))</f>
        <v/>
      </c>
      <c r="J96" s="145" t="n"/>
      <c r="K96" s="145" t="n"/>
      <c r="L96" s="145" t="n"/>
      <c r="M96" s="145" t="n"/>
      <c r="N96" s="145" t="n"/>
      <c r="O96" s="145" t="n"/>
      <c r="P96" s="145" t="n"/>
      <c r="Q96" s="145" t="n"/>
      <c r="R96" s="145" t="n"/>
      <c r="S96" s="145" t="n"/>
      <c r="T96" s="145" t="n"/>
      <c r="U96" s="145" t="n"/>
      <c r="V96" s="145" t="n"/>
      <c r="W96" s="145" t="n"/>
      <c r="X96" s="145" t="n"/>
      <c r="Y96" s="1" t="n"/>
      <c r="Z96" s="1" t="n"/>
      <c r="AA96" s="1" t="n"/>
      <c r="AB96" s="1" t="n"/>
      <c r="AC96" s="1" t="n"/>
      <c r="AD96" s="1" t="n"/>
    </row>
    <row r="97" ht="15.75" customHeight="1" s="311">
      <c r="A97" s="145" t="n"/>
      <c r="B97" s="46">
        <f>$B80</f>
        <v/>
      </c>
      <c r="C97" s="281" t="n">
        <v>0</v>
      </c>
      <c r="D97" s="71">
        <f>IFERROR($D80/$L$48,"")</f>
        <v/>
      </c>
      <c r="E97" s="61">
        <f>$D80</f>
        <v/>
      </c>
      <c r="F97" s="61">
        <f>N($C97)*$L$48</f>
        <v/>
      </c>
      <c r="G97" s="61">
        <f>N($F97)-N($E97)</f>
        <v/>
      </c>
      <c r="H97" s="71">
        <f>IF($L$48=0,"",IF(ABS(N($D97)-N($C97))&lt;0.02,"🟢 En objetivo",IF($G97&gt;0,"🔵 Aportar "&amp;TEXT($G97,"#,##0")&amp;" €","🟠 Reducir "&amp;TEXT(-$G97,"#,##0")&amp;" €")))</f>
        <v/>
      </c>
      <c r="I97" s="134">
        <f>IF($L$48=0,"",REPT("█",ROUND(N($D97)*20,0))&amp;REPT("·",MAX(0,20-ROUND(N($D97)*20,0)))&amp;"  obj "&amp;TEXT($C97,"0%"))</f>
        <v/>
      </c>
      <c r="J97" s="145" t="n"/>
      <c r="K97" s="145" t="n"/>
      <c r="L97" s="145" t="n"/>
      <c r="M97" s="145" t="n"/>
      <c r="N97" s="145" t="n"/>
      <c r="O97" s="145" t="n"/>
      <c r="P97" s="145" t="n"/>
      <c r="Q97" s="145" t="n"/>
      <c r="R97" s="145" t="n"/>
      <c r="S97" s="145" t="n"/>
      <c r="T97" s="145" t="n"/>
      <c r="U97" s="145" t="n"/>
      <c r="V97" s="145" t="n"/>
      <c r="W97" s="145" t="n"/>
      <c r="X97" s="145" t="n"/>
      <c r="Y97" s="1" t="n"/>
      <c r="Z97" s="1" t="n"/>
      <c r="AA97" s="1" t="n"/>
      <c r="AB97" s="1" t="n"/>
      <c r="AC97" s="1" t="n"/>
      <c r="AD97" s="1" t="n"/>
    </row>
    <row r="98" ht="15.75" customHeight="1" s="311">
      <c r="A98" s="145" t="n"/>
      <c r="B98" s="38" t="inlineStr">
        <is>
          <t>TOTAL</t>
        </is>
      </c>
      <c r="C98" s="283">
        <f>SUM($C$87:$C$97)</f>
        <v/>
      </c>
      <c r="D98" s="77">
        <f>IFERROR(SUM($E$87:$E$97)/$L$48,"")</f>
        <v/>
      </c>
      <c r="E98" s="68">
        <f>SUM($E$87:$E$97)</f>
        <v/>
      </c>
      <c r="F98" s="68" t="n"/>
      <c r="G98" s="77" t="n"/>
      <c r="H98" s="77">
        <f>IF(ROUND($C$98,4)=1,"✅ Los objetivos suman 100%","🔴 Los objetivos suman "&amp;TEXT($C$98,"0.0%")&amp;": ajústalos hasta el 100%")</f>
        <v/>
      </c>
      <c r="I98" s="39" t="n"/>
      <c r="J98" s="145" t="n"/>
      <c r="K98" s="145" t="n"/>
      <c r="L98" s="145" t="n"/>
      <c r="M98" s="145" t="n"/>
      <c r="N98" s="145" t="n"/>
      <c r="O98" s="145" t="n"/>
      <c r="P98" s="145" t="n"/>
      <c r="Q98" s="145" t="n"/>
      <c r="R98" s="145" t="n"/>
      <c r="S98" s="145" t="n"/>
      <c r="T98" s="145" t="n"/>
      <c r="U98" s="145" t="n"/>
      <c r="V98" s="145" t="n"/>
      <c r="W98" s="145" t="n"/>
      <c r="X98" s="145" t="n"/>
      <c r="Y98" s="1" t="n"/>
      <c r="Z98" s="1" t="n"/>
      <c r="AA98" s="1" t="n"/>
      <c r="AB98" s="1" t="n"/>
      <c r="AC98" s="1" t="n"/>
      <c r="AD98" s="1" t="n"/>
    </row>
    <row r="99" ht="15.75" customHeight="1" s="311">
      <c r="A99" s="145" t="n"/>
      <c r="B99" s="145" t="n"/>
      <c r="C99" s="145"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5" t="n"/>
      <c r="Y99" s="1" t="n"/>
      <c r="Z99" s="1" t="n"/>
      <c r="AA99" s="1" t="n"/>
      <c r="AB99" s="1" t="n"/>
      <c r="AC99" s="1" t="n"/>
      <c r="AD99" s="1" t="n"/>
    </row>
    <row r="100" ht="21.75" customHeight="1" s="311">
      <c r="A100" s="21" t="inlineStr">
        <is>
          <t>5.  SEGUIMIENTO MENSUAL DEL VALOR   —   la foto de cada mes</t>
        </is>
      </c>
      <c r="B100" s="22" t="n"/>
      <c r="C100" s="22" t="n"/>
      <c r="D100" s="22" t="n"/>
      <c r="E100" s="22" t="n"/>
      <c r="F100" s="22" t="n"/>
      <c r="G100" s="22" t="n"/>
      <c r="H100" s="22" t="n"/>
      <c r="I100" s="22" t="n"/>
      <c r="J100" s="22" t="n"/>
      <c r="K100" s="145" t="n"/>
      <c r="L100" s="145" t="n"/>
      <c r="M100" s="145" t="n"/>
      <c r="N100" s="145" t="n"/>
      <c r="O100" s="145" t="n"/>
      <c r="P100" s="145" t="n"/>
      <c r="Q100" s="145" t="n"/>
      <c r="R100" s="145" t="n"/>
      <c r="S100" s="145" t="n"/>
      <c r="T100" s="145" t="n"/>
      <c r="U100" s="145" t="n"/>
      <c r="V100" s="145" t="n"/>
      <c r="W100" s="145" t="n"/>
      <c r="X100" s="145" t="n"/>
      <c r="Y100" s="1" t="n"/>
      <c r="Z100" s="1" t="n"/>
      <c r="AA100" s="1" t="n"/>
      <c r="AB100" s="1" t="n"/>
      <c r="AC100" s="1" t="n"/>
      <c r="AD100" s="1" t="n"/>
    </row>
    <row r="101" ht="39.75" customHeight="1" s="311">
      <c r="A101" s="145" t="n"/>
      <c r="B101" s="20" t="inlineStr">
        <is>
          <t>Una fila por mes. Solo escribes tres cosas: el mes, el valor total de la cartera ese día y cuánto llevas aportado en total. Lo demás sale solo. Hazlo siempre el mismo día del mes (por ejemplo el día 1) para que la comparación tenga sentido.</t>
        </is>
      </c>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5" t="n"/>
      <c r="Y101" s="1" t="n"/>
      <c r="Z101" s="1" t="n"/>
      <c r="AA101" s="1" t="n"/>
      <c r="AB101" s="1" t="n"/>
      <c r="AC101" s="1" t="n"/>
      <c r="AD101" s="1" t="n"/>
    </row>
    <row r="102" ht="25.5" customHeight="1" s="311">
      <c r="A102" s="145" t="n"/>
      <c r="B102" s="33" t="inlineStr">
        <is>
          <t>Mes (AAAA-MM)</t>
        </is>
      </c>
      <c r="C102" s="33" t="inlineStr">
        <is>
          <t>Valor de la cartera (€)</t>
        </is>
      </c>
      <c r="D102" s="33" t="inlineStr">
        <is>
          <t>Aportado acumulado (€)</t>
        </is>
      </c>
      <c r="E102" s="33" t="inlineStr">
        <is>
          <t>Aportación del mes (€)</t>
        </is>
      </c>
      <c r="F102" s="33" t="inlineStr">
        <is>
          <t>Resultado acumulado (€)</t>
        </is>
      </c>
      <c r="G102" s="33" t="inlineStr">
        <is>
          <t>Variación vs mes anterior</t>
        </is>
      </c>
      <c r="H102" s="33" t="inlineStr">
        <is>
          <t>Rentabilidad acumulada</t>
        </is>
      </c>
      <c r="I102" s="33" t="inlineStr">
        <is>
          <t>Visual</t>
        </is>
      </c>
      <c r="J102" s="145" t="n"/>
      <c r="K102" s="145" t="n"/>
      <c r="L102" s="145" t="n"/>
      <c r="M102" s="145" t="n"/>
      <c r="N102" s="145" t="n"/>
      <c r="O102" s="145" t="n"/>
      <c r="P102" s="145" t="n"/>
      <c r="Q102" s="145" t="n"/>
      <c r="R102" s="145" t="n"/>
      <c r="S102" s="145" t="n"/>
      <c r="T102" s="145" t="n"/>
      <c r="U102" s="145" t="n"/>
      <c r="V102" s="145" t="n"/>
      <c r="W102" s="145" t="n"/>
      <c r="X102" s="145" t="n"/>
      <c r="Y102" s="1" t="n"/>
      <c r="Z102" s="1" t="n"/>
      <c r="AA102" s="1" t="n"/>
      <c r="AB102" s="1" t="n"/>
      <c r="AC102" s="1" t="n"/>
      <c r="AD102" s="1" t="n"/>
    </row>
    <row r="103" ht="15.75" customHeight="1" s="311">
      <c r="A103" s="145" t="n"/>
      <c r="B103" s="46" t="inlineStr">
        <is>
          <t>2026-08</t>
        </is>
      </c>
      <c r="C103" s="284">
        <f>$L$48</f>
        <v/>
      </c>
      <c r="D103" s="61">
        <f>$M$48</f>
        <v/>
      </c>
      <c r="E103" s="61">
        <f>IF($B103="","",N($D103))</f>
        <v/>
      </c>
      <c r="F103" s="61">
        <f>IF($B103="","",N($C103)-N($D103))</f>
        <v/>
      </c>
      <c r="G103" s="71" t="n"/>
      <c r="H103" s="71">
        <f>IF(OR($B103="",N($D103)=0),"",N($F103)/N($D103))</f>
        <v/>
      </c>
      <c r="I103" s="134">
        <f>IF($B103="","",REPT("█",MAX(1,ROUND(N($C103)/MAX($C$103:$C$126)*18,0))))</f>
        <v/>
      </c>
      <c r="J103" s="145" t="n"/>
      <c r="K103" s="145" t="n"/>
      <c r="L103" s="145" t="n"/>
      <c r="M103" s="145" t="n"/>
      <c r="N103" s="145" t="n"/>
      <c r="O103" s="145" t="n"/>
      <c r="P103" s="145" t="n"/>
      <c r="Q103" s="145" t="n"/>
      <c r="R103" s="145" t="n"/>
      <c r="S103" s="145" t="n"/>
      <c r="T103" s="145" t="n"/>
      <c r="U103" s="145" t="n"/>
      <c r="V103" s="145" t="n"/>
      <c r="W103" s="145" t="n"/>
      <c r="X103" s="145" t="n"/>
      <c r="Y103" s="1" t="n"/>
      <c r="Z103" s="1" t="n"/>
      <c r="AA103" s="1" t="n"/>
      <c r="AB103" s="1" t="n"/>
      <c r="AC103" s="1" t="n"/>
      <c r="AD103" s="1" t="n"/>
    </row>
    <row r="104" ht="15.75" customHeight="1" s="311">
      <c r="A104" s="145" t="n"/>
      <c r="B104" s="46" t="n"/>
      <c r="C104" s="284" t="n"/>
      <c r="D104" s="61" t="n"/>
      <c r="E104" s="61">
        <f>IF($B104="","",N($D104)-N($D103))</f>
        <v/>
      </c>
      <c r="F104" s="61">
        <f>IF($B104="","",N($C104)-N($D104))</f>
        <v/>
      </c>
      <c r="G104" s="71">
        <f>IF(OR($B104="",N($C103)=0),"",N($C104)/N($C103)-1)</f>
        <v/>
      </c>
      <c r="H104" s="71">
        <f>IF(OR($B104="",N($D104)=0),"",N($F104)/N($D104))</f>
        <v/>
      </c>
      <c r="I104" s="134">
        <f>IF($B104="","",REPT("█",MAX(1,ROUND(N($C104)/MAX($C$103:$C$126)*18,0))))</f>
        <v/>
      </c>
      <c r="J104" s="145" t="n"/>
      <c r="K104" s="145" t="n"/>
      <c r="L104" s="145" t="n"/>
      <c r="M104" s="145" t="n"/>
      <c r="N104" s="145" t="n"/>
      <c r="O104" s="145" t="n"/>
      <c r="P104" s="145" t="n"/>
      <c r="Q104" s="145" t="n"/>
      <c r="R104" s="145" t="n"/>
      <c r="S104" s="145" t="n"/>
      <c r="T104" s="145" t="n"/>
      <c r="U104" s="145" t="n"/>
      <c r="V104" s="145" t="n"/>
      <c r="W104" s="145" t="n"/>
      <c r="X104" s="145" t="n"/>
      <c r="Y104" s="1" t="n"/>
      <c r="Z104" s="1" t="n"/>
      <c r="AA104" s="1" t="n"/>
      <c r="AB104" s="1" t="n"/>
      <c r="AC104" s="1" t="n"/>
      <c r="AD104" s="1" t="n"/>
    </row>
    <row r="105" ht="15.75" customHeight="1" s="311">
      <c r="A105" s="145" t="n"/>
      <c r="B105" s="46" t="n"/>
      <c r="C105" s="284" t="n"/>
      <c r="D105" s="61" t="n"/>
      <c r="E105" s="61">
        <f>IF($B105="","",N($D105)-N($D104))</f>
        <v/>
      </c>
      <c r="F105" s="61">
        <f>IF($B105="","",N($C105)-N($D105))</f>
        <v/>
      </c>
      <c r="G105" s="71">
        <f>IF(OR($B105="",N($C104)=0),"",N($C105)/N($C104)-1)</f>
        <v/>
      </c>
      <c r="H105" s="71">
        <f>IF(OR($B105="",N($D105)=0),"",N($F105)/N($D105))</f>
        <v/>
      </c>
      <c r="I105" s="134">
        <f>IF($B105="","",REPT("█",MAX(1,ROUND(N($C105)/MAX($C$103:$C$126)*18,0))))</f>
        <v/>
      </c>
      <c r="J105" s="145" t="n"/>
      <c r="K105" s="145" t="n"/>
      <c r="L105" s="145" t="n"/>
      <c r="M105" s="145" t="n"/>
      <c r="N105" s="145" t="n"/>
      <c r="O105" s="145" t="n"/>
      <c r="P105" s="145" t="n"/>
      <c r="Q105" s="145" t="n"/>
      <c r="R105" s="145" t="n"/>
      <c r="S105" s="145" t="n"/>
      <c r="T105" s="145" t="n"/>
      <c r="U105" s="145" t="n"/>
      <c r="V105" s="145" t="n"/>
      <c r="W105" s="145" t="n"/>
      <c r="X105" s="145" t="n"/>
      <c r="Y105" s="1" t="n"/>
      <c r="Z105" s="1" t="n"/>
      <c r="AA105" s="1" t="n"/>
      <c r="AB105" s="1" t="n"/>
      <c r="AC105" s="1" t="n"/>
      <c r="AD105" s="1" t="n"/>
    </row>
    <row r="106" ht="15.75" customHeight="1" s="311">
      <c r="A106" s="145" t="n"/>
      <c r="B106" s="46" t="n"/>
      <c r="C106" s="284" t="n"/>
      <c r="D106" s="61" t="n"/>
      <c r="E106" s="61">
        <f>IF($B106="","",N($D106)-N($D105))</f>
        <v/>
      </c>
      <c r="F106" s="61">
        <f>IF($B106="","",N($C106)-N($D106))</f>
        <v/>
      </c>
      <c r="G106" s="71">
        <f>IF(OR($B106="",N($C105)=0),"",N($C106)/N($C105)-1)</f>
        <v/>
      </c>
      <c r="H106" s="71">
        <f>IF(OR($B106="",N($D106)=0),"",N($F106)/N($D106))</f>
        <v/>
      </c>
      <c r="I106" s="134">
        <f>IF($B106="","",REPT("█",MAX(1,ROUND(N($C106)/MAX($C$103:$C$126)*18,0))))</f>
        <v/>
      </c>
      <c r="J106" s="145" t="n"/>
      <c r="K106" s="145" t="n"/>
      <c r="L106" s="145" t="n"/>
      <c r="M106" s="145" t="n"/>
      <c r="N106" s="145" t="n"/>
      <c r="O106" s="145" t="n"/>
      <c r="P106" s="145" t="n"/>
      <c r="Q106" s="145" t="n"/>
      <c r="R106" s="145" t="n"/>
      <c r="S106" s="145" t="n"/>
      <c r="T106" s="145" t="n"/>
      <c r="U106" s="145" t="n"/>
      <c r="V106" s="145" t="n"/>
      <c r="W106" s="145" t="n"/>
      <c r="X106" s="145" t="n"/>
      <c r="Y106" s="1" t="n"/>
      <c r="Z106" s="1" t="n"/>
      <c r="AA106" s="1" t="n"/>
      <c r="AB106" s="1" t="n"/>
      <c r="AC106" s="1" t="n"/>
      <c r="AD106" s="1" t="n"/>
    </row>
    <row r="107" ht="15.75" customHeight="1" s="311">
      <c r="A107" s="145" t="n"/>
      <c r="B107" s="46" t="n"/>
      <c r="C107" s="284" t="n"/>
      <c r="D107" s="61" t="n"/>
      <c r="E107" s="61">
        <f>IF($B107="","",N($D107)-N($D106))</f>
        <v/>
      </c>
      <c r="F107" s="61">
        <f>IF($B107="","",N($C107)-N($D107))</f>
        <v/>
      </c>
      <c r="G107" s="71">
        <f>IF(OR($B107="",N($C106)=0),"",N($C107)/N($C106)-1)</f>
        <v/>
      </c>
      <c r="H107" s="71">
        <f>IF(OR($B107="",N($D107)=0),"",N($F107)/N($D107))</f>
        <v/>
      </c>
      <c r="I107" s="134">
        <f>IF($B107="","",REPT("█",MAX(1,ROUND(N($C107)/MAX($C$103:$C$126)*18,0))))</f>
        <v/>
      </c>
      <c r="J107" s="145" t="n"/>
      <c r="K107" s="145" t="n"/>
      <c r="L107" s="145" t="n"/>
      <c r="M107" s="145" t="n"/>
      <c r="N107" s="145" t="n"/>
      <c r="O107" s="145" t="n"/>
      <c r="P107" s="145" t="n"/>
      <c r="Q107" s="145" t="n"/>
      <c r="R107" s="145" t="n"/>
      <c r="S107" s="145" t="n"/>
      <c r="T107" s="145" t="n"/>
      <c r="U107" s="145" t="n"/>
      <c r="V107" s="145" t="n"/>
      <c r="W107" s="145" t="n"/>
      <c r="X107" s="145" t="n"/>
      <c r="Y107" s="1" t="n"/>
      <c r="Z107" s="1" t="n"/>
      <c r="AA107" s="1" t="n"/>
      <c r="AB107" s="1" t="n"/>
      <c r="AC107" s="1" t="n"/>
      <c r="AD107" s="1" t="n"/>
    </row>
    <row r="108" ht="15.75" customHeight="1" s="311">
      <c r="A108" s="145" t="n"/>
      <c r="B108" s="46" t="n"/>
      <c r="C108" s="284" t="n"/>
      <c r="D108" s="61" t="n"/>
      <c r="E108" s="61">
        <f>IF($B108="","",N($D108)-N($D107))</f>
        <v/>
      </c>
      <c r="F108" s="61">
        <f>IF($B108="","",N($C108)-N($D108))</f>
        <v/>
      </c>
      <c r="G108" s="71">
        <f>IF(OR($B108="",N($C107)=0),"",N($C108)/N($C107)-1)</f>
        <v/>
      </c>
      <c r="H108" s="71">
        <f>IF(OR($B108="",N($D108)=0),"",N($F108)/N($D108))</f>
        <v/>
      </c>
      <c r="I108" s="134">
        <f>IF($B108="","",REPT("█",MAX(1,ROUND(N($C108)/MAX($C$103:$C$126)*18,0))))</f>
        <v/>
      </c>
      <c r="J108" s="145" t="n"/>
      <c r="K108" s="145" t="n"/>
      <c r="L108" s="145" t="n"/>
      <c r="M108" s="145" t="n"/>
      <c r="N108" s="145" t="n"/>
      <c r="O108" s="145" t="n"/>
      <c r="P108" s="145" t="n"/>
      <c r="Q108" s="145" t="n"/>
      <c r="R108" s="145" t="n"/>
      <c r="S108" s="145" t="n"/>
      <c r="T108" s="145" t="n"/>
      <c r="U108" s="145" t="n"/>
      <c r="V108" s="145" t="n"/>
      <c r="W108" s="145" t="n"/>
      <c r="X108" s="145" t="n"/>
      <c r="Y108" s="1" t="n"/>
      <c r="Z108" s="1" t="n"/>
      <c r="AA108" s="1" t="n"/>
      <c r="AB108" s="1" t="n"/>
      <c r="AC108" s="1" t="n"/>
      <c r="AD108" s="1" t="n"/>
    </row>
    <row r="109" ht="15.75" customHeight="1" s="311">
      <c r="A109" s="145" t="n"/>
      <c r="B109" s="46" t="n"/>
      <c r="C109" s="284" t="n"/>
      <c r="D109" s="61" t="n"/>
      <c r="E109" s="61">
        <f>IF($B109="","",N($D109)-N($D108))</f>
        <v/>
      </c>
      <c r="F109" s="61">
        <f>IF($B109="","",N($C109)-N($D109))</f>
        <v/>
      </c>
      <c r="G109" s="71">
        <f>IF(OR($B109="",N($C108)=0),"",N($C109)/N($C108)-1)</f>
        <v/>
      </c>
      <c r="H109" s="71">
        <f>IF(OR($B109="",N($D109)=0),"",N($F109)/N($D109))</f>
        <v/>
      </c>
      <c r="I109" s="134">
        <f>IF($B109="","",REPT("█",MAX(1,ROUND(N($C109)/MAX($C$103:$C$126)*18,0))))</f>
        <v/>
      </c>
      <c r="J109" s="145" t="n"/>
      <c r="K109" s="145" t="n"/>
      <c r="L109" s="145" t="n"/>
      <c r="M109" s="145" t="n"/>
      <c r="N109" s="145" t="n"/>
      <c r="O109" s="145" t="n"/>
      <c r="P109" s="145" t="n"/>
      <c r="Q109" s="145" t="n"/>
      <c r="R109" s="145" t="n"/>
      <c r="S109" s="145" t="n"/>
      <c r="T109" s="145" t="n"/>
      <c r="U109" s="145" t="n"/>
      <c r="V109" s="145" t="n"/>
      <c r="W109" s="145" t="n"/>
      <c r="X109" s="145" t="n"/>
      <c r="Y109" s="1" t="n"/>
      <c r="Z109" s="1" t="n"/>
      <c r="AA109" s="1" t="n"/>
      <c r="AB109" s="1" t="n"/>
      <c r="AC109" s="1" t="n"/>
      <c r="AD109" s="1" t="n"/>
    </row>
    <row r="110" ht="15.75" customHeight="1" s="311">
      <c r="A110" s="145" t="n"/>
      <c r="B110" s="46" t="n"/>
      <c r="C110" s="284" t="n"/>
      <c r="D110" s="61" t="n"/>
      <c r="E110" s="61">
        <f>IF($B110="","",N($D110)-N($D109))</f>
        <v/>
      </c>
      <c r="F110" s="61">
        <f>IF($B110="","",N($C110)-N($D110))</f>
        <v/>
      </c>
      <c r="G110" s="71">
        <f>IF(OR($B110="",N($C109)=0),"",N($C110)/N($C109)-1)</f>
        <v/>
      </c>
      <c r="H110" s="71">
        <f>IF(OR($B110="",N($D110)=0),"",N($F110)/N($D110))</f>
        <v/>
      </c>
      <c r="I110" s="134">
        <f>IF($B110="","",REPT("█",MAX(1,ROUND(N($C110)/MAX($C$103:$C$126)*18,0))))</f>
        <v/>
      </c>
      <c r="J110" s="145" t="n"/>
      <c r="K110" s="145" t="n"/>
      <c r="L110" s="145" t="n"/>
      <c r="M110" s="145" t="n"/>
      <c r="N110" s="145" t="n"/>
      <c r="O110" s="145" t="n"/>
      <c r="P110" s="145" t="n"/>
      <c r="Q110" s="145" t="n"/>
      <c r="R110" s="145" t="n"/>
      <c r="S110" s="145" t="n"/>
      <c r="T110" s="145" t="n"/>
      <c r="U110" s="145" t="n"/>
      <c r="V110" s="145" t="n"/>
      <c r="W110" s="145" t="n"/>
      <c r="X110" s="145" t="n"/>
      <c r="Y110" s="1" t="n"/>
      <c r="Z110" s="1" t="n"/>
      <c r="AA110" s="1" t="n"/>
      <c r="AB110" s="1" t="n"/>
      <c r="AC110" s="1" t="n"/>
      <c r="AD110" s="1" t="n"/>
    </row>
    <row r="111" ht="15.75" customHeight="1" s="311">
      <c r="A111" s="145" t="n"/>
      <c r="B111" s="46" t="n"/>
      <c r="C111" s="284" t="n"/>
      <c r="D111" s="61" t="n"/>
      <c r="E111" s="61">
        <f>IF($B111="","",N($D111)-N($D110))</f>
        <v/>
      </c>
      <c r="F111" s="61">
        <f>IF($B111="","",N($C111)-N($D111))</f>
        <v/>
      </c>
      <c r="G111" s="71">
        <f>IF(OR($B111="",N($C110)=0),"",N($C111)/N($C110)-1)</f>
        <v/>
      </c>
      <c r="H111" s="71">
        <f>IF(OR($B111="",N($D111)=0),"",N($F111)/N($D111))</f>
        <v/>
      </c>
      <c r="I111" s="134">
        <f>IF($B111="","",REPT("█",MAX(1,ROUND(N($C111)/MAX($C$103:$C$126)*18,0))))</f>
        <v/>
      </c>
      <c r="J111" s="145" t="n"/>
      <c r="K111" s="145" t="n"/>
      <c r="L111" s="145" t="n"/>
      <c r="M111" s="145" t="n"/>
      <c r="N111" s="145" t="n"/>
      <c r="O111" s="145" t="n"/>
      <c r="P111" s="145" t="n"/>
      <c r="Q111" s="145" t="n"/>
      <c r="R111" s="145" t="n"/>
      <c r="S111" s="145" t="n"/>
      <c r="T111" s="145" t="n"/>
      <c r="U111" s="145" t="n"/>
      <c r="V111" s="145" t="n"/>
      <c r="W111" s="145" t="n"/>
      <c r="X111" s="145" t="n"/>
      <c r="Y111" s="1" t="n"/>
      <c r="Z111" s="1" t="n"/>
      <c r="AA111" s="1" t="n"/>
      <c r="AB111" s="1" t="n"/>
      <c r="AC111" s="1" t="n"/>
      <c r="AD111" s="1" t="n"/>
    </row>
    <row r="112" ht="15.75" customHeight="1" s="311">
      <c r="A112" s="145" t="n"/>
      <c r="B112" s="46" t="n"/>
      <c r="C112" s="284" t="n"/>
      <c r="D112" s="61" t="n"/>
      <c r="E112" s="61">
        <f>IF($B112="","",N($D112)-N($D111))</f>
        <v/>
      </c>
      <c r="F112" s="61">
        <f>IF($B112="","",N($C112)-N($D112))</f>
        <v/>
      </c>
      <c r="G112" s="71">
        <f>IF(OR($B112="",N($C111)=0),"",N($C112)/N($C111)-1)</f>
        <v/>
      </c>
      <c r="H112" s="71">
        <f>IF(OR($B112="",N($D112)=0),"",N($F112)/N($D112))</f>
        <v/>
      </c>
      <c r="I112" s="134">
        <f>IF($B112="","",REPT("█",MAX(1,ROUND(N($C112)/MAX($C$103:$C$126)*18,0))))</f>
        <v/>
      </c>
      <c r="J112" s="145" t="n"/>
      <c r="K112" s="145" t="n"/>
      <c r="L112" s="145" t="n"/>
      <c r="M112" s="145" t="n"/>
      <c r="N112" s="145" t="n"/>
      <c r="O112" s="145" t="n"/>
      <c r="P112" s="145" t="n"/>
      <c r="Q112" s="145" t="n"/>
      <c r="R112" s="145" t="n"/>
      <c r="S112" s="145" t="n"/>
      <c r="T112" s="145" t="n"/>
      <c r="U112" s="145" t="n"/>
      <c r="V112" s="145" t="n"/>
      <c r="W112" s="145" t="n"/>
      <c r="X112" s="145" t="n"/>
      <c r="Y112" s="1" t="n"/>
      <c r="Z112" s="1" t="n"/>
      <c r="AA112" s="1" t="n"/>
      <c r="AB112" s="1" t="n"/>
      <c r="AC112" s="1" t="n"/>
      <c r="AD112" s="1" t="n"/>
    </row>
    <row r="113" ht="15.75" customHeight="1" s="311">
      <c r="A113" s="145" t="n"/>
      <c r="B113" s="46" t="n"/>
      <c r="C113" s="284" t="n"/>
      <c r="D113" s="61" t="n"/>
      <c r="E113" s="61">
        <f>IF($B113="","",N($D113)-N($D112))</f>
        <v/>
      </c>
      <c r="F113" s="61">
        <f>IF($B113="","",N($C113)-N($D113))</f>
        <v/>
      </c>
      <c r="G113" s="71">
        <f>IF(OR($B113="",N($C112)=0),"",N($C113)/N($C112)-1)</f>
        <v/>
      </c>
      <c r="H113" s="71">
        <f>IF(OR($B113="",N($D113)=0),"",N($F113)/N($D113))</f>
        <v/>
      </c>
      <c r="I113" s="134">
        <f>IF($B113="","",REPT("█",MAX(1,ROUND(N($C113)/MAX($C$103:$C$126)*18,0))))</f>
        <v/>
      </c>
      <c r="J113" s="145" t="n"/>
      <c r="K113" s="145" t="n"/>
      <c r="L113" s="145" t="n"/>
      <c r="M113" s="145" t="n"/>
      <c r="N113" s="145" t="n"/>
      <c r="O113" s="145" t="n"/>
      <c r="P113" s="145" t="n"/>
      <c r="Q113" s="145" t="n"/>
      <c r="R113" s="145" t="n"/>
      <c r="S113" s="145" t="n"/>
      <c r="T113" s="145" t="n"/>
      <c r="U113" s="145" t="n"/>
      <c r="V113" s="145" t="n"/>
      <c r="W113" s="145" t="n"/>
      <c r="X113" s="145" t="n"/>
      <c r="Y113" s="1" t="n"/>
      <c r="Z113" s="1" t="n"/>
      <c r="AA113" s="1" t="n"/>
      <c r="AB113" s="1" t="n"/>
      <c r="AC113" s="1" t="n"/>
      <c r="AD113" s="1" t="n"/>
    </row>
    <row r="114" ht="15.75" customHeight="1" s="311">
      <c r="A114" s="145" t="n"/>
      <c r="B114" s="46" t="n"/>
      <c r="C114" s="284" t="n"/>
      <c r="D114" s="61" t="n"/>
      <c r="E114" s="61">
        <f>IF($B114="","",N($D114)-N($D113))</f>
        <v/>
      </c>
      <c r="F114" s="61">
        <f>IF($B114="","",N($C114)-N($D114))</f>
        <v/>
      </c>
      <c r="G114" s="71">
        <f>IF(OR($B114="",N($C113)=0),"",N($C114)/N($C113)-1)</f>
        <v/>
      </c>
      <c r="H114" s="71">
        <f>IF(OR($B114="",N($D114)=0),"",N($F114)/N($D114))</f>
        <v/>
      </c>
      <c r="I114" s="134">
        <f>IF($B114="","",REPT("█",MAX(1,ROUND(N($C114)/MAX($C$103:$C$126)*18,0))))</f>
        <v/>
      </c>
      <c r="J114" s="145" t="n"/>
      <c r="K114" s="145" t="n"/>
      <c r="L114" s="145" t="n"/>
      <c r="M114" s="145" t="n"/>
      <c r="N114" s="145" t="n"/>
      <c r="O114" s="145" t="n"/>
      <c r="P114" s="145" t="n"/>
      <c r="Q114" s="145" t="n"/>
      <c r="R114" s="145" t="n"/>
      <c r="S114" s="145" t="n"/>
      <c r="T114" s="145" t="n"/>
      <c r="U114" s="145" t="n"/>
      <c r="V114" s="145" t="n"/>
      <c r="W114" s="145" t="n"/>
      <c r="X114" s="145" t="n"/>
      <c r="Y114" s="1" t="n"/>
      <c r="Z114" s="1" t="n"/>
      <c r="AA114" s="1" t="n"/>
      <c r="AB114" s="1" t="n"/>
      <c r="AC114" s="1" t="n"/>
      <c r="AD114" s="1" t="n"/>
    </row>
    <row r="115" ht="15.75" customHeight="1" s="311">
      <c r="A115" s="145" t="n"/>
      <c r="B115" s="46" t="n"/>
      <c r="C115" s="284" t="n"/>
      <c r="D115" s="61" t="n"/>
      <c r="E115" s="61">
        <f>IF($B115="","",N($D115)-N($D114))</f>
        <v/>
      </c>
      <c r="F115" s="61">
        <f>IF($B115="","",N($C115)-N($D115))</f>
        <v/>
      </c>
      <c r="G115" s="71">
        <f>IF(OR($B115="",N($C114)=0),"",N($C115)/N($C114)-1)</f>
        <v/>
      </c>
      <c r="H115" s="71">
        <f>IF(OR($B115="",N($D115)=0),"",N($F115)/N($D115))</f>
        <v/>
      </c>
      <c r="I115" s="134">
        <f>IF($B115="","",REPT("█",MAX(1,ROUND(N($C115)/MAX($C$103:$C$126)*18,0))))</f>
        <v/>
      </c>
      <c r="J115" s="145" t="n"/>
      <c r="K115" s="145" t="n"/>
      <c r="L115" s="145" t="n"/>
      <c r="M115" s="145" t="n"/>
      <c r="N115" s="145" t="n"/>
      <c r="O115" s="145" t="n"/>
      <c r="P115" s="145" t="n"/>
      <c r="Q115" s="145" t="n"/>
      <c r="R115" s="145" t="n"/>
      <c r="S115" s="145" t="n"/>
      <c r="T115" s="145" t="n"/>
      <c r="U115" s="145" t="n"/>
      <c r="V115" s="145" t="n"/>
      <c r="W115" s="145" t="n"/>
      <c r="X115" s="145" t="n"/>
      <c r="Y115" s="1" t="n"/>
      <c r="Z115" s="1" t="n"/>
      <c r="AA115" s="1" t="n"/>
      <c r="AB115" s="1" t="n"/>
      <c r="AC115" s="1" t="n"/>
      <c r="AD115" s="1" t="n"/>
    </row>
    <row r="116" ht="15.75" customHeight="1" s="311">
      <c r="A116" s="145" t="n"/>
      <c r="B116" s="46" t="n"/>
      <c r="C116" s="284" t="n"/>
      <c r="D116" s="61" t="n"/>
      <c r="E116" s="61">
        <f>IF($B116="","",N($D116)-N($D115))</f>
        <v/>
      </c>
      <c r="F116" s="61">
        <f>IF($B116="","",N($C116)-N($D116))</f>
        <v/>
      </c>
      <c r="G116" s="71">
        <f>IF(OR($B116="",N($C115)=0),"",N($C116)/N($C115)-1)</f>
        <v/>
      </c>
      <c r="H116" s="71">
        <f>IF(OR($B116="",N($D116)=0),"",N($F116)/N($D116))</f>
        <v/>
      </c>
      <c r="I116" s="134">
        <f>IF($B116="","",REPT("█",MAX(1,ROUND(N($C116)/MAX($C$103:$C$126)*18,0))))</f>
        <v/>
      </c>
      <c r="J116" s="145" t="n"/>
      <c r="K116" s="145" t="n"/>
      <c r="L116" s="145" t="n"/>
      <c r="M116" s="145" t="n"/>
      <c r="N116" s="145" t="n"/>
      <c r="O116" s="145" t="n"/>
      <c r="P116" s="145" t="n"/>
      <c r="Q116" s="145" t="n"/>
      <c r="R116" s="145" t="n"/>
      <c r="S116" s="145" t="n"/>
      <c r="T116" s="145" t="n"/>
      <c r="U116" s="145" t="n"/>
      <c r="V116" s="145" t="n"/>
      <c r="W116" s="145" t="n"/>
      <c r="X116" s="145" t="n"/>
      <c r="Y116" s="1" t="n"/>
      <c r="Z116" s="1" t="n"/>
      <c r="AA116" s="1" t="n"/>
      <c r="AB116" s="1" t="n"/>
      <c r="AC116" s="1" t="n"/>
      <c r="AD116" s="1" t="n"/>
    </row>
    <row r="117" ht="15.75" customHeight="1" s="311">
      <c r="A117" s="145" t="n"/>
      <c r="B117" s="46" t="n"/>
      <c r="C117" s="284" t="n"/>
      <c r="D117" s="61" t="n"/>
      <c r="E117" s="61">
        <f>IF($B117="","",N($D117)-N($D116))</f>
        <v/>
      </c>
      <c r="F117" s="61">
        <f>IF($B117="","",N($C117)-N($D117))</f>
        <v/>
      </c>
      <c r="G117" s="71">
        <f>IF(OR($B117="",N($C116)=0),"",N($C117)/N($C116)-1)</f>
        <v/>
      </c>
      <c r="H117" s="71">
        <f>IF(OR($B117="",N($D117)=0),"",N($F117)/N($D117))</f>
        <v/>
      </c>
      <c r="I117" s="134">
        <f>IF($B117="","",REPT("█",MAX(1,ROUND(N($C117)/MAX($C$103:$C$126)*18,0))))</f>
        <v/>
      </c>
      <c r="J117" s="145" t="n"/>
      <c r="K117" s="145" t="n"/>
      <c r="L117" s="145" t="n"/>
      <c r="M117" s="145" t="n"/>
      <c r="N117" s="145" t="n"/>
      <c r="O117" s="145" t="n"/>
      <c r="P117" s="145" t="n"/>
      <c r="Q117" s="145" t="n"/>
      <c r="R117" s="145" t="n"/>
      <c r="S117" s="145" t="n"/>
      <c r="T117" s="145" t="n"/>
      <c r="U117" s="145" t="n"/>
      <c r="V117" s="145" t="n"/>
      <c r="W117" s="145" t="n"/>
      <c r="X117" s="145" t="n"/>
      <c r="Y117" s="1" t="n"/>
      <c r="Z117" s="1" t="n"/>
      <c r="AA117" s="1" t="n"/>
      <c r="AB117" s="1" t="n"/>
      <c r="AC117" s="1" t="n"/>
      <c r="AD117" s="1" t="n"/>
    </row>
    <row r="118" ht="15.75" customHeight="1" s="311">
      <c r="A118" s="145" t="n"/>
      <c r="B118" s="46" t="n"/>
      <c r="C118" s="284" t="n"/>
      <c r="D118" s="61" t="n"/>
      <c r="E118" s="61">
        <f>IF($B118="","",N($D118)-N($D117))</f>
        <v/>
      </c>
      <c r="F118" s="61">
        <f>IF($B118="","",N($C118)-N($D118))</f>
        <v/>
      </c>
      <c r="G118" s="71">
        <f>IF(OR($B118="",N($C117)=0),"",N($C118)/N($C117)-1)</f>
        <v/>
      </c>
      <c r="H118" s="71">
        <f>IF(OR($B118="",N($D118)=0),"",N($F118)/N($D118))</f>
        <v/>
      </c>
      <c r="I118" s="134">
        <f>IF($B118="","",REPT("█",MAX(1,ROUND(N($C118)/MAX($C$103:$C$126)*18,0))))</f>
        <v/>
      </c>
      <c r="J118" s="145" t="n"/>
      <c r="K118" s="145" t="n"/>
      <c r="L118" s="145" t="n"/>
      <c r="M118" s="145" t="n"/>
      <c r="N118" s="145" t="n"/>
      <c r="O118" s="145" t="n"/>
      <c r="P118" s="145" t="n"/>
      <c r="Q118" s="145" t="n"/>
      <c r="R118" s="145" t="n"/>
      <c r="S118" s="145" t="n"/>
      <c r="T118" s="145" t="n"/>
      <c r="U118" s="145" t="n"/>
      <c r="V118" s="145" t="n"/>
      <c r="W118" s="145" t="n"/>
      <c r="X118" s="145" t="n"/>
      <c r="Y118" s="1" t="n"/>
      <c r="Z118" s="1" t="n"/>
      <c r="AA118" s="1" t="n"/>
      <c r="AB118" s="1" t="n"/>
      <c r="AC118" s="1" t="n"/>
      <c r="AD118" s="1" t="n"/>
    </row>
    <row r="119" ht="15.75" customHeight="1" s="311">
      <c r="A119" s="145" t="n"/>
      <c r="B119" s="46" t="n"/>
      <c r="C119" s="284" t="n"/>
      <c r="D119" s="61" t="n"/>
      <c r="E119" s="61">
        <f>IF($B119="","",N($D119)-N($D118))</f>
        <v/>
      </c>
      <c r="F119" s="61">
        <f>IF($B119="","",N($C119)-N($D119))</f>
        <v/>
      </c>
      <c r="G119" s="71">
        <f>IF(OR($B119="",N($C118)=0),"",N($C119)/N($C118)-1)</f>
        <v/>
      </c>
      <c r="H119" s="71">
        <f>IF(OR($B119="",N($D119)=0),"",N($F119)/N($D119))</f>
        <v/>
      </c>
      <c r="I119" s="134">
        <f>IF($B119="","",REPT("█",MAX(1,ROUND(N($C119)/MAX($C$103:$C$126)*18,0))))</f>
        <v/>
      </c>
      <c r="J119" s="145" t="n"/>
      <c r="K119" s="145" t="n"/>
      <c r="L119" s="145" t="n"/>
      <c r="M119" s="145" t="n"/>
      <c r="N119" s="145" t="n"/>
      <c r="O119" s="145" t="n"/>
      <c r="P119" s="145" t="n"/>
      <c r="Q119" s="145" t="n"/>
      <c r="R119" s="145" t="n"/>
      <c r="S119" s="145" t="n"/>
      <c r="T119" s="145" t="n"/>
      <c r="U119" s="145" t="n"/>
      <c r="V119" s="145" t="n"/>
      <c r="W119" s="145" t="n"/>
      <c r="X119" s="145" t="n"/>
      <c r="Y119" s="1" t="n"/>
      <c r="Z119" s="1" t="n"/>
      <c r="AA119" s="1" t="n"/>
      <c r="AB119" s="1" t="n"/>
      <c r="AC119" s="1" t="n"/>
      <c r="AD119" s="1" t="n"/>
    </row>
    <row r="120" ht="15.75" customHeight="1" s="311">
      <c r="A120" s="145" t="n"/>
      <c r="B120" s="46" t="n"/>
      <c r="C120" s="284" t="n"/>
      <c r="D120" s="61" t="n"/>
      <c r="E120" s="61">
        <f>IF($B120="","",N($D120)-N($D119))</f>
        <v/>
      </c>
      <c r="F120" s="61">
        <f>IF($B120="","",N($C120)-N($D120))</f>
        <v/>
      </c>
      <c r="G120" s="71">
        <f>IF(OR($B120="",N($C119)=0),"",N($C120)/N($C119)-1)</f>
        <v/>
      </c>
      <c r="H120" s="71">
        <f>IF(OR($B120="",N($D120)=0),"",N($F120)/N($D120))</f>
        <v/>
      </c>
      <c r="I120" s="134">
        <f>IF($B120="","",REPT("█",MAX(1,ROUND(N($C120)/MAX($C$103:$C$126)*18,0))))</f>
        <v/>
      </c>
      <c r="J120" s="145" t="n"/>
      <c r="K120" s="145" t="n"/>
      <c r="L120" s="145" t="n"/>
      <c r="M120" s="145" t="n"/>
      <c r="N120" s="145" t="n"/>
      <c r="O120" s="145" t="n"/>
      <c r="P120" s="145" t="n"/>
      <c r="Q120" s="145" t="n"/>
      <c r="R120" s="145" t="n"/>
      <c r="S120" s="145" t="n"/>
      <c r="T120" s="145" t="n"/>
      <c r="U120" s="145" t="n"/>
      <c r="V120" s="145" t="n"/>
      <c r="W120" s="145" t="n"/>
      <c r="X120" s="145" t="n"/>
      <c r="Y120" s="1" t="n"/>
      <c r="Z120" s="1" t="n"/>
      <c r="AA120" s="1" t="n"/>
      <c r="AB120" s="1" t="n"/>
      <c r="AC120" s="1" t="n"/>
      <c r="AD120" s="1" t="n"/>
    </row>
    <row r="121" ht="15.75" customHeight="1" s="311">
      <c r="A121" s="145" t="n"/>
      <c r="B121" s="46" t="n"/>
      <c r="C121" s="284" t="n"/>
      <c r="D121" s="61" t="n"/>
      <c r="E121" s="61">
        <f>IF($B121="","",N($D121)-N($D120))</f>
        <v/>
      </c>
      <c r="F121" s="61">
        <f>IF($B121="","",N($C121)-N($D121))</f>
        <v/>
      </c>
      <c r="G121" s="71">
        <f>IF(OR($B121="",N($C120)=0),"",N($C121)/N($C120)-1)</f>
        <v/>
      </c>
      <c r="H121" s="71">
        <f>IF(OR($B121="",N($D121)=0),"",N($F121)/N($D121))</f>
        <v/>
      </c>
      <c r="I121" s="134">
        <f>IF($B121="","",REPT("█",MAX(1,ROUND(N($C121)/MAX($C$103:$C$126)*18,0))))</f>
        <v/>
      </c>
      <c r="J121" s="145" t="n"/>
      <c r="K121" s="145" t="n"/>
      <c r="L121" s="145" t="n"/>
      <c r="M121" s="145" t="n"/>
      <c r="N121" s="145" t="n"/>
      <c r="O121" s="145" t="n"/>
      <c r="P121" s="145" t="n"/>
      <c r="Q121" s="145" t="n"/>
      <c r="R121" s="145" t="n"/>
      <c r="S121" s="145" t="n"/>
      <c r="T121" s="145" t="n"/>
      <c r="U121" s="145" t="n"/>
      <c r="V121" s="145" t="n"/>
      <c r="W121" s="145" t="n"/>
      <c r="X121" s="145" t="n"/>
      <c r="Y121" s="1" t="n"/>
      <c r="Z121" s="1" t="n"/>
      <c r="AA121" s="1" t="n"/>
      <c r="AB121" s="1" t="n"/>
      <c r="AC121" s="1" t="n"/>
      <c r="AD121" s="1" t="n"/>
    </row>
    <row r="122" ht="15.75" customHeight="1" s="311">
      <c r="A122" s="145" t="n"/>
      <c r="B122" s="46" t="n"/>
      <c r="C122" s="284" t="n"/>
      <c r="D122" s="61" t="n"/>
      <c r="E122" s="61">
        <f>IF($B122="","",N($D122)-N($D121))</f>
        <v/>
      </c>
      <c r="F122" s="61">
        <f>IF($B122="","",N($C122)-N($D122))</f>
        <v/>
      </c>
      <c r="G122" s="71">
        <f>IF(OR($B122="",N($C121)=0),"",N($C122)/N($C121)-1)</f>
        <v/>
      </c>
      <c r="H122" s="71">
        <f>IF(OR($B122="",N($D122)=0),"",N($F122)/N($D122))</f>
        <v/>
      </c>
      <c r="I122" s="134">
        <f>IF($B122="","",REPT("█",MAX(1,ROUND(N($C122)/MAX($C$103:$C$126)*18,0))))</f>
        <v/>
      </c>
      <c r="J122" s="145" t="n"/>
      <c r="K122" s="145" t="n"/>
      <c r="L122" s="145" t="n"/>
      <c r="M122" s="145" t="n"/>
      <c r="N122" s="145" t="n"/>
      <c r="O122" s="145" t="n"/>
      <c r="P122" s="145" t="n"/>
      <c r="Q122" s="145" t="n"/>
      <c r="R122" s="145" t="n"/>
      <c r="S122" s="145" t="n"/>
      <c r="T122" s="145" t="n"/>
      <c r="U122" s="145" t="n"/>
      <c r="V122" s="145" t="n"/>
      <c r="W122" s="145" t="n"/>
      <c r="X122" s="145" t="n"/>
      <c r="Y122" s="1" t="n"/>
      <c r="Z122" s="1" t="n"/>
      <c r="AA122" s="1" t="n"/>
      <c r="AB122" s="1" t="n"/>
      <c r="AC122" s="1" t="n"/>
      <c r="AD122" s="1" t="n"/>
    </row>
    <row r="123" ht="15.75" customHeight="1" s="311">
      <c r="A123" s="145" t="n"/>
      <c r="B123" s="46" t="n"/>
      <c r="C123" s="284" t="n"/>
      <c r="D123" s="61" t="n"/>
      <c r="E123" s="61">
        <f>IF($B123="","",N($D123)-N($D122))</f>
        <v/>
      </c>
      <c r="F123" s="61">
        <f>IF($B123="","",N($C123)-N($D123))</f>
        <v/>
      </c>
      <c r="G123" s="71">
        <f>IF(OR($B123="",N($C122)=0),"",N($C123)/N($C122)-1)</f>
        <v/>
      </c>
      <c r="H123" s="71">
        <f>IF(OR($B123="",N($D123)=0),"",N($F123)/N($D123))</f>
        <v/>
      </c>
      <c r="I123" s="134">
        <f>IF($B123="","",REPT("█",MAX(1,ROUND(N($C123)/MAX($C$103:$C$126)*18,0))))</f>
        <v/>
      </c>
      <c r="J123" s="145" t="n"/>
      <c r="K123" s="145" t="n"/>
      <c r="L123" s="145" t="n"/>
      <c r="M123" s="145" t="n"/>
      <c r="N123" s="145" t="n"/>
      <c r="O123" s="145" t="n"/>
      <c r="P123" s="145" t="n"/>
      <c r="Q123" s="145" t="n"/>
      <c r="R123" s="145" t="n"/>
      <c r="S123" s="145" t="n"/>
      <c r="T123" s="145" t="n"/>
      <c r="U123" s="145" t="n"/>
      <c r="V123" s="145" t="n"/>
      <c r="W123" s="145" t="n"/>
      <c r="X123" s="145" t="n"/>
      <c r="Y123" s="1" t="n"/>
      <c r="Z123" s="1" t="n"/>
      <c r="AA123" s="1" t="n"/>
      <c r="AB123" s="1" t="n"/>
      <c r="AC123" s="1" t="n"/>
      <c r="AD123" s="1" t="n"/>
    </row>
    <row r="124" ht="15.75" customHeight="1" s="311">
      <c r="A124" s="145" t="n"/>
      <c r="B124" s="46" t="n"/>
      <c r="C124" s="284" t="n"/>
      <c r="D124" s="61" t="n"/>
      <c r="E124" s="61">
        <f>IF($B124="","",N($D124)-N($D123))</f>
        <v/>
      </c>
      <c r="F124" s="61">
        <f>IF($B124="","",N($C124)-N($D124))</f>
        <v/>
      </c>
      <c r="G124" s="71">
        <f>IF(OR($B124="",N($C123)=0),"",N($C124)/N($C123)-1)</f>
        <v/>
      </c>
      <c r="H124" s="71">
        <f>IF(OR($B124="",N($D124)=0),"",N($F124)/N($D124))</f>
        <v/>
      </c>
      <c r="I124" s="134">
        <f>IF($B124="","",REPT("█",MAX(1,ROUND(N($C124)/MAX($C$103:$C$126)*18,0))))</f>
        <v/>
      </c>
      <c r="J124" s="145" t="n"/>
      <c r="K124" s="145" t="n"/>
      <c r="L124" s="145" t="n"/>
      <c r="M124" s="145" t="n"/>
      <c r="N124" s="145" t="n"/>
      <c r="O124" s="145" t="n"/>
      <c r="P124" s="145" t="n"/>
      <c r="Q124" s="145" t="n"/>
      <c r="R124" s="145" t="n"/>
      <c r="S124" s="145" t="n"/>
      <c r="T124" s="145" t="n"/>
      <c r="U124" s="145" t="n"/>
      <c r="V124" s="145" t="n"/>
      <c r="W124" s="145" t="n"/>
      <c r="X124" s="145" t="n"/>
      <c r="Y124" s="1" t="n"/>
      <c r="Z124" s="1" t="n"/>
      <c r="AA124" s="1" t="n"/>
      <c r="AB124" s="1" t="n"/>
      <c r="AC124" s="1" t="n"/>
      <c r="AD124" s="1" t="n"/>
    </row>
    <row r="125" ht="15.75" customHeight="1" s="311">
      <c r="A125" s="145" t="n"/>
      <c r="B125" s="46" t="n"/>
      <c r="C125" s="284" t="n"/>
      <c r="D125" s="61" t="n"/>
      <c r="E125" s="61">
        <f>IF($B125="","",N($D125)-N($D124))</f>
        <v/>
      </c>
      <c r="F125" s="61">
        <f>IF($B125="","",N($C125)-N($D125))</f>
        <v/>
      </c>
      <c r="G125" s="71">
        <f>IF(OR($B125="",N($C124)=0),"",N($C125)/N($C124)-1)</f>
        <v/>
      </c>
      <c r="H125" s="71">
        <f>IF(OR($B125="",N($D125)=0),"",N($F125)/N($D125))</f>
        <v/>
      </c>
      <c r="I125" s="134">
        <f>IF($B125="","",REPT("█",MAX(1,ROUND(N($C125)/MAX($C$103:$C$126)*18,0))))</f>
        <v/>
      </c>
      <c r="J125" s="145" t="n"/>
      <c r="K125" s="145" t="n"/>
      <c r="L125" s="145" t="n"/>
      <c r="M125" s="145" t="n"/>
      <c r="N125" s="145" t="n"/>
      <c r="O125" s="145" t="n"/>
      <c r="P125" s="145" t="n"/>
      <c r="Q125" s="145" t="n"/>
      <c r="R125" s="145" t="n"/>
      <c r="S125" s="145" t="n"/>
      <c r="T125" s="145" t="n"/>
      <c r="U125" s="145" t="n"/>
      <c r="V125" s="145" t="n"/>
      <c r="W125" s="145" t="n"/>
      <c r="X125" s="145" t="n"/>
      <c r="Y125" s="1" t="n"/>
      <c r="Z125" s="1" t="n"/>
      <c r="AA125" s="1" t="n"/>
      <c r="AB125" s="1" t="n"/>
      <c r="AC125" s="1" t="n"/>
      <c r="AD125" s="1" t="n"/>
    </row>
    <row r="126" ht="15.75" customHeight="1" s="311">
      <c r="A126" s="145" t="n"/>
      <c r="B126" s="46" t="n"/>
      <c r="C126" s="284" t="n"/>
      <c r="D126" s="61" t="n"/>
      <c r="E126" s="61">
        <f>IF($B126="","",N($D126)-N($D125))</f>
        <v/>
      </c>
      <c r="F126" s="61">
        <f>IF($B126="","",N($C126)-N($D126))</f>
        <v/>
      </c>
      <c r="G126" s="71">
        <f>IF(OR($B126="",N($C125)=0),"",N($C126)/N($C125)-1)</f>
        <v/>
      </c>
      <c r="H126" s="71">
        <f>IF(OR($B126="",N($D126)=0),"",N($F126)/N($D126))</f>
        <v/>
      </c>
      <c r="I126" s="134">
        <f>IF($B126="","",REPT("█",MAX(1,ROUND(N($C126)/MAX($C$103:$C$126)*18,0))))</f>
        <v/>
      </c>
      <c r="J126" s="145" t="n"/>
      <c r="K126" s="145" t="n"/>
      <c r="L126" s="145" t="n"/>
      <c r="M126" s="145" t="n"/>
      <c r="N126" s="145" t="n"/>
      <c r="O126" s="145" t="n"/>
      <c r="P126" s="145" t="n"/>
      <c r="Q126" s="145" t="n"/>
      <c r="R126" s="145" t="n"/>
      <c r="S126" s="145" t="n"/>
      <c r="T126" s="145" t="n"/>
      <c r="U126" s="145" t="n"/>
      <c r="V126" s="145" t="n"/>
      <c r="W126" s="145" t="n"/>
      <c r="X126" s="145" t="n"/>
      <c r="Y126" s="1" t="n"/>
      <c r="Z126" s="1" t="n"/>
      <c r="AA126" s="1" t="n"/>
      <c r="AB126" s="1" t="n"/>
      <c r="AC126" s="1" t="n"/>
      <c r="AD126" s="1" t="n"/>
    </row>
    <row r="127" ht="15.75" customHeight="1" s="311">
      <c r="A127" s="145" t="n"/>
      <c r="B127" s="20" t="inlineStr">
        <is>
          <t>La primera fila viene enlazada a los totales de arriba para que veas el formato. A partir del mes que viene escribe los números a mano: así conservas el histórico aunque cambien las posiciones.</t>
        </is>
      </c>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 t="n"/>
      <c r="Z127" s="1" t="n"/>
      <c r="AA127" s="1" t="n"/>
      <c r="AB127" s="1" t="n"/>
      <c r="AC127" s="1" t="n"/>
      <c r="AD127" s="1"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 t="n"/>
      <c r="Z128" s="1" t="n"/>
      <c r="AA128" s="1" t="n"/>
      <c r="AB128" s="1" t="n"/>
      <c r="AC128" s="1" t="n"/>
      <c r="AD128" s="1" t="n"/>
    </row>
    <row r="129" ht="21.75" customHeight="1" s="311">
      <c r="A129" s="21" t="inlineStr">
        <is>
          <t>6.  RIESGO Y CONCENTRACIÓN   —   dónde te puede doler</t>
        </is>
      </c>
      <c r="B129" s="22" t="n"/>
      <c r="C129" s="22" t="n"/>
      <c r="D129" s="22" t="n"/>
      <c r="E129" s="22" t="n"/>
      <c r="F129" s="22" t="n"/>
      <c r="G129" s="22" t="n"/>
      <c r="H129" s="22" t="n"/>
      <c r="I129" s="22" t="n"/>
      <c r="J129" s="22" t="n"/>
      <c r="K129" s="145" t="n"/>
      <c r="L129" s="145" t="n"/>
      <c r="M129" s="145" t="n"/>
      <c r="N129" s="145" t="n"/>
      <c r="O129" s="145" t="n"/>
      <c r="P129" s="145" t="n"/>
      <c r="Q129" s="145" t="n"/>
      <c r="R129" s="145" t="n"/>
      <c r="S129" s="145" t="n"/>
      <c r="T129" s="145" t="n"/>
      <c r="U129" s="145" t="n"/>
      <c r="V129" s="145" t="n"/>
      <c r="W129" s="145" t="n"/>
      <c r="X129" s="145" t="n"/>
      <c r="Y129" s="1" t="n"/>
      <c r="Z129" s="1" t="n"/>
      <c r="AA129" s="1" t="n"/>
      <c r="AB129" s="1" t="n"/>
      <c r="AC129" s="1" t="n"/>
      <c r="AD129" s="1" t="n"/>
    </row>
    <row r="130" ht="15.75" customHeight="1" s="311">
      <c r="A130" s="145" t="n"/>
      <c r="B130" s="20" t="inlineStr">
        <is>
          <t>El riesgo de una cartera no es solo qué compras, sino cuánto pesa cada cosa. Una sola posición que valga más de la mitad de la cartera convierte tu resultado en el resultado de esa posición.</t>
        </is>
      </c>
      <c r="C130" s="145"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5" t="n"/>
      <c r="Y130" s="1" t="n"/>
      <c r="Z130" s="1" t="n"/>
      <c r="AA130" s="1" t="n"/>
      <c r="AB130" s="1" t="n"/>
      <c r="AC130" s="1" t="n"/>
      <c r="AD130" s="1" t="n"/>
    </row>
    <row r="131" ht="25.5" customHeight="1" s="311">
      <c r="A131" s="145" t="n"/>
      <c r="B131" s="33" t="inlineStr">
        <is>
          <t>Nivel de riesgo</t>
        </is>
      </c>
      <c r="C131" s="33" t="inlineStr">
        <is>
          <t>Valor actual (€)</t>
        </is>
      </c>
      <c r="D131" s="33" t="inlineStr">
        <is>
          <t>Peso</t>
        </is>
      </c>
      <c r="E131" s="33" t="inlineStr">
        <is>
          <t>Nº de posiciones</t>
        </is>
      </c>
      <c r="F131" s="33" t="inlineStr">
        <is>
          <t>Visual</t>
        </is>
      </c>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5" t="n"/>
      <c r="Y131" s="1" t="n"/>
      <c r="Z131" s="1" t="n"/>
      <c r="AA131" s="1" t="n"/>
      <c r="AB131" s="1" t="n"/>
      <c r="AC131" s="1" t="n"/>
      <c r="AD131" s="1" t="n"/>
    </row>
    <row r="132" ht="15.75" customHeight="1" s="311">
      <c r="A132" s="145" t="n"/>
      <c r="B132" s="46" t="inlineStr">
        <is>
          <t>Muy bajo</t>
        </is>
      </c>
      <c r="C132" s="284">
        <f>SUMIFS($L$7:$L$47,$Y$7:$Y$47,$B132)</f>
        <v/>
      </c>
      <c r="D132" s="71">
        <f>IFERROR($C132/$L$48,"")</f>
        <v/>
      </c>
      <c r="E132" s="61">
        <f>COUNTIFS($Y$7:$Y$47,$B132,$L$7:$L$47,"&gt;0")</f>
        <v/>
      </c>
      <c r="F132" s="61">
        <f>IF($C132=0,"",REPT("█",MAX(1,ROUND($C132/MAX($C$132:$C$136)*18,0))))</f>
        <v/>
      </c>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5" t="n"/>
      <c r="Y132" s="1" t="n"/>
      <c r="Z132" s="1" t="n"/>
      <c r="AA132" s="1" t="n"/>
      <c r="AB132" s="1" t="n"/>
      <c r="AC132" s="1" t="n"/>
      <c r="AD132" s="1" t="n"/>
    </row>
    <row r="133" ht="15.75" customHeight="1" s="311">
      <c r="A133" s="145" t="n"/>
      <c r="B133" s="46" t="inlineStr">
        <is>
          <t>Bajo</t>
        </is>
      </c>
      <c r="C133" s="284">
        <f>SUMIFS($L$7:$L$47,$Y$7:$Y$47,$B133)</f>
        <v/>
      </c>
      <c r="D133" s="71">
        <f>IFERROR($C133/$L$48,"")</f>
        <v/>
      </c>
      <c r="E133" s="61">
        <f>COUNTIFS($Y$7:$Y$47,$B133,$L$7:$L$47,"&gt;0")</f>
        <v/>
      </c>
      <c r="F133" s="61">
        <f>IF($C133=0,"",REPT("█",MAX(1,ROUND($C133/MAX($C$132:$C$136)*18,0))))</f>
        <v/>
      </c>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5" t="n"/>
      <c r="Y133" s="1" t="n"/>
      <c r="Z133" s="1" t="n"/>
      <c r="AA133" s="1" t="n"/>
      <c r="AB133" s="1" t="n"/>
      <c r="AC133" s="1" t="n"/>
      <c r="AD133" s="1" t="n"/>
    </row>
    <row r="134" ht="15.75" customHeight="1" s="311">
      <c r="A134" s="145" t="n"/>
      <c r="B134" s="46" t="inlineStr">
        <is>
          <t>Medio</t>
        </is>
      </c>
      <c r="C134" s="284">
        <f>SUMIFS($L$7:$L$47,$Y$7:$Y$47,$B134)</f>
        <v/>
      </c>
      <c r="D134" s="71">
        <f>IFERROR($C134/$L$48,"")</f>
        <v/>
      </c>
      <c r="E134" s="61">
        <f>COUNTIFS($Y$7:$Y$47,$B134,$L$7:$L$47,"&gt;0")</f>
        <v/>
      </c>
      <c r="F134" s="61">
        <f>IF($C134=0,"",REPT("█",MAX(1,ROUND($C134/MAX($C$132:$C$136)*18,0))))</f>
        <v/>
      </c>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5" t="n"/>
      <c r="Y134" s="1" t="n"/>
      <c r="Z134" s="1" t="n"/>
      <c r="AA134" s="1" t="n"/>
      <c r="AB134" s="1" t="n"/>
      <c r="AC134" s="1" t="n"/>
      <c r="AD134" s="1" t="n"/>
    </row>
    <row r="135" ht="15.75" customHeight="1" s="311">
      <c r="A135" s="145" t="n"/>
      <c r="B135" s="46" t="inlineStr">
        <is>
          <t>Alto</t>
        </is>
      </c>
      <c r="C135" s="284">
        <f>SUMIFS($L$7:$L$47,$Y$7:$Y$47,$B135)</f>
        <v/>
      </c>
      <c r="D135" s="71">
        <f>IFERROR($C135/$L$48,"")</f>
        <v/>
      </c>
      <c r="E135" s="61">
        <f>COUNTIFS($Y$7:$Y$47,$B135,$L$7:$L$47,"&gt;0")</f>
        <v/>
      </c>
      <c r="F135" s="61">
        <f>IF($C135=0,"",REPT("█",MAX(1,ROUND($C135/MAX($C$132:$C$136)*18,0))))</f>
        <v/>
      </c>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5" t="n"/>
      <c r="Y135" s="1" t="n"/>
      <c r="Z135" s="1" t="n"/>
      <c r="AA135" s="1" t="n"/>
      <c r="AB135" s="1" t="n"/>
      <c r="AC135" s="1" t="n"/>
      <c r="AD135" s="1" t="n"/>
    </row>
    <row r="136" ht="15.75" customHeight="1" s="311">
      <c r="A136" s="145" t="n"/>
      <c r="B136" s="46" t="inlineStr">
        <is>
          <t>Muy alto</t>
        </is>
      </c>
      <c r="C136" s="284">
        <f>SUMIFS($L$7:$L$47,$Y$7:$Y$47,$B136)</f>
        <v/>
      </c>
      <c r="D136" s="71">
        <f>IFERROR($C136/$L$48,"")</f>
        <v/>
      </c>
      <c r="E136" s="61">
        <f>COUNTIFS($Y$7:$Y$47,$B136,$L$7:$L$47,"&gt;0")</f>
        <v/>
      </c>
      <c r="F136" s="61">
        <f>IF($C136=0,"",REPT("█",MAX(1,ROUND($C136/MAX($C$132:$C$136)*18,0))))</f>
        <v/>
      </c>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5" t="n"/>
      <c r="Y136" s="1" t="n"/>
      <c r="Z136" s="1" t="n"/>
      <c r="AA136" s="1" t="n"/>
      <c r="AB136" s="1" t="n"/>
      <c r="AC136" s="1" t="n"/>
      <c r="AD136" s="1" t="n"/>
    </row>
    <row r="137" ht="15.75" customHeight="1" s="311">
      <c r="A137" s="145" t="n"/>
      <c r="B137" s="38" t="inlineStr">
        <is>
          <t>TOTAL CLASIFICADO</t>
        </is>
      </c>
      <c r="C137" s="285">
        <f>SUM($C$132:$C$136)</f>
        <v/>
      </c>
      <c r="D137" s="77">
        <f>IFERROR($C137/$L$48,"")</f>
        <v/>
      </c>
      <c r="E137" s="68" t="n"/>
      <c r="F137" s="68">
        <f>IF(ROUND($L$48-$C$137,2)=0,"✅ Todas las posiciones tienen nivel de riesgo","🟡 Hay "&amp;TEXT($L$48-$C$137,"#,##0.00")&amp;" € sin nivel de riesgo en la columna Y")</f>
        <v/>
      </c>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5" t="n"/>
      <c r="Y137" s="1" t="n"/>
      <c r="Z137" s="1" t="n"/>
      <c r="AA137" s="1" t="n"/>
      <c r="AB137" s="1" t="n"/>
      <c r="AC137" s="1" t="n"/>
      <c r="AD137" s="1"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5" t="n"/>
      <c r="Y138" s="1" t="n"/>
      <c r="Z138" s="1" t="n"/>
      <c r="AA138" s="1" t="n"/>
      <c r="AB138" s="1" t="n"/>
      <c r="AC138" s="1" t="n"/>
      <c r="AD138" s="1" t="n"/>
    </row>
    <row r="139" ht="25.5" customHeight="1" s="311">
      <c r="A139" s="145" t="n"/>
      <c r="B139" s="33" t="inlineStr">
        <is>
          <t>Indicador de concentración</t>
        </is>
      </c>
      <c r="C139" s="33" t="n"/>
      <c r="D139" s="33" t="inlineStr">
        <is>
          <t>Valor</t>
        </is>
      </c>
      <c r="E139" s="33" t="inlineStr">
        <is>
          <t>Estado</t>
        </is>
      </c>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5" t="n"/>
      <c r="Y139" s="1" t="n"/>
      <c r="Z139" s="1" t="n"/>
      <c r="AA139" s="1" t="n"/>
      <c r="AB139" s="1" t="n"/>
      <c r="AC139" s="1" t="n"/>
      <c r="AD139" s="1" t="n"/>
    </row>
    <row r="140" ht="15.75" customHeight="1" s="311">
      <c r="A140" s="145" t="n"/>
      <c r="B140" s="46" t="inlineStr">
        <is>
          <t>Mayor posición de la cartera</t>
        </is>
      </c>
      <c r="C140" s="145" t="n"/>
      <c r="D140" s="64">
        <f t="array" ref="D140">IFERROR(INDEX($B$7:$B$47,MATCH(MAX($L$7:$L$47),$L$7:$L$47,0)),"")</f>
        <v/>
      </c>
      <c r="E140" s="61"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20" t="inlineStr">
        <is>
          <t>Si esta posición se hunde, tu cartera se hunde con ella.</t>
        </is>
      </c>
      <c r="X140" s="145" t="n"/>
      <c r="Y140" s="1" t="n"/>
      <c r="Z140" s="1" t="n"/>
      <c r="AA140" s="1" t="n"/>
      <c r="AB140" s="1" t="n"/>
      <c r="AC140" s="1" t="n"/>
      <c r="AD140" s="1" t="n"/>
    </row>
    <row r="141" ht="15.75" customHeight="1" s="311">
      <c r="A141" s="145" t="n"/>
      <c r="B141" s="46" t="inlineStr">
        <is>
          <t>Peso de la mayor posición</t>
        </is>
      </c>
      <c r="C141" s="145" t="n"/>
      <c r="D141" s="71">
        <f>IFERROR(MAX($L$7:$L$47)/$L$48,"")</f>
        <v/>
      </c>
      <c r="E141" s="61">
        <f>IF(N($D141)=0,"—",IF($D141&lt;0.25,"✅",IF($D141&lt;0.4,"🟡","🔴")))</f>
        <v/>
      </c>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20" t="inlineStr">
        <is>
          <t>Referencia: por debajo del 25% es una cartera repartida.</t>
        </is>
      </c>
      <c r="X141" s="145" t="n"/>
      <c r="Y141" s="1" t="n"/>
      <c r="Z141" s="1" t="n"/>
      <c r="AA141" s="1" t="n"/>
      <c r="AB141" s="1" t="n"/>
      <c r="AC141" s="1" t="n"/>
      <c r="AD141" s="1" t="n"/>
    </row>
    <row r="142" ht="15.75" customHeight="1" s="311">
      <c r="A142" s="145" t="n"/>
      <c r="B142" s="46" t="inlineStr">
        <is>
          <t>Peso de las tres mayores</t>
        </is>
      </c>
      <c r="C142" s="145" t="n"/>
      <c r="D142" s="71">
        <f>IFERROR((LARGE($L$7:$L$47,1)+LARGE($L$7:$L$47,2)+LARGE($L$7:$L$47,3))/$L$48,"")</f>
        <v/>
      </c>
      <c r="E142" s="61">
        <f>IF(N($D142)=0,"—",IF($D142&lt;0.5,"✅",IF($D142&lt;0.7,"🟡","🔴")))</f>
        <v/>
      </c>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20" t="inlineStr">
        <is>
          <t>Por encima del 70% ya no estás diversificado, aunque tengas muchas líneas abiertas.</t>
        </is>
      </c>
      <c r="X142" s="145" t="n"/>
      <c r="Y142" s="1" t="n"/>
      <c r="Z142" s="1" t="n"/>
      <c r="AA142" s="1" t="n"/>
      <c r="AB142" s="1" t="n"/>
      <c r="AC142" s="1" t="n"/>
      <c r="AD142" s="1" t="n"/>
    </row>
    <row r="143" ht="15.75" customHeight="1" s="311">
      <c r="A143" s="145" t="n"/>
      <c r="B143" s="46" t="inlineStr">
        <is>
          <t>Posiciones con valor mayor que cero</t>
        </is>
      </c>
      <c r="C143" s="145" t="n"/>
      <c r="D143" s="59">
        <f>COUNTIFS($L$7:$L$47,"&gt;0")</f>
        <v/>
      </c>
      <c r="E143" s="61">
        <f>IF($D143=0,"—",IF($D143&gt;=8,"✅",IF($D143&gt;=4,"🟡","🔴")))</f>
        <v/>
      </c>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20" t="inlineStr">
        <is>
          <t>Con menos de 4 posiciones, la suerte pesa más que la estrategia.</t>
        </is>
      </c>
      <c r="X143" s="145" t="n"/>
      <c r="Y143" s="1" t="n"/>
      <c r="Z143" s="1" t="n"/>
      <c r="AA143" s="1" t="n"/>
      <c r="AB143" s="1" t="n"/>
      <c r="AC143" s="1" t="n"/>
      <c r="AD143" s="1" t="n"/>
    </row>
    <row r="144" ht="15.75" customHeight="1" s="311">
      <c r="A144" s="145" t="n"/>
      <c r="B144" s="46" t="inlineStr">
        <is>
          <t>Peso de los activos de riesgo alto y muy alto</t>
        </is>
      </c>
      <c r="C144" s="145" t="n"/>
      <c r="D144" s="71">
        <f>IFERROR((SUMIFS($L$7:$L$47,$Y$7:$Y$47,"Alto")+SUMIFS($L$7:$L$47,$Y$7:$Y$47,"Muy alto"))/$L$48,"")</f>
        <v/>
      </c>
      <c r="E144" s="61">
        <f>IF(N($D144)=0,"—",IF($D144&lt;0.2,"✅",IF($D144&lt;0.35,"🟡","🔴")))</f>
        <v/>
      </c>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20" t="inlineStr">
        <is>
          <t>Es la parte de la cartera que puede perder la mitad de su valor en un mal año.</t>
        </is>
      </c>
      <c r="X144" s="145" t="n"/>
      <c r="Y144" s="1" t="n"/>
      <c r="Z144" s="1" t="n"/>
      <c r="AA144" s="1" t="n"/>
      <c r="AB144" s="1" t="n"/>
      <c r="AC144" s="1" t="n"/>
      <c r="AD144" s="1" t="n"/>
    </row>
    <row r="145" ht="15.75" customHeight="1" s="311">
      <c r="A145" s="145" t="n"/>
      <c r="B145" s="46" t="inlineStr">
        <is>
          <t>Peso de cripto y productos apalancados</t>
        </is>
      </c>
      <c r="C145" s="145" t="n"/>
      <c r="D145" s="71">
        <f>IFERROR((SUMIFS($L$7:$L$47,$C$7:$C$47,"Criptomoneda")+SUMIFS($L$7:$L$47,$C$7:$C$47,"CFD / apalancado"))/$L$48,"")</f>
        <v/>
      </c>
      <c r="E145" s="61">
        <f>IF(N($D145)=0,"—",IF($D145&lt;0.1,"✅",IF($D145&lt;0.2,"🟡","🔴")))</f>
        <v/>
      </c>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20" t="inlineStr">
        <is>
          <t>Los CFD son el único producto de esta lista donde puedes perder más de lo que pones.</t>
        </is>
      </c>
      <c r="X145" s="145" t="n"/>
      <c r="Y145" s="1" t="n"/>
      <c r="Z145" s="1" t="n"/>
      <c r="AA145" s="1" t="n"/>
      <c r="AB145" s="1" t="n"/>
      <c r="AC145" s="1" t="n"/>
      <c r="AD145" s="1" t="n"/>
    </row>
    <row r="146" ht="15.75" customHeight="1" s="311">
      <c r="A146" s="145" t="n"/>
      <c r="B146" s="46" t="inlineStr">
        <is>
          <t>Colchón líquido dentro de la cartera</t>
        </is>
      </c>
      <c r="C146" s="145" t="n"/>
      <c r="D146" s="71">
        <f>IFERROR((SUMIFS($L$7:$L$47,$C$7:$C$47,"Cuenta remunerada")+SUMIFS($L$7:$L$47,$C$7:$C$47,"Depósito a plazo"))/$L$48,"")</f>
        <v/>
      </c>
      <c r="E146" s="61">
        <f>IF(N($D146)=0,"—",IF($D146&gt;=0.1,"✅","🟡"))</f>
        <v/>
      </c>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20" t="inlineStr">
        <is>
          <t>Dinero de la cartera que puedes recuperar en 24 horas sin vender a pérdida.</t>
        </is>
      </c>
      <c r="X146" s="145" t="n"/>
      <c r="Y146" s="1" t="n"/>
      <c r="Z146" s="1" t="n"/>
      <c r="AA146" s="1" t="n"/>
      <c r="AB146" s="1" t="n"/>
      <c r="AC146" s="1" t="n"/>
      <c r="AD146" s="1"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5" t="n"/>
      <c r="Y147" s="1" t="n"/>
      <c r="Z147" s="1" t="n"/>
      <c r="AA147" s="1" t="n"/>
      <c r="AB147" s="1" t="n"/>
      <c r="AC147" s="1" t="n"/>
      <c r="AD147" s="1"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 t="n"/>
      <c r="Z148" s="1" t="n"/>
      <c r="AA148" s="1" t="n"/>
      <c r="AB148" s="1" t="n"/>
      <c r="AC148" s="1" t="n"/>
      <c r="AD148" s="1" t="n"/>
    </row>
    <row r="149" ht="21.75" customHeight="1" s="311">
      <c r="A149" s="21" t="inlineStr">
        <is>
          <t>7.  PROYECCIÓN E INDEPENDENCIA FINANCIERA   —   a dónde lleva esto</t>
        </is>
      </c>
      <c r="B149" s="22" t="n"/>
      <c r="C149" s="22" t="n"/>
      <c r="D149" s="22" t="n"/>
      <c r="E149" s="22" t="n"/>
      <c r="F149" s="22" t="n"/>
      <c r="G149" s="22" t="n"/>
      <c r="H149" s="22" t="n"/>
      <c r="I149" s="22" t="n"/>
      <c r="J149" s="22" t="n"/>
      <c r="K149" s="145" t="n"/>
      <c r="L149" s="145" t="n"/>
      <c r="M149" s="145" t="n"/>
      <c r="N149" s="145" t="n"/>
      <c r="O149" s="145" t="n"/>
      <c r="P149" s="145" t="n"/>
      <c r="Q149" s="145" t="n"/>
      <c r="R149" s="145" t="n"/>
      <c r="S149" s="145" t="n"/>
      <c r="T149" s="145" t="n"/>
      <c r="U149" s="145" t="n"/>
      <c r="V149" s="145" t="n"/>
      <c r="W149" s="145" t="n"/>
      <c r="X149" s="145" t="n"/>
      <c r="Y149" s="1" t="n"/>
      <c r="Z149" s="1" t="n"/>
      <c r="AA149" s="1" t="n"/>
      <c r="AB149" s="1" t="n"/>
      <c r="AC149" s="1" t="n"/>
      <c r="AD149" s="1" t="n"/>
    </row>
    <row r="150" ht="15.75" customHeight="1" s="311">
      <c r="A150" s="145" t="n"/>
      <c r="B150" s="20" t="inlineStr">
        <is>
          <t>Cambia solo las cuatro celdas azules de abajo. Una proyección no es una promesa: es lo que pasaría si el mundo se portara como la media histórica, cosa que nunca hace de forma regular. Úsala para comparar decisiones, no para contar con el número final.</t>
        </is>
      </c>
      <c r="C150" s="145"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5" t="n"/>
      <c r="Y150" s="1" t="n"/>
      <c r="Z150" s="1" t="n"/>
      <c r="AA150" s="1" t="n"/>
      <c r="AB150" s="1" t="n"/>
      <c r="AC150" s="1" t="n"/>
      <c r="AD150" s="1" t="n"/>
    </row>
    <row r="151" ht="25.5" customHeight="1" s="311">
      <c r="A151" s="145" t="n"/>
      <c r="B151" s="33" t="inlineStr">
        <is>
          <t>Parámetros que puedes cambiar</t>
        </is>
      </c>
      <c r="C151" s="33" t="n"/>
      <c r="D151" s="33" t="inlineStr">
        <is>
          <t>Valor</t>
        </is>
      </c>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 t="n"/>
      <c r="Z151" s="1" t="n"/>
      <c r="AA151" s="1" t="n"/>
      <c r="AB151" s="1" t="n"/>
      <c r="AC151" s="1" t="n"/>
      <c r="AD151" s="1" t="n"/>
    </row>
    <row r="152" ht="15.75" customHeight="1" s="311">
      <c r="A152" s="145" t="n"/>
      <c r="B152" s="46" t="inlineStr">
        <is>
          <t>Aportación mensual prevista (€)</t>
        </is>
      </c>
      <c r="C152" s="145" t="n"/>
      <c r="D152" s="61" t="n">
        <v>50</v>
      </c>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20" t="inlineStr">
        <is>
          <t>Lo que puedes meter cada mes sin ahogar la tesorería.</t>
        </is>
      </c>
      <c r="X152" s="145" t="n"/>
      <c r="Y152" s="1" t="n"/>
      <c r="Z152" s="1" t="n"/>
      <c r="AA152" s="1" t="n"/>
      <c r="AB152" s="1" t="n"/>
      <c r="AC152" s="1" t="n"/>
      <c r="AD152" s="1" t="n"/>
    </row>
    <row r="153" ht="15.75" customHeight="1" s="311">
      <c r="A153" s="145" t="n"/>
      <c r="B153" s="46" t="inlineStr">
        <is>
          <t>Rentabilidad anual esperada</t>
        </is>
      </c>
      <c r="C153" s="145" t="n"/>
      <c r="D153" s="71" t="n">
        <v>0.05</v>
      </c>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20" t="inlineStr">
        <is>
          <t>5% es una hipótesis prudente para una cartera mixta. La bolsa mundial ha dado más, pero también años del −30%.</t>
        </is>
      </c>
      <c r="X153" s="145" t="n"/>
      <c r="Y153" s="1" t="n"/>
      <c r="Z153" s="1" t="n"/>
      <c r="AA153" s="1" t="n"/>
      <c r="AB153" s="1" t="n"/>
      <c r="AC153" s="1" t="n"/>
      <c r="AD153" s="1" t="n"/>
    </row>
    <row r="154" ht="15.75" customHeight="1" s="311">
      <c r="A154" s="145" t="n"/>
      <c r="B154" s="46" t="inlineStr">
        <is>
          <t>Inflación anual estimada</t>
        </is>
      </c>
      <c r="C154" s="145" t="n"/>
      <c r="D154" s="71" t="n">
        <v>0.02</v>
      </c>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20" t="inlineStr">
        <is>
          <t>Sirve para traducir el resultado a euros de hoy: 10.000 € dentro de 20 años compran mucho menos.</t>
        </is>
      </c>
      <c r="X154" s="145" t="n"/>
      <c r="Y154" s="1" t="n"/>
      <c r="Z154" s="1" t="n"/>
      <c r="AA154" s="1" t="n"/>
      <c r="AB154" s="1" t="n"/>
      <c r="AC154" s="1" t="n"/>
      <c r="AD154" s="1" t="n"/>
    </row>
    <row r="155" ht="15.75" customHeight="1" s="311">
      <c r="A155" s="145" t="n"/>
      <c r="B155" s="46" t="inlineStr">
        <is>
          <t>Tasa de retiro segura (regla del 4%)</t>
        </is>
      </c>
      <c r="C155" s="145" t="n"/>
      <c r="D155" s="71" t="n">
        <v>0.04</v>
      </c>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20" t="inlineStr">
        <is>
          <t>Porcentaje que podrías sacar cada año de la cartera sin agotarla. Es una regla aproximada, nacida de datos del mercado estadounidense.</t>
        </is>
      </c>
      <c r="X155" s="145" t="n"/>
      <c r="Y155" s="1" t="n"/>
      <c r="Z155" s="1" t="n"/>
      <c r="AA155" s="1" t="n"/>
      <c r="AB155" s="1" t="n"/>
      <c r="AC155" s="1" t="n"/>
      <c r="AD155" s="1"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5" t="n"/>
      <c r="Y156" s="1" t="n"/>
      <c r="Z156" s="1" t="n"/>
      <c r="AA156" s="1" t="n"/>
      <c r="AB156" s="1" t="n"/>
      <c r="AC156" s="1" t="n"/>
      <c r="AD156" s="1" t="n"/>
    </row>
    <row r="157" ht="25.5" customHeight="1" s="311">
      <c r="A157" s="145" t="n"/>
      <c r="B157" s="33" t="inlineStr">
        <is>
          <t>Horizonte</t>
        </is>
      </c>
      <c r="C157" s="33" t="n"/>
      <c r="D157" s="33" t="inlineStr">
        <is>
          <t>Valor proyectado (€)</t>
        </is>
      </c>
      <c r="E157" s="33" t="inlineStr">
        <is>
          <t>Total aportado (€)</t>
        </is>
      </c>
      <c r="F157" s="33" t="inlineStr">
        <is>
          <t>Generado por la rentabilidad (€)</t>
        </is>
      </c>
      <c r="G157" s="33" t="inlineStr">
        <is>
          <t>Valor en euros de hoy</t>
        </is>
      </c>
      <c r="H157" s="145" t="n"/>
      <c r="I157" s="145" t="n"/>
      <c r="J157" s="145" t="n"/>
      <c r="K157" s="145" t="n"/>
      <c r="L157" s="145" t="n"/>
      <c r="M157" s="145" t="n"/>
      <c r="N157" s="145" t="n"/>
      <c r="O157" s="145" t="n"/>
      <c r="P157" s="145" t="n"/>
      <c r="Q157" s="145" t="n"/>
      <c r="R157" s="145" t="n"/>
      <c r="S157" s="145" t="n"/>
      <c r="T157" s="145" t="n"/>
      <c r="U157" s="145" t="n"/>
      <c r="V157" s="145" t="n"/>
      <c r="W157" s="145" t="n"/>
      <c r="X157" s="145" t="n"/>
      <c r="Y157" s="1" t="n"/>
      <c r="Z157" s="1" t="n"/>
      <c r="AA157" s="1" t="n"/>
      <c r="AB157" s="1" t="n"/>
      <c r="AC157" s="1" t="n"/>
      <c r="AD157" s="1" t="n"/>
    </row>
    <row r="158" ht="15.75" customHeight="1" s="311">
      <c r="A158" s="145" t="n"/>
      <c r="B158" s="46" t="inlineStr">
        <is>
          <t>Dentro de 1 año</t>
        </is>
      </c>
      <c r="C158" s="145" t="n"/>
      <c r="D158" s="61">
        <f>IFERROR(FV($D$153/12,1*12,-$D$152,-$L$48),"")</f>
        <v/>
      </c>
      <c r="E158" s="61">
        <f>$L$48+$D$152*12*1</f>
        <v/>
      </c>
      <c r="F158" s="61">
        <f>IFERROR($D158-$E158,"")</f>
        <v/>
      </c>
      <c r="G158" s="61">
        <f>IFERROR($D158/(1+$D$154)^1,"")</f>
        <v/>
      </c>
      <c r="H158" s="145" t="n"/>
      <c r="I158" s="145" t="n"/>
      <c r="J158" s="145" t="n"/>
      <c r="K158" s="145" t="n"/>
      <c r="L158" s="145" t="n"/>
      <c r="M158" s="145" t="n"/>
      <c r="N158" s="145" t="n"/>
      <c r="O158" s="145" t="n"/>
      <c r="P158" s="145" t="n"/>
      <c r="Q158" s="145" t="n"/>
      <c r="R158" s="145" t="n"/>
      <c r="S158" s="145" t="n"/>
      <c r="T158" s="145" t="n"/>
      <c r="U158" s="145" t="n"/>
      <c r="V158" s="145" t="n"/>
      <c r="W158" s="145" t="n"/>
      <c r="X158" s="145" t="n"/>
      <c r="Y158" s="1" t="n"/>
      <c r="Z158" s="1" t="n"/>
      <c r="AA158" s="1" t="n"/>
      <c r="AB158" s="1" t="n"/>
      <c r="AC158" s="1" t="n"/>
      <c r="AD158" s="1" t="n"/>
    </row>
    <row r="159" ht="15.75" customHeight="1" s="311">
      <c r="A159" s="145" t="n"/>
      <c r="B159" s="46" t="inlineStr">
        <is>
          <t>Dentro de 5 años</t>
        </is>
      </c>
      <c r="C159" s="145" t="n"/>
      <c r="D159" s="61">
        <f>IFERROR(FV($D$153/12,5*12,-$D$152,-$L$48),"")</f>
        <v/>
      </c>
      <c r="E159" s="61">
        <f>$L$48+$D$152*12*5</f>
        <v/>
      </c>
      <c r="F159" s="61">
        <f>IFERROR($D159-$E159,"")</f>
        <v/>
      </c>
      <c r="G159" s="61">
        <f>IFERROR($D159/(1+$D$154)^5,"")</f>
        <v/>
      </c>
      <c r="H159" s="145" t="n"/>
      <c r="I159" s="145" t="n"/>
      <c r="J159" s="145" t="n"/>
      <c r="K159" s="145" t="n"/>
      <c r="L159" s="145" t="n"/>
      <c r="M159" s="145" t="n"/>
      <c r="N159" s="145" t="n"/>
      <c r="O159" s="145" t="n"/>
      <c r="P159" s="145" t="n"/>
      <c r="Q159" s="145" t="n"/>
      <c r="R159" s="145" t="n"/>
      <c r="S159" s="145" t="n"/>
      <c r="T159" s="145" t="n"/>
      <c r="U159" s="145" t="n"/>
      <c r="V159" s="145" t="n"/>
      <c r="W159" s="145" t="n"/>
      <c r="X159" s="145" t="n"/>
      <c r="Y159" s="1" t="n"/>
      <c r="Z159" s="1" t="n"/>
      <c r="AA159" s="1" t="n"/>
      <c r="AB159" s="1" t="n"/>
      <c r="AC159" s="1" t="n"/>
      <c r="AD159" s="1" t="n"/>
    </row>
    <row r="160" ht="15.75" customHeight="1" s="311">
      <c r="A160" s="145" t="n"/>
      <c r="B160" s="46" t="inlineStr">
        <is>
          <t>Dentro de 10 años</t>
        </is>
      </c>
      <c r="C160" s="145" t="n"/>
      <c r="D160" s="61">
        <f>IFERROR(FV($D$153/12,10*12,-$D$152,-$L$48),"")</f>
        <v/>
      </c>
      <c r="E160" s="61">
        <f>$L$48+$D$152*12*10</f>
        <v/>
      </c>
      <c r="F160" s="61">
        <f>IFERROR($D160-$E160,"")</f>
        <v/>
      </c>
      <c r="G160" s="61">
        <f>IFERROR($D160/(1+$D$154)^10,"")</f>
        <v/>
      </c>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 t="n"/>
      <c r="Z160" s="1" t="n"/>
      <c r="AA160" s="1" t="n"/>
      <c r="AB160" s="1" t="n"/>
      <c r="AC160" s="1" t="n"/>
      <c r="AD160" s="1" t="n"/>
    </row>
    <row r="161" ht="15.75" customHeight="1" s="311">
      <c r="A161" s="145" t="n"/>
      <c r="B161" s="46" t="inlineStr">
        <is>
          <t>Dentro de 20 años</t>
        </is>
      </c>
      <c r="C161" s="145" t="n"/>
      <c r="D161" s="61">
        <f>IFERROR(FV($D$153/12,20*12,-$D$152,-$L$48),"")</f>
        <v/>
      </c>
      <c r="E161" s="61">
        <f>$L$48+$D$152*12*20</f>
        <v/>
      </c>
      <c r="F161" s="61">
        <f>IFERROR($D161-$E161,"")</f>
        <v/>
      </c>
      <c r="G161" s="61">
        <f>IFERROR($D161/(1+$D$154)^20,"")</f>
        <v/>
      </c>
      <c r="H161" s="145" t="n"/>
      <c r="I161" s="145" t="n"/>
      <c r="J161" s="145" t="n"/>
      <c r="K161" s="145" t="n"/>
      <c r="L161" s="145" t="n"/>
      <c r="M161" s="145" t="n"/>
      <c r="N161" s="145" t="n"/>
      <c r="O161" s="145" t="n"/>
      <c r="P161" s="145" t="n"/>
      <c r="Q161" s="145" t="n"/>
      <c r="R161" s="145" t="n"/>
      <c r="S161" s="145" t="n"/>
      <c r="T161" s="145" t="n"/>
      <c r="U161" s="145" t="n"/>
      <c r="V161" s="145" t="n"/>
      <c r="W161" s="145" t="n"/>
      <c r="X161" s="145" t="n"/>
      <c r="Y161" s="1" t="n"/>
      <c r="Z161" s="1" t="n"/>
      <c r="AA161" s="1" t="n"/>
      <c r="AB161" s="1" t="n"/>
      <c r="AC161" s="1" t="n"/>
      <c r="AD161" s="1"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5" t="n"/>
      <c r="Y162" s="1" t="n"/>
      <c r="Z162" s="1" t="n"/>
      <c r="AA162" s="1" t="n"/>
      <c r="AB162" s="1" t="n"/>
      <c r="AC162" s="1" t="n"/>
      <c r="AD162" s="1" t="n"/>
    </row>
    <row r="163" ht="25.5" customHeight="1" s="311">
      <c r="A163" s="145" t="n"/>
      <c r="B163" s="33" t="inlineStr">
        <is>
          <t>Independencia financiera</t>
        </is>
      </c>
      <c r="C163" s="33" t="n"/>
      <c r="D163" s="33" t="inlineStr">
        <is>
          <t>Valor</t>
        </is>
      </c>
      <c r="E163" s="33" t="inlineStr">
        <is>
          <t>Estado</t>
        </is>
      </c>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5" t="n"/>
      <c r="Y163" s="1" t="n"/>
      <c r="Z163" s="1" t="n"/>
      <c r="AA163" s="1" t="n"/>
      <c r="AB163" s="1" t="n"/>
      <c r="AC163" s="1" t="n"/>
      <c r="AD163" s="1" t="n"/>
    </row>
    <row r="164" ht="15.75" customHeight="1" s="311">
      <c r="A164" s="145" t="n"/>
      <c r="B164" s="46" t="inlineStr">
        <is>
          <t>Gasto mensual actual (hoja Resultados)</t>
        </is>
      </c>
      <c r="C164" s="145" t="n"/>
      <c r="D164" s="61">
        <f>Resultados!$F$41</f>
        <v/>
      </c>
      <c r="E164" s="61"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20" t="inlineStr">
        <is>
          <t>Lo que te cuesta vivir cada mes hoy. Es la cifra que la cartera tendría que cubrir.</t>
        </is>
      </c>
      <c r="X164" s="145" t="n"/>
      <c r="Y164" s="1" t="n"/>
      <c r="Z164" s="1" t="n"/>
      <c r="AA164" s="1" t="n"/>
      <c r="AB164" s="1" t="n"/>
      <c r="AC164" s="1" t="n"/>
      <c r="AD164" s="1" t="n"/>
    </row>
    <row r="165" ht="15.75" customHeight="1" s="311">
      <c r="A165" s="145" t="n"/>
      <c r="B165" s="46" t="inlineStr">
        <is>
          <t>Capital necesario para vivir de la cartera</t>
        </is>
      </c>
      <c r="C165" s="145" t="n"/>
      <c r="D165" s="61">
        <f>IFERROR($D164*12/$D$155,"")</f>
        <v/>
      </c>
      <c r="E165" s="61"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20" t="inlineStr">
        <is>
          <t>Gasto anual dividido entre la tasa de retiro. Con la regla del 4%, son 25 años de gasto.</t>
        </is>
      </c>
      <c r="X165" s="145" t="n"/>
      <c r="Y165" s="1" t="n"/>
      <c r="Z165" s="1" t="n"/>
      <c r="AA165" s="1" t="n"/>
      <c r="AB165" s="1" t="n"/>
      <c r="AC165" s="1" t="n"/>
      <c r="AD165" s="1" t="n"/>
    </row>
    <row r="166" ht="15.75" customHeight="1" s="311">
      <c r="A166" s="145" t="n"/>
      <c r="B166" s="46" t="inlineStr">
        <is>
          <t>Cobertura actual</t>
        </is>
      </c>
      <c r="C166" s="145" t="n"/>
      <c r="D166" s="71">
        <f>IFERROR($L$48/$D165,"")</f>
        <v/>
      </c>
      <c r="E166" s="61">
        <f>IF(N($D166)=0,"—",IF($D166&gt;=1,"✅",IF($D166&gt;=0.25,"🟡","🔴")))</f>
        <v/>
      </c>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20" t="inlineStr">
        <is>
          <t>Qué parte de esa cifra tienes ya. Empezar es lo difícil; el porcentaje sube solo con el tiempo.</t>
        </is>
      </c>
      <c r="X166" s="145" t="n"/>
      <c r="Y166" s="1" t="n"/>
      <c r="Z166" s="1" t="n"/>
      <c r="AA166" s="1" t="n"/>
      <c r="AB166" s="1" t="n"/>
      <c r="AC166" s="1" t="n"/>
      <c r="AD166" s="1" t="n"/>
    </row>
    <row r="167" ht="15.75" customHeight="1" s="311">
      <c r="A167" s="145" t="n"/>
      <c r="B167" s="46" t="inlineStr">
        <is>
          <t>Renta mensual que genera la cartera hoy</t>
        </is>
      </c>
      <c r="C167" s="145" t="n"/>
      <c r="D167" s="61">
        <f>$L$48*$D$155/12</f>
        <v/>
      </c>
      <c r="E167" s="61"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20" t="inlineStr">
        <is>
          <t>Lo que podrías sacar al mes sin tocar el capital, al ritmo de la tasa de retiro.</t>
        </is>
      </c>
      <c r="X167" s="145" t="n"/>
      <c r="Y167" s="1" t="n"/>
      <c r="Z167" s="1" t="n"/>
      <c r="AA167" s="1" t="n"/>
      <c r="AB167" s="1" t="n"/>
      <c r="AC167" s="1" t="n"/>
      <c r="AD167" s="1" t="n"/>
    </row>
    <row r="168" ht="15.75" customHeight="1" s="311">
      <c r="A168" s="145" t="n"/>
      <c r="B168" s="46" t="inlineStr">
        <is>
          <t>Años estimados hasta la independencia</t>
        </is>
      </c>
      <c r="C168" s="145" t="n"/>
      <c r="D168" s="133">
        <f>IFERROR(NPER($D$153/12,-$D$152,-$L$48,$D165)/12,"")</f>
        <v/>
      </c>
      <c r="E168" s="61">
        <f>IF(N($D168)=0,"—",IF($D168&lt;=15,"✅",IF($D168&lt;=30,"🟡","🔴")))</f>
        <v/>
      </c>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20" t="inlineStr">
        <is>
          <t>Con la aportación y la rentabilidad de arriba. Si sale vacío o enorme, la aportación mensual es demasiado baja para llegar: ese es el dato útil.</t>
        </is>
      </c>
      <c r="X168" s="145" t="n"/>
      <c r="Y168" s="1" t="n"/>
      <c r="Z168" s="1" t="n"/>
      <c r="AA168" s="1" t="n"/>
      <c r="AB168" s="1" t="n"/>
      <c r="AC168" s="1" t="n"/>
      <c r="AD168" s="1"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5" t="n"/>
      <c r="Y169" s="1" t="n"/>
      <c r="Z169" s="1" t="n"/>
      <c r="AA169" s="1" t="n"/>
      <c r="AB169" s="1" t="n"/>
      <c r="AC169" s="1" t="n"/>
      <c r="AD169" s="1" t="n"/>
    </row>
    <row r="170" ht="15.75" customHeight="1" s="311">
      <c r="A170" s="145" t="n"/>
      <c r="B170" s="46" t="inlineStr">
        <is>
          <t>Diagnóstico</t>
        </is>
      </c>
      <c r="C170" s="145" t="n"/>
      <c r="D170" s="61">
        <f>IF($L$48=0,"Carga el valor de tus posiciones para activar el diagnóstico.",IF($D166&gt;=1,"✅ Tu cartera ya cubre tu gasto anual con la regla del "&amp;TEXT($D$155,"0%")&amp;".",IF($D$152&lt;=0,"🔴 Sin aportación mensual la cartera solo crece por rentabilidad: con "&amp;TEXT($L$48,"#,##0")&amp;" € harían falta décadas. Fija una aportación, aunque sea pequeña.","🕐 Vas por el "&amp;TEXT($D166,"0.0%")&amp;" del capital objetivo. Con "&amp;TEXT($D$152,"#,##0")&amp;" € al mes tardarías unos "&amp;TEXT($D168,"0")&amp;" años.")))</f>
        <v/>
      </c>
      <c r="E170" s="313" t="n"/>
      <c r="F170" s="313" t="n"/>
      <c r="G170" s="314" t="n"/>
      <c r="H170" s="145" t="n"/>
      <c r="I170" s="145" t="n"/>
      <c r="J170" s="145" t="n"/>
      <c r="K170" s="145" t="n"/>
      <c r="L170" s="145" t="n"/>
      <c r="M170" s="145" t="n"/>
      <c r="N170" s="145" t="n"/>
      <c r="O170" s="145" t="n"/>
      <c r="P170" s="145" t="n"/>
      <c r="Q170" s="145" t="n"/>
      <c r="R170" s="145" t="n"/>
      <c r="S170" s="145" t="n"/>
      <c r="T170" s="145" t="n"/>
      <c r="U170" s="145" t="n"/>
      <c r="V170" s="145" t="n"/>
      <c r="W170" s="145" t="n"/>
      <c r="X170" s="145" t="n"/>
      <c r="Y170" s="1" t="n"/>
      <c r="Z170" s="1" t="n"/>
      <c r="AA170" s="1" t="n"/>
      <c r="AB170" s="1" t="n"/>
      <c r="AC170" s="1" t="n"/>
      <c r="AD170" s="1"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5" t="n"/>
      <c r="Y171" s="1" t="n"/>
      <c r="Z171" s="1" t="n"/>
      <c r="AA171" s="1" t="n"/>
      <c r="AB171" s="1" t="n"/>
      <c r="AC171" s="1" t="n"/>
      <c r="AD171" s="1"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5" t="n"/>
      <c r="Y172" s="1" t="n"/>
      <c r="Z172" s="1" t="n"/>
      <c r="AA172" s="1" t="n"/>
      <c r="AB172" s="1" t="n"/>
      <c r="AC172" s="1" t="n"/>
      <c r="AD172" s="1"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5" t="n"/>
      <c r="Y173" s="1" t="n"/>
      <c r="Z173" s="1" t="n"/>
      <c r="AA173" s="1" t="n"/>
      <c r="AB173" s="1" t="n"/>
      <c r="AC173" s="1" t="n"/>
      <c r="AD173" s="1"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5" t="n"/>
      <c r="Y174" s="1" t="n"/>
      <c r="Z174" s="1" t="n"/>
      <c r="AA174" s="1" t="n"/>
      <c r="AB174" s="1" t="n"/>
      <c r="AC174" s="1" t="n"/>
      <c r="AD174" s="1"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5" t="n"/>
      <c r="Y175" s="1" t="n"/>
      <c r="Z175" s="1" t="n"/>
      <c r="AA175" s="1" t="n"/>
      <c r="AB175" s="1" t="n"/>
      <c r="AC175" s="1" t="n"/>
      <c r="AD175" s="1"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5" t="n"/>
      <c r="Y176" s="1" t="n"/>
      <c r="Z176" s="1" t="n"/>
      <c r="AA176" s="1" t="n"/>
      <c r="AB176" s="1" t="n"/>
      <c r="AC176" s="1" t="n"/>
      <c r="AD176" s="1"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5" t="n"/>
      <c r="Y177" s="1" t="n"/>
      <c r="Z177" s="1" t="n"/>
      <c r="AA177" s="1" t="n"/>
      <c r="AB177" s="1" t="n"/>
      <c r="AC177" s="1" t="n"/>
      <c r="AD177" s="1"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5" t="n"/>
      <c r="Y178" s="1" t="n"/>
      <c r="Z178" s="1" t="n"/>
      <c r="AA178" s="1" t="n"/>
      <c r="AB178" s="1" t="n"/>
      <c r="AC178" s="1" t="n"/>
      <c r="AD178" s="1"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5" t="n"/>
      <c r="Y179" s="1" t="n"/>
      <c r="Z179" s="1" t="n"/>
      <c r="AA179" s="1" t="n"/>
      <c r="AB179" s="1" t="n"/>
      <c r="AC179" s="1" t="n"/>
      <c r="AD179" s="1"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5" t="n"/>
      <c r="Y180" s="1" t="n"/>
      <c r="Z180" s="1" t="n"/>
      <c r="AA180" s="1" t="n"/>
      <c r="AB180" s="1" t="n"/>
      <c r="AC180" s="1" t="n"/>
      <c r="AD180" s="1"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5" t="n"/>
      <c r="Y181" s="1" t="n"/>
      <c r="Z181" s="1" t="n"/>
      <c r="AA181" s="1" t="n"/>
      <c r="AB181" s="1" t="n"/>
      <c r="AC181" s="1" t="n"/>
      <c r="AD181" s="1"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5" t="n"/>
      <c r="Y182" s="1" t="n"/>
      <c r="Z182" s="1" t="n"/>
      <c r="AA182" s="1" t="n"/>
      <c r="AB182" s="1" t="n"/>
      <c r="AC182" s="1" t="n"/>
      <c r="AD182" s="1"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5" t="n"/>
      <c r="Y183" s="1" t="n"/>
      <c r="Z183" s="1" t="n"/>
      <c r="AA183" s="1" t="n"/>
      <c r="AB183" s="1" t="n"/>
      <c r="AC183" s="1" t="n"/>
      <c r="AD183" s="1"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5" t="n"/>
      <c r="Y184" s="1" t="n"/>
      <c r="Z184" s="1" t="n"/>
      <c r="AA184" s="1" t="n"/>
      <c r="AB184" s="1" t="n"/>
      <c r="AC184" s="1" t="n"/>
      <c r="AD184" s="1"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5" t="n"/>
      <c r="Y185" s="1" t="n"/>
      <c r="Z185" s="1" t="n"/>
      <c r="AA185" s="1" t="n"/>
      <c r="AB185" s="1" t="n"/>
      <c r="AC185" s="1" t="n"/>
      <c r="AD185" s="1"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5" t="n"/>
      <c r="Y186" s="1" t="n"/>
      <c r="Z186" s="1" t="n"/>
      <c r="AA186" s="1" t="n"/>
      <c r="AB186" s="1" t="n"/>
      <c r="AC186" s="1" t="n"/>
      <c r="AD186" s="1"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5" t="n"/>
      <c r="Y187" s="1" t="n"/>
      <c r="Z187" s="1" t="n"/>
      <c r="AA187" s="1" t="n"/>
      <c r="AB187" s="1" t="n"/>
      <c r="AC187" s="1" t="n"/>
      <c r="AD187" s="1"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5" t="n"/>
      <c r="Y188" s="1" t="n"/>
      <c r="Z188" s="1" t="n"/>
      <c r="AA188" s="1" t="n"/>
      <c r="AB188" s="1" t="n"/>
      <c r="AC188" s="1" t="n"/>
      <c r="AD188" s="1"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5" t="n"/>
      <c r="Y189" s="1" t="n"/>
      <c r="Z189" s="1" t="n"/>
      <c r="AA189" s="1" t="n"/>
      <c r="AB189" s="1" t="n"/>
      <c r="AC189" s="1" t="n"/>
      <c r="AD189" s="1"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5" t="n"/>
      <c r="Y190" s="1" t="n"/>
      <c r="Z190" s="1" t="n"/>
      <c r="AA190" s="1" t="n"/>
      <c r="AB190" s="1" t="n"/>
      <c r="AC190" s="1" t="n"/>
      <c r="AD190" s="1"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5" t="n"/>
      <c r="Y191" s="1" t="n"/>
      <c r="Z191" s="1" t="n"/>
      <c r="AA191" s="1" t="n"/>
      <c r="AB191" s="1" t="n"/>
      <c r="AC191" s="1" t="n"/>
      <c r="AD191" s="1"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5" t="n"/>
      <c r="Y192" s="1" t="n"/>
      <c r="Z192" s="1" t="n"/>
      <c r="AA192" s="1" t="n"/>
      <c r="AB192" s="1" t="n"/>
      <c r="AC192" s="1" t="n"/>
      <c r="AD192" s="1"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5" t="n"/>
      <c r="Y193" s="1" t="n"/>
      <c r="Z193" s="1" t="n"/>
      <c r="AA193" s="1" t="n"/>
      <c r="AB193" s="1" t="n"/>
      <c r="AC193" s="1" t="n"/>
      <c r="AD193" s="1"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5" t="n"/>
      <c r="Y194" s="1" t="n"/>
      <c r="Z194" s="1" t="n"/>
      <c r="AA194" s="1" t="n"/>
      <c r="AB194" s="1" t="n"/>
      <c r="AC194" s="1" t="n"/>
      <c r="AD194" s="1"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5" t="n"/>
      <c r="Y195" s="1" t="n"/>
      <c r="Z195" s="1" t="n"/>
      <c r="AA195" s="1" t="n"/>
      <c r="AB195" s="1" t="n"/>
      <c r="AC195" s="1" t="n"/>
      <c r="AD195" s="1"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5" t="n"/>
      <c r="Y196" s="1" t="n"/>
      <c r="Z196" s="1" t="n"/>
      <c r="AA196" s="1" t="n"/>
      <c r="AB196" s="1" t="n"/>
      <c r="AC196" s="1" t="n"/>
      <c r="AD196" s="1"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5" t="n"/>
      <c r="Y197" s="1" t="n"/>
      <c r="Z197" s="1" t="n"/>
      <c r="AA197" s="1" t="n"/>
      <c r="AB197" s="1" t="n"/>
      <c r="AC197" s="1" t="n"/>
      <c r="AD197" s="1"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5" t="n"/>
      <c r="Y198" s="1" t="n"/>
      <c r="Z198" s="1" t="n"/>
      <c r="AA198" s="1" t="n"/>
      <c r="AB198" s="1" t="n"/>
      <c r="AC198" s="1" t="n"/>
      <c r="AD198" s="1"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5" t="n"/>
      <c r="Y199" s="1" t="n"/>
      <c r="Z199" s="1" t="n"/>
      <c r="AA199" s="1" t="n"/>
      <c r="AB199" s="1" t="n"/>
      <c r="AC199" s="1" t="n"/>
      <c r="AD199" s="1"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5" t="n"/>
      <c r="Y200" s="1" t="n"/>
      <c r="Z200" s="1" t="n"/>
      <c r="AA200" s="1" t="n"/>
      <c r="AB200" s="1" t="n"/>
      <c r="AC200" s="1" t="n"/>
      <c r="AD200" s="1"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5" t="n"/>
      <c r="Y201" s="1" t="n"/>
      <c r="Z201" s="1" t="n"/>
      <c r="AA201" s="1" t="n"/>
      <c r="AB201" s="1" t="n"/>
      <c r="AC201" s="1" t="n"/>
      <c r="AD201" s="1"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5" t="n"/>
      <c r="Y202" s="1" t="n"/>
      <c r="Z202" s="1" t="n"/>
      <c r="AA202" s="1" t="n"/>
      <c r="AB202" s="1" t="n"/>
      <c r="AC202" s="1" t="n"/>
      <c r="AD202" s="1"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5" t="n"/>
      <c r="Y203" s="1" t="n"/>
      <c r="Z203" s="1" t="n"/>
      <c r="AA203" s="1" t="n"/>
      <c r="AB203" s="1" t="n"/>
      <c r="AC203" s="1" t="n"/>
      <c r="AD203" s="1"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5" t="n"/>
      <c r="Y204" s="1" t="n"/>
      <c r="Z204" s="1" t="n"/>
      <c r="AA204" s="1" t="n"/>
      <c r="AB204" s="1" t="n"/>
      <c r="AC204" s="1" t="n"/>
      <c r="AD204" s="1"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5" t="n"/>
      <c r="Y205" s="1" t="n"/>
      <c r="Z205" s="1" t="n"/>
      <c r="AA205" s="1" t="n"/>
      <c r="AB205" s="1" t="n"/>
      <c r="AC205" s="1" t="n"/>
      <c r="AD205" s="1"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5" t="n"/>
      <c r="Y206" s="1" t="n"/>
      <c r="Z206" s="1" t="n"/>
      <c r="AA206" s="1" t="n"/>
      <c r="AB206" s="1" t="n"/>
      <c r="AC206" s="1" t="n"/>
      <c r="AD206" s="1"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5" t="n"/>
      <c r="Y207" s="1" t="n"/>
      <c r="Z207" s="1" t="n"/>
      <c r="AA207" s="1" t="n"/>
      <c r="AB207" s="1" t="n"/>
      <c r="AC207" s="1" t="n"/>
      <c r="AD207" s="1"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5" t="n"/>
      <c r="Y208" s="1" t="n"/>
      <c r="Z208" s="1" t="n"/>
      <c r="AA208" s="1" t="n"/>
      <c r="AB208" s="1" t="n"/>
      <c r="AC208" s="1" t="n"/>
      <c r="AD208" s="1"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5" t="n"/>
      <c r="Y209" s="1" t="n"/>
      <c r="Z209" s="1" t="n"/>
      <c r="AA209" s="1" t="n"/>
      <c r="AB209" s="1" t="n"/>
      <c r="AC209" s="1" t="n"/>
      <c r="AD209" s="1"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5" t="n"/>
      <c r="Y210" s="1" t="n"/>
      <c r="Z210" s="1" t="n"/>
      <c r="AA210" s="1" t="n"/>
      <c r="AB210" s="1" t="n"/>
      <c r="AC210" s="1" t="n"/>
      <c r="AD210" s="1"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5" t="n"/>
      <c r="Y211" s="1" t="n"/>
      <c r="Z211" s="1" t="n"/>
      <c r="AA211" s="1" t="n"/>
      <c r="AB211" s="1" t="n"/>
      <c r="AC211" s="1" t="n"/>
      <c r="AD211" s="1"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5" t="n"/>
      <c r="Y212" s="1" t="n"/>
      <c r="Z212" s="1" t="n"/>
      <c r="AA212" s="1" t="n"/>
      <c r="AB212" s="1" t="n"/>
      <c r="AC212" s="1" t="n"/>
      <c r="AD212" s="1"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5" t="n"/>
      <c r="Y213" s="1" t="n"/>
      <c r="Z213" s="1" t="n"/>
      <c r="AA213" s="1" t="n"/>
      <c r="AB213" s="1" t="n"/>
      <c r="AC213" s="1" t="n"/>
      <c r="AD213" s="1"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5" t="n"/>
      <c r="Y214" s="1" t="n"/>
      <c r="Z214" s="1" t="n"/>
      <c r="AA214" s="1" t="n"/>
      <c r="AB214" s="1" t="n"/>
      <c r="AC214" s="1" t="n"/>
      <c r="AD214" s="1"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5" t="n"/>
      <c r="Y215" s="1" t="n"/>
      <c r="Z215" s="1" t="n"/>
      <c r="AA215" s="1" t="n"/>
      <c r="AB215" s="1" t="n"/>
      <c r="AC215" s="1" t="n"/>
      <c r="AD215" s="1"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5" t="n"/>
      <c r="Y216" s="1" t="n"/>
      <c r="Z216" s="1" t="n"/>
      <c r="AA216" s="1" t="n"/>
      <c r="AB216" s="1" t="n"/>
      <c r="AC216" s="1" t="n"/>
      <c r="AD216" s="1"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5" t="n"/>
      <c r="Y217" s="1" t="n"/>
      <c r="Z217" s="1" t="n"/>
      <c r="AA217" s="1" t="n"/>
      <c r="AB217" s="1" t="n"/>
      <c r="AC217" s="1" t="n"/>
      <c r="AD217" s="1"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5" t="n"/>
      <c r="Y218" s="1" t="n"/>
      <c r="Z218" s="1" t="n"/>
      <c r="AA218" s="1" t="n"/>
      <c r="AB218" s="1" t="n"/>
      <c r="AC218" s="1" t="n"/>
      <c r="AD218" s="1"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5" t="n"/>
      <c r="Y219" s="1" t="n"/>
      <c r="Z219" s="1" t="n"/>
      <c r="AA219" s="1" t="n"/>
      <c r="AB219" s="1" t="n"/>
      <c r="AC219" s="1" t="n"/>
      <c r="AD219" s="1"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5" t="n"/>
      <c r="Y220" s="1" t="n"/>
      <c r="Z220" s="1" t="n"/>
      <c r="AA220" s="1" t="n"/>
      <c r="AB220" s="1" t="n"/>
      <c r="AC220" s="1" t="n"/>
      <c r="AD220" s="1"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5" t="n"/>
      <c r="Y221" s="1" t="n"/>
      <c r="Z221" s="1" t="n"/>
      <c r="AA221" s="1" t="n"/>
      <c r="AB221" s="1" t="n"/>
      <c r="AC221" s="1" t="n"/>
      <c r="AD221" s="1"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5" t="n"/>
      <c r="Y222" s="1" t="n"/>
      <c r="Z222" s="1" t="n"/>
      <c r="AA222" s="1" t="n"/>
      <c r="AB222" s="1" t="n"/>
      <c r="AC222" s="1" t="n"/>
      <c r="AD222" s="1"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5" t="n"/>
      <c r="Y223" s="1" t="n"/>
      <c r="Z223" s="1" t="n"/>
      <c r="AA223" s="1" t="n"/>
      <c r="AB223" s="1" t="n"/>
      <c r="AC223" s="1" t="n"/>
      <c r="AD223" s="1"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5" t="n"/>
      <c r="Y224" s="1" t="n"/>
      <c r="Z224" s="1" t="n"/>
      <c r="AA224" s="1" t="n"/>
      <c r="AB224" s="1" t="n"/>
      <c r="AC224" s="1" t="n"/>
      <c r="AD224" s="1"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5" t="n"/>
      <c r="Y225" s="1" t="n"/>
      <c r="Z225" s="1" t="n"/>
      <c r="AA225" s="1" t="n"/>
      <c r="AB225" s="1" t="n"/>
      <c r="AC225" s="1" t="n"/>
      <c r="AD225" s="1"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5" t="n"/>
      <c r="Y226" s="1" t="n"/>
      <c r="Z226" s="1" t="n"/>
      <c r="AA226" s="1" t="n"/>
      <c r="AB226" s="1" t="n"/>
      <c r="AC226" s="1" t="n"/>
      <c r="AD226" s="1"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5" t="n"/>
      <c r="Y227" s="1" t="n"/>
      <c r="Z227" s="1" t="n"/>
      <c r="AA227" s="1" t="n"/>
      <c r="AB227" s="1" t="n"/>
      <c r="AC227" s="1" t="n"/>
      <c r="AD227" s="1"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5" t="n"/>
      <c r="Y228" s="1" t="n"/>
      <c r="Z228" s="1" t="n"/>
      <c r="AA228" s="1" t="n"/>
      <c r="AB228" s="1" t="n"/>
      <c r="AC228" s="1" t="n"/>
      <c r="AD228" s="1"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5" t="n"/>
      <c r="Y229" s="1" t="n"/>
      <c r="Z229" s="1" t="n"/>
      <c r="AA229" s="1" t="n"/>
      <c r="AB229" s="1" t="n"/>
      <c r="AC229" s="1" t="n"/>
      <c r="AD229" s="1"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5" t="n"/>
      <c r="Y230" s="1" t="n"/>
      <c r="Z230" s="1" t="n"/>
      <c r="AA230" s="1" t="n"/>
      <c r="AB230" s="1" t="n"/>
      <c r="AC230" s="1" t="n"/>
      <c r="AD230" s="1"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5" t="n"/>
      <c r="Y231" s="1" t="n"/>
      <c r="Z231" s="1" t="n"/>
      <c r="AA231" s="1" t="n"/>
      <c r="AB231" s="1" t="n"/>
      <c r="AC231" s="1" t="n"/>
      <c r="AD231" s="1"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5" t="n"/>
      <c r="Y232" s="1" t="n"/>
      <c r="Z232" s="1" t="n"/>
      <c r="AA232" s="1" t="n"/>
      <c r="AB232" s="1" t="n"/>
      <c r="AC232" s="1" t="n"/>
      <c r="AD232" s="1"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5" t="n"/>
      <c r="Y233" s="1" t="n"/>
      <c r="Z233" s="1" t="n"/>
      <c r="AA233" s="1" t="n"/>
      <c r="AB233" s="1" t="n"/>
      <c r="AC233" s="1" t="n"/>
      <c r="AD233" s="1"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5" t="n"/>
      <c r="Y234" s="1" t="n"/>
      <c r="Z234" s="1" t="n"/>
      <c r="AA234" s="1" t="n"/>
      <c r="AB234" s="1" t="n"/>
      <c r="AC234" s="1" t="n"/>
      <c r="AD234" s="1"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5" t="n"/>
      <c r="Y235" s="1" t="n"/>
      <c r="Z235" s="1" t="n"/>
      <c r="AA235" s="1" t="n"/>
      <c r="AB235" s="1" t="n"/>
      <c r="AC235" s="1" t="n"/>
      <c r="AD235" s="1"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5" t="n"/>
      <c r="Y236" s="1" t="n"/>
      <c r="Z236" s="1" t="n"/>
      <c r="AA236" s="1" t="n"/>
      <c r="AB236" s="1" t="n"/>
      <c r="AC236" s="1" t="n"/>
      <c r="AD236" s="1"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5" t="n"/>
      <c r="Y237" s="1" t="n"/>
      <c r="Z237" s="1" t="n"/>
      <c r="AA237" s="1" t="n"/>
      <c r="AB237" s="1" t="n"/>
      <c r="AC237" s="1" t="n"/>
      <c r="AD237" s="1"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5" t="n"/>
      <c r="Y238" s="1" t="n"/>
      <c r="Z238" s="1" t="n"/>
      <c r="AA238" s="1" t="n"/>
      <c r="AB238" s="1" t="n"/>
      <c r="AC238" s="1" t="n"/>
      <c r="AD238" s="1"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5" t="n"/>
      <c r="Y239" s="1" t="n"/>
      <c r="Z239" s="1" t="n"/>
      <c r="AA239" s="1" t="n"/>
      <c r="AB239" s="1" t="n"/>
      <c r="AC239" s="1" t="n"/>
      <c r="AD239" s="1"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5" t="n"/>
      <c r="Y240" s="1" t="n"/>
      <c r="Z240" s="1" t="n"/>
      <c r="AA240" s="1" t="n"/>
      <c r="AB240" s="1" t="n"/>
      <c r="AC240" s="1" t="n"/>
      <c r="AD240" s="1"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5" t="n"/>
      <c r="Y241" s="1" t="n"/>
      <c r="Z241" s="1" t="n"/>
      <c r="AA241" s="1" t="n"/>
      <c r="AB241" s="1" t="n"/>
      <c r="AC241" s="1" t="n"/>
      <c r="AD241" s="1"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5" t="n"/>
      <c r="Y242" s="1" t="n"/>
      <c r="Z242" s="1" t="n"/>
      <c r="AA242" s="1" t="n"/>
      <c r="AB242" s="1" t="n"/>
      <c r="AC242" s="1" t="n"/>
      <c r="AD242" s="1"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5" t="n"/>
      <c r="Y243" s="1" t="n"/>
      <c r="Z243" s="1" t="n"/>
      <c r="AA243" s="1" t="n"/>
      <c r="AB243" s="1" t="n"/>
      <c r="AC243" s="1" t="n"/>
      <c r="AD243" s="1"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5" t="n"/>
      <c r="Y244" s="1" t="n"/>
      <c r="Z244" s="1" t="n"/>
      <c r="AA244" s="1" t="n"/>
      <c r="AB244" s="1" t="n"/>
      <c r="AC244" s="1" t="n"/>
      <c r="AD244" s="1"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5" t="n"/>
      <c r="Y245" s="1" t="n"/>
      <c r="Z245" s="1" t="n"/>
      <c r="AA245" s="1" t="n"/>
      <c r="AB245" s="1" t="n"/>
      <c r="AC245" s="1" t="n"/>
      <c r="AD245" s="1"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5" t="n"/>
      <c r="Y246" s="1" t="n"/>
      <c r="Z246" s="1" t="n"/>
      <c r="AA246" s="1" t="n"/>
      <c r="AB246" s="1" t="n"/>
      <c r="AC246" s="1" t="n"/>
      <c r="AD246" s="1"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5" t="n"/>
      <c r="Y247" s="1" t="n"/>
      <c r="Z247" s="1" t="n"/>
      <c r="AA247" s="1" t="n"/>
      <c r="AB247" s="1" t="n"/>
      <c r="AC247" s="1" t="n"/>
      <c r="AD247" s="1"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5" t="n"/>
      <c r="Y248" s="1" t="n"/>
      <c r="Z248" s="1" t="n"/>
      <c r="AA248" s="1" t="n"/>
      <c r="AB248" s="1" t="n"/>
      <c r="AC248" s="1" t="n"/>
      <c r="AD248" s="1"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5" t="n"/>
      <c r="Y249" s="1" t="n"/>
      <c r="Z249" s="1" t="n"/>
      <c r="AA249" s="1" t="n"/>
      <c r="AB249" s="1" t="n"/>
      <c r="AC249" s="1" t="n"/>
      <c r="AD249" s="1"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5" t="n"/>
      <c r="Y250" s="1" t="n"/>
      <c r="Z250" s="1" t="n"/>
      <c r="AA250" s="1" t="n"/>
      <c r="AB250" s="1" t="n"/>
      <c r="AC250" s="1" t="n"/>
      <c r="AD250" s="1"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5" t="n"/>
      <c r="Y251" s="1" t="n"/>
      <c r="Z251" s="1" t="n"/>
      <c r="AA251" s="1" t="n"/>
      <c r="AB251" s="1" t="n"/>
      <c r="AC251" s="1" t="n"/>
      <c r="AD251" s="1"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5" t="n"/>
      <c r="Y252" s="1" t="n"/>
      <c r="Z252" s="1" t="n"/>
      <c r="AA252" s="1" t="n"/>
      <c r="AB252" s="1" t="n"/>
      <c r="AC252" s="1" t="n"/>
      <c r="AD252" s="1"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5" t="n"/>
      <c r="Y253" s="1" t="n"/>
      <c r="Z253" s="1" t="n"/>
      <c r="AA253" s="1" t="n"/>
      <c r="AB253" s="1" t="n"/>
      <c r="AC253" s="1" t="n"/>
      <c r="AD253" s="1"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5" t="n"/>
      <c r="Y254" s="1" t="n"/>
      <c r="Z254" s="1" t="n"/>
      <c r="AA254" s="1" t="n"/>
      <c r="AB254" s="1" t="n"/>
      <c r="AC254" s="1" t="n"/>
      <c r="AD254" s="1" t="n"/>
    </row>
    <row r="255" ht="15.75" customHeight="1" s="311">
      <c r="A255" s="145" t="n"/>
      <c r="B255" s="145" t="n"/>
      <c r="C255" s="145"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5" t="n"/>
      <c r="Y255" s="1" t="n"/>
      <c r="Z255" s="1" t="n"/>
      <c r="AA255" s="1" t="n"/>
      <c r="AB255" s="1" t="n"/>
      <c r="AC255" s="1" t="n"/>
      <c r="AD255" s="1" t="n"/>
    </row>
    <row r="256" ht="15.75" customHeight="1" s="311">
      <c r="A256" s="145" t="n"/>
      <c r="B256" s="145" t="n"/>
      <c r="C256" s="145"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5" t="n"/>
      <c r="Y256" s="1" t="n"/>
      <c r="Z256" s="1" t="n"/>
      <c r="AA256" s="1" t="n"/>
      <c r="AB256" s="1" t="n"/>
      <c r="AC256" s="1" t="n"/>
      <c r="AD256" s="1" t="n"/>
    </row>
    <row r="257" ht="15.75" customHeight="1" s="311">
      <c r="A257" s="145" t="n"/>
      <c r="B257" s="145" t="n"/>
      <c r="C257" s="145"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5" t="n"/>
      <c r="Y257" s="1" t="n"/>
      <c r="Z257" s="1" t="n"/>
      <c r="AA257" s="1" t="n"/>
      <c r="AB257" s="1" t="n"/>
      <c r="AC257" s="1" t="n"/>
      <c r="AD257" s="1" t="n"/>
    </row>
    <row r="258" ht="15.75" customHeight="1" s="311">
      <c r="A258" s="145" t="n"/>
      <c r="B258" s="145" t="n"/>
      <c r="C258" s="145"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5" t="n"/>
      <c r="Y258" s="1" t="n"/>
      <c r="Z258" s="1" t="n"/>
      <c r="AA258" s="1" t="n"/>
      <c r="AB258" s="1" t="n"/>
      <c r="AC258" s="1" t="n"/>
      <c r="AD258" s="1" t="n"/>
    </row>
    <row r="259" ht="15.75" customHeight="1" s="311">
      <c r="A259" s="145" t="n"/>
      <c r="B259" s="145" t="n"/>
      <c r="C259" s="145"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45" t="n"/>
      <c r="X259" s="145" t="n"/>
      <c r="Y259" s="1" t="n"/>
      <c r="Z259" s="1" t="n"/>
      <c r="AA259" s="1" t="n"/>
      <c r="AB259" s="1" t="n"/>
      <c r="AC259" s="1" t="n"/>
      <c r="AD259" s="1" t="n"/>
    </row>
    <row r="260" ht="15.75" customHeight="1" s="311">
      <c r="A260" s="145" t="n"/>
      <c r="B260" s="145" t="n"/>
      <c r="C260" s="145"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45" t="n"/>
      <c r="X260" s="145" t="n"/>
      <c r="Y260" s="1" t="n"/>
      <c r="Z260" s="1" t="n"/>
      <c r="AA260" s="1" t="n"/>
      <c r="AB260" s="1" t="n"/>
      <c r="AC260" s="1" t="n"/>
      <c r="AD260" s="1" t="n"/>
    </row>
    <row r="261" ht="15.75" customHeight="1" s="311">
      <c r="A261" s="145" t="n"/>
      <c r="B261" s="145" t="n"/>
      <c r="C261" s="145"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45" t="n"/>
      <c r="X261" s="145" t="n"/>
      <c r="Y261" s="1" t="n"/>
      <c r="Z261" s="1" t="n"/>
      <c r="AA261" s="1" t="n"/>
      <c r="AB261" s="1" t="n"/>
      <c r="AC261" s="1" t="n"/>
      <c r="AD261" s="1" t="n"/>
    </row>
    <row r="262" ht="15.75" customHeight="1" s="311">
      <c r="A262" s="145" t="n"/>
      <c r="B262" s="145" t="n"/>
      <c r="C262" s="145"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45" t="n"/>
      <c r="X262" s="145" t="n"/>
      <c r="Y262" s="1" t="n"/>
      <c r="Z262" s="1" t="n"/>
      <c r="AA262" s="1" t="n"/>
      <c r="AB262" s="1" t="n"/>
      <c r="AC262" s="1" t="n"/>
      <c r="AD262" s="1" t="n"/>
    </row>
    <row r="263" ht="15.75" customHeight="1" s="311">
      <c r="A263" s="145" t="n"/>
      <c r="B263" s="145" t="n"/>
      <c r="C263" s="145" t="n"/>
      <c r="D263" s="145" t="n"/>
      <c r="E263" s="145" t="n"/>
      <c r="F263" s="145" t="n"/>
      <c r="G263" s="145" t="n"/>
      <c r="H263" s="145" t="n"/>
      <c r="I263" s="145" t="n"/>
      <c r="J263" s="145" t="n"/>
      <c r="K263" s="145" t="n"/>
      <c r="L263" s="145" t="n"/>
      <c r="M263" s="145" t="n"/>
      <c r="N263" s="145" t="n"/>
      <c r="O263" s="145" t="n"/>
      <c r="P263" s="145" t="n"/>
      <c r="Q263" s="145" t="n"/>
      <c r="R263" s="145" t="n"/>
      <c r="S263" s="145" t="n"/>
      <c r="T263" s="145" t="n"/>
      <c r="U263" s="145" t="n"/>
      <c r="V263" s="145" t="n"/>
      <c r="W263" s="145" t="n"/>
      <c r="X263" s="145" t="n"/>
      <c r="Y263" s="1" t="n"/>
      <c r="Z263" s="1" t="n"/>
      <c r="AA263" s="1" t="n"/>
      <c r="AB263" s="1" t="n"/>
      <c r="AC263" s="1" t="n"/>
      <c r="AD263" s="1" t="n"/>
    </row>
    <row r="264" ht="15.75" customHeight="1" s="311">
      <c r="A264" s="145" t="n"/>
      <c r="B264" s="145" t="n"/>
      <c r="C264" s="145" t="n"/>
      <c r="D264" s="145" t="n"/>
      <c r="E264" s="145" t="n"/>
      <c r="F264" s="145" t="n"/>
      <c r="G264" s="145" t="n"/>
      <c r="H264" s="145" t="n"/>
      <c r="I264" s="145" t="n"/>
      <c r="J264" s="145" t="n"/>
      <c r="K264" s="145" t="n"/>
      <c r="L264" s="145" t="n"/>
      <c r="M264" s="145" t="n"/>
      <c r="N264" s="145" t="n"/>
      <c r="O264" s="145" t="n"/>
      <c r="P264" s="145" t="n"/>
      <c r="Q264" s="145" t="n"/>
      <c r="R264" s="145" t="n"/>
      <c r="S264" s="145" t="n"/>
      <c r="T264" s="145" t="n"/>
      <c r="U264" s="145" t="n"/>
      <c r="V264" s="145" t="n"/>
      <c r="W264" s="145" t="n"/>
      <c r="X264" s="145" t="n"/>
      <c r="Y264" s="1" t="n"/>
      <c r="Z264" s="1" t="n"/>
      <c r="AA264" s="1" t="n"/>
      <c r="AB264" s="1" t="n"/>
      <c r="AC264" s="1" t="n"/>
      <c r="AD264" s="1" t="n"/>
    </row>
    <row r="265" ht="15.75" customHeight="1" s="311">
      <c r="A265" s="145" t="n"/>
      <c r="B265" s="145" t="n"/>
      <c r="C265" s="145" t="n"/>
      <c r="D265" s="145" t="n"/>
      <c r="E265" s="145" t="n"/>
      <c r="F265" s="145" t="n"/>
      <c r="G265" s="145" t="n"/>
      <c r="H265" s="145" t="n"/>
      <c r="I265" s="145" t="n"/>
      <c r="J265" s="145" t="n"/>
      <c r="K265" s="145" t="n"/>
      <c r="L265" s="145" t="n"/>
      <c r="M265" s="145" t="n"/>
      <c r="N265" s="145" t="n"/>
      <c r="O265" s="145" t="n"/>
      <c r="P265" s="145" t="n"/>
      <c r="Q265" s="145" t="n"/>
      <c r="R265" s="145" t="n"/>
      <c r="S265" s="145" t="n"/>
      <c r="T265" s="145" t="n"/>
      <c r="U265" s="145" t="n"/>
      <c r="V265" s="145" t="n"/>
      <c r="W265" s="145" t="n"/>
      <c r="X265" s="145" t="n"/>
      <c r="Y265" s="1" t="n"/>
      <c r="Z265" s="1" t="n"/>
      <c r="AA265" s="1" t="n"/>
      <c r="AB265" s="1" t="n"/>
      <c r="AC265" s="1" t="n"/>
      <c r="AD265" s="1" t="n"/>
    </row>
    <row r="266" ht="15.75" customHeight="1" s="311">
      <c r="A266" s="145" t="n"/>
      <c r="B266" s="145" t="n"/>
      <c r="C266" s="145" t="n"/>
      <c r="D266" s="145" t="n"/>
      <c r="E266" s="145" t="n"/>
      <c r="F266" s="145" t="n"/>
      <c r="G266" s="145" t="n"/>
      <c r="H266" s="145" t="n"/>
      <c r="I266" s="145" t="n"/>
      <c r="J266" s="145" t="n"/>
      <c r="K266" s="145" t="n"/>
      <c r="L266" s="145" t="n"/>
      <c r="M266" s="145" t="n"/>
      <c r="N266" s="145" t="n"/>
      <c r="O266" s="145" t="n"/>
      <c r="P266" s="145" t="n"/>
      <c r="Q266" s="145" t="n"/>
      <c r="R266" s="145" t="n"/>
      <c r="S266" s="145" t="n"/>
      <c r="T266" s="145" t="n"/>
      <c r="U266" s="145" t="n"/>
      <c r="V266" s="145" t="n"/>
      <c r="W266" s="145" t="n"/>
      <c r="X266" s="145" t="n"/>
      <c r="Y266" s="1" t="n"/>
      <c r="Z266" s="1" t="n"/>
      <c r="AA266" s="1" t="n"/>
      <c r="AB266" s="1" t="n"/>
      <c r="AC266" s="1" t="n"/>
      <c r="AD266" s="1" t="n"/>
    </row>
    <row r="267" ht="15.75" customHeight="1" s="311">
      <c r="A267" s="145" t="n"/>
      <c r="B267" s="145" t="n"/>
      <c r="C267" s="145" t="n"/>
      <c r="D267" s="145" t="n"/>
      <c r="E267" s="145" t="n"/>
      <c r="F267" s="145" t="n"/>
      <c r="G267" s="145" t="n"/>
      <c r="H267" s="145" t="n"/>
      <c r="I267" s="145" t="n"/>
      <c r="J267" s="145" t="n"/>
      <c r="K267" s="145" t="n"/>
      <c r="L267" s="145" t="n"/>
      <c r="M267" s="145" t="n"/>
      <c r="N267" s="145" t="n"/>
      <c r="O267" s="145" t="n"/>
      <c r="P267" s="145" t="n"/>
      <c r="Q267" s="145" t="n"/>
      <c r="R267" s="145" t="n"/>
      <c r="S267" s="145" t="n"/>
      <c r="T267" s="145" t="n"/>
      <c r="U267" s="145" t="n"/>
      <c r="V267" s="145" t="n"/>
      <c r="W267" s="145" t="n"/>
      <c r="X267" s="145" t="n"/>
      <c r="Y267" s="1" t="n"/>
      <c r="Z267" s="1" t="n"/>
      <c r="AA267" s="1" t="n"/>
      <c r="AB267" s="1" t="n"/>
      <c r="AC267" s="1" t="n"/>
      <c r="AD267" s="1" t="n"/>
    </row>
    <row r="268" ht="15.75" customHeight="1" s="311">
      <c r="A268" s="145" t="n"/>
      <c r="B268" s="145" t="n"/>
      <c r="C268" s="145" t="n"/>
      <c r="D268" s="145" t="n"/>
      <c r="E268" s="145" t="n"/>
      <c r="F268" s="145" t="n"/>
      <c r="G268" s="145" t="n"/>
      <c r="H268" s="145" t="n"/>
      <c r="I268" s="145" t="n"/>
      <c r="J268" s="145" t="n"/>
      <c r="K268" s="145" t="n"/>
      <c r="L268" s="145" t="n"/>
      <c r="M268" s="145" t="n"/>
      <c r="N268" s="145" t="n"/>
      <c r="O268" s="145" t="n"/>
      <c r="P268" s="145" t="n"/>
      <c r="Q268" s="145" t="n"/>
      <c r="R268" s="145" t="n"/>
      <c r="S268" s="145" t="n"/>
      <c r="T268" s="145" t="n"/>
      <c r="U268" s="145" t="n"/>
      <c r="V268" s="145" t="n"/>
      <c r="W268" s="145" t="n"/>
      <c r="X268" s="145" t="n"/>
      <c r="Y268" s="1" t="n"/>
      <c r="Z268" s="1" t="n"/>
      <c r="AA268" s="1" t="n"/>
      <c r="AB268" s="1" t="n"/>
      <c r="AC268" s="1" t="n"/>
      <c r="AD268" s="1" t="n"/>
    </row>
    <row r="269" ht="15.75" customHeight="1" s="311">
      <c r="A269" s="145" t="n"/>
      <c r="B269" s="145" t="n"/>
      <c r="C269" s="145" t="n"/>
      <c r="D269" s="145" t="n"/>
      <c r="E269" s="145" t="n"/>
      <c r="F269" s="145" t="n"/>
      <c r="G269" s="145" t="n"/>
      <c r="H269" s="145" t="n"/>
      <c r="I269" s="145" t="n"/>
      <c r="J269" s="145" t="n"/>
      <c r="K269" s="145" t="n"/>
      <c r="L269" s="145" t="n"/>
      <c r="M269" s="145" t="n"/>
      <c r="N269" s="145" t="n"/>
      <c r="O269" s="145" t="n"/>
      <c r="P269" s="145" t="n"/>
      <c r="Q269" s="145" t="n"/>
      <c r="R269" s="145" t="n"/>
      <c r="S269" s="145" t="n"/>
      <c r="T269" s="145" t="n"/>
      <c r="U269" s="145" t="n"/>
      <c r="V269" s="145" t="n"/>
      <c r="W269" s="145" t="n"/>
      <c r="X269" s="145" t="n"/>
      <c r="Y269" s="1" t="n"/>
      <c r="Z269" s="1" t="n"/>
      <c r="AA269" s="1" t="n"/>
      <c r="AB269" s="1" t="n"/>
      <c r="AC269" s="1" t="n"/>
      <c r="AD269" s="1" t="n"/>
    </row>
    <row r="270" ht="15.75" customHeight="1" s="311">
      <c r="A270" s="145" t="n"/>
      <c r="B270" s="145" t="n"/>
      <c r="C270" s="145" t="n"/>
      <c r="D270" s="145" t="n"/>
      <c r="E270" s="145" t="n"/>
      <c r="F270" s="145" t="n"/>
      <c r="G270" s="145" t="n"/>
      <c r="H270" s="145" t="n"/>
      <c r="I270" s="145" t="n"/>
      <c r="J270" s="145" t="n"/>
      <c r="K270" s="145" t="n"/>
      <c r="L270" s="145" t="n"/>
      <c r="M270" s="145" t="n"/>
      <c r="N270" s="145" t="n"/>
      <c r="O270" s="145" t="n"/>
      <c r="P270" s="145" t="n"/>
      <c r="Q270" s="145" t="n"/>
      <c r="R270" s="145" t="n"/>
      <c r="S270" s="145" t="n"/>
      <c r="T270" s="145" t="n"/>
      <c r="U270" s="145" t="n"/>
      <c r="V270" s="145" t="n"/>
      <c r="W270" s="145" t="n"/>
      <c r="X270" s="145" t="n"/>
      <c r="Y270" s="1" t="n"/>
      <c r="Z270" s="1" t="n"/>
      <c r="AA270" s="1" t="n"/>
      <c r="AB270" s="1" t="n"/>
      <c r="AC270" s="1" t="n"/>
      <c r="AD270" s="1" t="n"/>
    </row>
    <row r="271" ht="15.75" customHeight="1" s="311">
      <c r="A271" s="145" t="n"/>
      <c r="B271" s="145" t="n"/>
      <c r="C271" s="145" t="n"/>
      <c r="D271" s="145" t="n"/>
      <c r="E271" s="145" t="n"/>
      <c r="F271" s="145" t="n"/>
      <c r="G271" s="145" t="n"/>
      <c r="H271" s="145" t="n"/>
      <c r="I271" s="145" t="n"/>
      <c r="J271" s="145" t="n"/>
      <c r="K271" s="145" t="n"/>
      <c r="L271" s="145" t="n"/>
      <c r="M271" s="145" t="n"/>
      <c r="N271" s="145" t="n"/>
      <c r="O271" s="145" t="n"/>
      <c r="P271" s="145" t="n"/>
      <c r="Q271" s="145" t="n"/>
      <c r="R271" s="145" t="n"/>
      <c r="S271" s="145" t="n"/>
      <c r="T271" s="145" t="n"/>
      <c r="U271" s="145" t="n"/>
      <c r="V271" s="145" t="n"/>
      <c r="W271" s="145" t="n"/>
      <c r="X271" s="145" t="n"/>
      <c r="Y271" s="1" t="n"/>
      <c r="Z271" s="1" t="n"/>
      <c r="AA271" s="1" t="n"/>
      <c r="AB271" s="1" t="n"/>
      <c r="AC271" s="1" t="n"/>
      <c r="AD271" s="1" t="n"/>
    </row>
    <row r="272" ht="15.75" customHeight="1" s="311">
      <c r="A272" s="145" t="n"/>
      <c r="B272" s="145" t="n"/>
      <c r="C272" s="145" t="n"/>
      <c r="D272" s="145" t="n"/>
      <c r="E272" s="145" t="n"/>
      <c r="F272" s="145" t="n"/>
      <c r="G272" s="145" t="n"/>
      <c r="H272" s="145" t="n"/>
      <c r="I272" s="145" t="n"/>
      <c r="J272" s="145" t="n"/>
      <c r="K272" s="145" t="n"/>
      <c r="L272" s="145" t="n"/>
      <c r="M272" s="145" t="n"/>
      <c r="N272" s="145" t="n"/>
      <c r="O272" s="145" t="n"/>
      <c r="P272" s="145" t="n"/>
      <c r="Q272" s="145" t="n"/>
      <c r="R272" s="145" t="n"/>
      <c r="S272" s="145" t="n"/>
      <c r="T272" s="145" t="n"/>
      <c r="U272" s="145" t="n"/>
      <c r="V272" s="145" t="n"/>
      <c r="W272" s="145" t="n"/>
      <c r="X272" s="145" t="n"/>
      <c r="Y272" s="1" t="n"/>
      <c r="Z272" s="1" t="n"/>
      <c r="AA272" s="1" t="n"/>
      <c r="AB272" s="1" t="n"/>
      <c r="AC272" s="1" t="n"/>
      <c r="AD272" s="1" t="n"/>
    </row>
    <row r="273" ht="15.75" customHeight="1" s="311">
      <c r="A273" s="145" t="n"/>
      <c r="B273" s="145" t="n"/>
      <c r="C273" s="145" t="n"/>
      <c r="D273" s="145" t="n"/>
      <c r="E273" s="145" t="n"/>
      <c r="F273" s="145" t="n"/>
      <c r="G273" s="145" t="n"/>
      <c r="H273" s="145" t="n"/>
      <c r="I273" s="145" t="n"/>
      <c r="J273" s="145" t="n"/>
      <c r="K273" s="145" t="n"/>
      <c r="L273" s="145" t="n"/>
      <c r="M273" s="145" t="n"/>
      <c r="N273" s="145" t="n"/>
      <c r="O273" s="145" t="n"/>
      <c r="P273" s="145" t="n"/>
      <c r="Q273" s="145" t="n"/>
      <c r="R273" s="145" t="n"/>
      <c r="S273" s="145" t="n"/>
      <c r="T273" s="145" t="n"/>
      <c r="U273" s="145" t="n"/>
      <c r="V273" s="145" t="n"/>
      <c r="W273" s="145" t="n"/>
      <c r="X273" s="145" t="n"/>
      <c r="Y273" s="1" t="n"/>
      <c r="Z273" s="1" t="n"/>
      <c r="AA273" s="1" t="n"/>
      <c r="AB273" s="1" t="n"/>
      <c r="AC273" s="1" t="n"/>
      <c r="AD273" s="1" t="n"/>
    </row>
    <row r="274" ht="15.75" customHeight="1" s="311">
      <c r="A274" s="145" t="n"/>
      <c r="B274" s="145" t="n"/>
      <c r="C274" s="145" t="n"/>
      <c r="D274" s="145" t="n"/>
      <c r="E274" s="145" t="n"/>
      <c r="F274" s="145" t="n"/>
      <c r="G274" s="145" t="n"/>
      <c r="H274" s="145" t="n"/>
      <c r="I274" s="145" t="n"/>
      <c r="J274" s="145" t="n"/>
      <c r="K274" s="145" t="n"/>
      <c r="L274" s="145" t="n"/>
      <c r="M274" s="145" t="n"/>
      <c r="N274" s="145" t="n"/>
      <c r="O274" s="145" t="n"/>
      <c r="P274" s="145" t="n"/>
      <c r="Q274" s="145" t="n"/>
      <c r="R274" s="145" t="n"/>
      <c r="S274" s="145" t="n"/>
      <c r="T274" s="145" t="n"/>
      <c r="U274" s="145" t="n"/>
      <c r="V274" s="145" t="n"/>
      <c r="W274" s="145" t="n"/>
      <c r="X274" s="145" t="n"/>
      <c r="Y274" s="1" t="n"/>
      <c r="Z274" s="1" t="n"/>
      <c r="AA274" s="1" t="n"/>
      <c r="AB274" s="1" t="n"/>
      <c r="AC274" s="1" t="n"/>
      <c r="AD274" s="1" t="n"/>
    </row>
    <row r="275" ht="15.75" customHeight="1" s="311">
      <c r="A275" s="145" t="n"/>
      <c r="B275" s="145" t="n"/>
      <c r="C275" s="145" t="n"/>
      <c r="D275" s="145" t="n"/>
      <c r="E275" s="145" t="n"/>
      <c r="F275" s="145" t="n"/>
      <c r="G275" s="145" t="n"/>
      <c r="H275" s="145" t="n"/>
      <c r="I275" s="145" t="n"/>
      <c r="J275" s="145" t="n"/>
      <c r="K275" s="145" t="n"/>
      <c r="L275" s="145" t="n"/>
      <c r="M275" s="145" t="n"/>
      <c r="N275" s="145" t="n"/>
      <c r="O275" s="145" t="n"/>
      <c r="P275" s="145" t="n"/>
      <c r="Q275" s="145" t="n"/>
      <c r="R275" s="145" t="n"/>
      <c r="S275" s="145" t="n"/>
      <c r="T275" s="145" t="n"/>
      <c r="U275" s="145" t="n"/>
      <c r="V275" s="145" t="n"/>
      <c r="W275" s="145" t="n"/>
      <c r="X275" s="145" t="n"/>
      <c r="Y275" s="1" t="n"/>
      <c r="Z275" s="1" t="n"/>
      <c r="AA275" s="1" t="n"/>
      <c r="AB275" s="1" t="n"/>
      <c r="AC275" s="1" t="n"/>
      <c r="AD275" s="1" t="n"/>
    </row>
    <row r="276" ht="15.75" customHeight="1" s="311">
      <c r="A276" s="145" t="n"/>
      <c r="B276" s="145" t="n"/>
      <c r="C276" s="145" t="n"/>
      <c r="D276" s="145" t="n"/>
      <c r="E276" s="145" t="n"/>
      <c r="F276" s="145" t="n"/>
      <c r="G276" s="145" t="n"/>
      <c r="H276" s="145" t="n"/>
      <c r="I276" s="145" t="n"/>
      <c r="J276" s="145" t="n"/>
      <c r="K276" s="145" t="n"/>
      <c r="L276" s="145" t="n"/>
      <c r="M276" s="145" t="n"/>
      <c r="N276" s="145" t="n"/>
      <c r="O276" s="145" t="n"/>
      <c r="P276" s="145" t="n"/>
      <c r="Q276" s="145" t="n"/>
      <c r="R276" s="145" t="n"/>
      <c r="S276" s="145" t="n"/>
      <c r="T276" s="145" t="n"/>
      <c r="U276" s="145" t="n"/>
      <c r="V276" s="145" t="n"/>
      <c r="W276" s="145" t="n"/>
      <c r="X276" s="145" t="n"/>
      <c r="Y276" s="1" t="n"/>
      <c r="Z276" s="1" t="n"/>
      <c r="AA276" s="1" t="n"/>
      <c r="AB276" s="1" t="n"/>
      <c r="AC276" s="1" t="n"/>
      <c r="AD276" s="1" t="n"/>
    </row>
    <row r="277" ht="15.75" customHeight="1" s="311">
      <c r="A277" s="145" t="n"/>
      <c r="B277" s="145" t="n"/>
      <c r="C277" s="145" t="n"/>
      <c r="D277" s="145" t="n"/>
      <c r="E277" s="145" t="n"/>
      <c r="F277" s="145" t="n"/>
      <c r="G277" s="145" t="n"/>
      <c r="H277" s="145" t="n"/>
      <c r="I277" s="145" t="n"/>
      <c r="J277" s="145" t="n"/>
      <c r="K277" s="145" t="n"/>
      <c r="L277" s="145" t="n"/>
      <c r="M277" s="145" t="n"/>
      <c r="N277" s="145" t="n"/>
      <c r="O277" s="145" t="n"/>
      <c r="P277" s="145" t="n"/>
      <c r="Q277" s="145" t="n"/>
      <c r="R277" s="145" t="n"/>
      <c r="S277" s="145" t="n"/>
      <c r="T277" s="145" t="n"/>
      <c r="U277" s="145" t="n"/>
      <c r="V277" s="145" t="n"/>
      <c r="W277" s="145" t="n"/>
      <c r="X277" s="145" t="n"/>
      <c r="Y277" s="1" t="n"/>
      <c r="Z277" s="1" t="n"/>
      <c r="AA277" s="1" t="n"/>
      <c r="AB277" s="1" t="n"/>
      <c r="AC277" s="1" t="n"/>
      <c r="AD277" s="1" t="n"/>
    </row>
    <row r="278" ht="15.75" customHeight="1" s="311">
      <c r="A278" s="145" t="n"/>
      <c r="B278" s="145" t="n"/>
      <c r="C278" s="145" t="n"/>
      <c r="D278" s="145" t="n"/>
      <c r="E278" s="145" t="n"/>
      <c r="F278" s="145" t="n"/>
      <c r="G278" s="145" t="n"/>
      <c r="H278" s="145" t="n"/>
      <c r="I278" s="145" t="n"/>
      <c r="J278" s="145" t="n"/>
      <c r="K278" s="145" t="n"/>
      <c r="L278" s="145" t="n"/>
      <c r="M278" s="145" t="n"/>
      <c r="N278" s="145" t="n"/>
      <c r="O278" s="145" t="n"/>
      <c r="P278" s="145" t="n"/>
      <c r="Q278" s="145" t="n"/>
      <c r="R278" s="145" t="n"/>
      <c r="S278" s="145" t="n"/>
      <c r="T278" s="145" t="n"/>
      <c r="U278" s="145" t="n"/>
      <c r="V278" s="145" t="n"/>
      <c r="W278" s="145" t="n"/>
      <c r="X278" s="145" t="n"/>
      <c r="Y278" s="1" t="n"/>
      <c r="Z278" s="1" t="n"/>
      <c r="AA278" s="1" t="n"/>
      <c r="AB278" s="1" t="n"/>
      <c r="AC278" s="1" t="n"/>
      <c r="AD278" s="1" t="n"/>
    </row>
    <row r="279" ht="15.75" customHeight="1" s="311">
      <c r="A279" s="145" t="n"/>
      <c r="B279" s="145" t="n"/>
      <c r="C279" s="145" t="n"/>
      <c r="D279" s="145" t="n"/>
      <c r="E279" s="145" t="n"/>
      <c r="F279" s="145" t="n"/>
      <c r="G279" s="145" t="n"/>
      <c r="H279" s="145" t="n"/>
      <c r="I279" s="145" t="n"/>
      <c r="J279" s="145" t="n"/>
      <c r="K279" s="145" t="n"/>
      <c r="L279" s="145" t="n"/>
      <c r="M279" s="145" t="n"/>
      <c r="N279" s="145" t="n"/>
      <c r="O279" s="145" t="n"/>
      <c r="P279" s="145" t="n"/>
      <c r="Q279" s="145" t="n"/>
      <c r="R279" s="145" t="n"/>
      <c r="S279" s="145" t="n"/>
      <c r="T279" s="145" t="n"/>
      <c r="U279" s="145" t="n"/>
      <c r="V279" s="145" t="n"/>
      <c r="W279" s="145" t="n"/>
      <c r="X279" s="145" t="n"/>
      <c r="Y279" s="1" t="n"/>
      <c r="Z279" s="1" t="n"/>
      <c r="AA279" s="1" t="n"/>
      <c r="AB279" s="1" t="n"/>
      <c r="AC279" s="1" t="n"/>
      <c r="AD279" s="1" t="n"/>
    </row>
    <row r="280" ht="15.75" customHeight="1" s="311">
      <c r="A280" s="145" t="n"/>
      <c r="B280" s="145" t="n"/>
      <c r="C280" s="145" t="n"/>
      <c r="D280" s="145" t="n"/>
      <c r="E280" s="145" t="n"/>
      <c r="F280" s="145" t="n"/>
      <c r="G280" s="145" t="n"/>
      <c r="H280" s="145" t="n"/>
      <c r="I280" s="145" t="n"/>
      <c r="J280" s="145" t="n"/>
      <c r="K280" s="145" t="n"/>
      <c r="L280" s="145" t="n"/>
      <c r="M280" s="145" t="n"/>
      <c r="N280" s="145" t="n"/>
      <c r="O280" s="145" t="n"/>
      <c r="P280" s="145" t="n"/>
      <c r="Q280" s="145" t="n"/>
      <c r="R280" s="145" t="n"/>
      <c r="S280" s="145" t="n"/>
      <c r="T280" s="145" t="n"/>
      <c r="U280" s="145" t="n"/>
      <c r="V280" s="145" t="n"/>
      <c r="W280" s="145" t="n"/>
      <c r="X280" s="145" t="n"/>
      <c r="Y280" s="1" t="n"/>
      <c r="Z280" s="1" t="n"/>
      <c r="AA280" s="1" t="n"/>
      <c r="AB280" s="1" t="n"/>
      <c r="AC280" s="1" t="n"/>
      <c r="AD280" s="1" t="n"/>
    </row>
    <row r="281" ht="15.75" customHeight="1" s="311">
      <c r="A281" s="145" t="n"/>
      <c r="B281" s="145" t="n"/>
      <c r="C281" s="145" t="n"/>
      <c r="D281" s="145" t="n"/>
      <c r="E281" s="145" t="n"/>
      <c r="F281" s="145" t="n"/>
      <c r="G281" s="145" t="n"/>
      <c r="H281" s="145" t="n"/>
      <c r="I281" s="145" t="n"/>
      <c r="J281" s="145" t="n"/>
      <c r="K281" s="145" t="n"/>
      <c r="L281" s="145" t="n"/>
      <c r="M281" s="145" t="n"/>
      <c r="N281" s="145" t="n"/>
      <c r="O281" s="145" t="n"/>
      <c r="P281" s="145" t="n"/>
      <c r="Q281" s="145" t="n"/>
      <c r="R281" s="145" t="n"/>
      <c r="S281" s="145" t="n"/>
      <c r="T281" s="145" t="n"/>
      <c r="U281" s="145" t="n"/>
      <c r="V281" s="145" t="n"/>
      <c r="W281" s="145" t="n"/>
      <c r="X281" s="145" t="n"/>
      <c r="Y281" s="1" t="n"/>
      <c r="Z281" s="1" t="n"/>
      <c r="AA281" s="1" t="n"/>
      <c r="AB281" s="1" t="n"/>
      <c r="AC281" s="1" t="n"/>
      <c r="AD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c r="AA282" s="1" t="n"/>
      <c r="AB282" s="1" t="n"/>
      <c r="AC282" s="1" t="n"/>
      <c r="AD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c r="AA283" s="1" t="n"/>
      <c r="AB283" s="1" t="n"/>
      <c r="AC283" s="1" t="n"/>
      <c r="AD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c r="AA284" s="1" t="n"/>
      <c r="AB284" s="1" t="n"/>
      <c r="AC284" s="1" t="n"/>
      <c r="AD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c r="AA285" s="1" t="n"/>
      <c r="AB285" s="1" t="n"/>
      <c r="AC285" s="1" t="n"/>
      <c r="AD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c r="AA286" s="1" t="n"/>
      <c r="AB286" s="1" t="n"/>
      <c r="AC286" s="1" t="n"/>
      <c r="AD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c r="AA287" s="1" t="n"/>
      <c r="AB287" s="1" t="n"/>
      <c r="AC287" s="1" t="n"/>
      <c r="AD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c r="AA288" s="1" t="n"/>
      <c r="AB288" s="1" t="n"/>
      <c r="AC288" s="1" t="n"/>
      <c r="AD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c r="AA289" s="1" t="n"/>
      <c r="AB289" s="1" t="n"/>
      <c r="AC289" s="1" t="n"/>
      <c r="AD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c r="AA290" s="1" t="n"/>
      <c r="AB290" s="1" t="n"/>
      <c r="AC290" s="1" t="n"/>
      <c r="AD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c r="AA291" s="1" t="n"/>
      <c r="AB291" s="1" t="n"/>
      <c r="AC291" s="1" t="n"/>
      <c r="AD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c r="AA292" s="1" t="n"/>
      <c r="AB292" s="1" t="n"/>
      <c r="AC292" s="1" t="n"/>
      <c r="AD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c r="AA293" s="1" t="n"/>
      <c r="AB293" s="1" t="n"/>
      <c r="AC293" s="1" t="n"/>
      <c r="AD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c r="AA294" s="1" t="n"/>
      <c r="AB294" s="1" t="n"/>
      <c r="AC294" s="1" t="n"/>
      <c r="AD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c r="AA295" s="1" t="n"/>
      <c r="AB295" s="1" t="n"/>
      <c r="AC295" s="1" t="n"/>
      <c r="AD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c r="AA296" s="1" t="n"/>
      <c r="AB296" s="1" t="n"/>
      <c r="AC296" s="1" t="n"/>
      <c r="AD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c r="AA297" s="1" t="n"/>
      <c r="AB297" s="1" t="n"/>
      <c r="AC297" s="1" t="n"/>
      <c r="AD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c r="AA298" s="1" t="n"/>
      <c r="AB298" s="1" t="n"/>
      <c r="AC298" s="1" t="n"/>
      <c r="AD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c r="AA299" s="1" t="n"/>
      <c r="AB299" s="1" t="n"/>
      <c r="AC299" s="1" t="n"/>
      <c r="AD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c r="AA300" s="1" t="n"/>
      <c r="AB300" s="1" t="n"/>
      <c r="AC300" s="1" t="n"/>
      <c r="AD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c r="AA301" s="1" t="n"/>
      <c r="AB301" s="1" t="n"/>
      <c r="AC301" s="1" t="n"/>
      <c r="AD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c r="AA302" s="1" t="n"/>
      <c r="AB302" s="1" t="n"/>
      <c r="AC302" s="1" t="n"/>
      <c r="AD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c r="AA303" s="1" t="n"/>
      <c r="AB303" s="1" t="n"/>
      <c r="AC303" s="1" t="n"/>
      <c r="AD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c r="AA304" s="1" t="n"/>
      <c r="AB304" s="1" t="n"/>
      <c r="AC304" s="1" t="n"/>
      <c r="AD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c r="AA305" s="1" t="n"/>
      <c r="AB305" s="1" t="n"/>
      <c r="AC305" s="1" t="n"/>
      <c r="AD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c r="AA306" s="1" t="n"/>
      <c r="AB306" s="1" t="n"/>
      <c r="AC306" s="1" t="n"/>
      <c r="AD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c r="AA307" s="1" t="n"/>
      <c r="AB307" s="1" t="n"/>
      <c r="AC307" s="1" t="n"/>
      <c r="AD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c r="AA308" s="1" t="n"/>
      <c r="AB308" s="1" t="n"/>
      <c r="AC308" s="1" t="n"/>
      <c r="AD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c r="AA309" s="1" t="n"/>
      <c r="AB309" s="1" t="n"/>
      <c r="AC309" s="1" t="n"/>
      <c r="AD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c r="AA310" s="1" t="n"/>
      <c r="AB310" s="1" t="n"/>
      <c r="AC310" s="1" t="n"/>
      <c r="AD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c r="AA311" s="1" t="n"/>
      <c r="AB311" s="1" t="n"/>
      <c r="AC311" s="1" t="n"/>
      <c r="AD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c r="AA312" s="1" t="n"/>
      <c r="AB312" s="1" t="n"/>
      <c r="AC312" s="1" t="n"/>
      <c r="AD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c r="AA313" s="1" t="n"/>
      <c r="AB313" s="1" t="n"/>
      <c r="AC313" s="1" t="n"/>
      <c r="AD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c r="AA314" s="1" t="n"/>
      <c r="AB314" s="1" t="n"/>
      <c r="AC314" s="1" t="n"/>
      <c r="AD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c r="AA315" s="1" t="n"/>
      <c r="AB315" s="1" t="n"/>
      <c r="AC315" s="1" t="n"/>
      <c r="AD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c r="AA316" s="1" t="n"/>
      <c r="AB316" s="1" t="n"/>
      <c r="AC316" s="1" t="n"/>
      <c r="AD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c r="AA317" s="1" t="n"/>
      <c r="AB317" s="1" t="n"/>
      <c r="AC317" s="1" t="n"/>
      <c r="AD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c r="AA318" s="1" t="n"/>
      <c r="AB318" s="1" t="n"/>
      <c r="AC318" s="1" t="n"/>
      <c r="AD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c r="AA319" s="1" t="n"/>
      <c r="AB319" s="1" t="n"/>
      <c r="AC319" s="1" t="n"/>
      <c r="AD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c r="AA320" s="1" t="n"/>
      <c r="AB320" s="1" t="n"/>
      <c r="AC320" s="1" t="n"/>
      <c r="AD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c r="AA321" s="1" t="n"/>
      <c r="AB321" s="1" t="n"/>
      <c r="AC321" s="1" t="n"/>
      <c r="AD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c r="AA322" s="1" t="n"/>
      <c r="AB322" s="1" t="n"/>
      <c r="AC322" s="1" t="n"/>
      <c r="AD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c r="AA323" s="1" t="n"/>
      <c r="AB323" s="1" t="n"/>
      <c r="AC323" s="1" t="n"/>
      <c r="AD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c r="AA324" s="1" t="n"/>
      <c r="AB324" s="1" t="n"/>
      <c r="AC324" s="1" t="n"/>
      <c r="AD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c r="AA325" s="1" t="n"/>
      <c r="AB325" s="1" t="n"/>
      <c r="AC325" s="1" t="n"/>
      <c r="AD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c r="AA326" s="1" t="n"/>
      <c r="AB326" s="1" t="n"/>
      <c r="AC326" s="1" t="n"/>
      <c r="AD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c r="AA327" s="1" t="n"/>
      <c r="AB327" s="1" t="n"/>
      <c r="AC327" s="1" t="n"/>
      <c r="AD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c r="AA328" s="1" t="n"/>
      <c r="AB328" s="1" t="n"/>
      <c r="AC328" s="1" t="n"/>
      <c r="AD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c r="AA329" s="1" t="n"/>
      <c r="AB329" s="1" t="n"/>
      <c r="AC329" s="1" t="n"/>
      <c r="AD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c r="AA330" s="1" t="n"/>
      <c r="AB330" s="1" t="n"/>
      <c r="AC330" s="1" t="n"/>
      <c r="AD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c r="AA331" s="1" t="n"/>
      <c r="AB331" s="1" t="n"/>
      <c r="AC331" s="1" t="n"/>
      <c r="AD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c r="AA332" s="1" t="n"/>
      <c r="AB332" s="1" t="n"/>
      <c r="AC332" s="1" t="n"/>
      <c r="AD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c r="AA333" s="1" t="n"/>
      <c r="AB333" s="1" t="n"/>
      <c r="AC333" s="1" t="n"/>
      <c r="AD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c r="AA334" s="1" t="n"/>
      <c r="AB334" s="1" t="n"/>
      <c r="AC334" s="1" t="n"/>
      <c r="AD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c r="AA335" s="1" t="n"/>
      <c r="AB335" s="1" t="n"/>
      <c r="AC335" s="1" t="n"/>
      <c r="AD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c r="AA336" s="1" t="n"/>
      <c r="AB336" s="1" t="n"/>
      <c r="AC336" s="1" t="n"/>
      <c r="AD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c r="AA337" s="1" t="n"/>
      <c r="AB337" s="1" t="n"/>
      <c r="AC337" s="1" t="n"/>
      <c r="AD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c r="AA338" s="1" t="n"/>
      <c r="AB338" s="1" t="n"/>
      <c r="AC338" s="1" t="n"/>
      <c r="AD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c r="AA339" s="1" t="n"/>
      <c r="AB339" s="1" t="n"/>
      <c r="AC339" s="1" t="n"/>
      <c r="AD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c r="AA340" s="1" t="n"/>
      <c r="AB340" s="1" t="n"/>
      <c r="AC340" s="1" t="n"/>
      <c r="AD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c r="AA341" s="1" t="n"/>
      <c r="AB341" s="1" t="n"/>
      <c r="AC341" s="1" t="n"/>
      <c r="AD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c r="AA342" s="1" t="n"/>
      <c r="AB342" s="1" t="n"/>
      <c r="AC342" s="1" t="n"/>
      <c r="AD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c r="AA343" s="1" t="n"/>
      <c r="AB343" s="1" t="n"/>
      <c r="AC343" s="1" t="n"/>
      <c r="AD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c r="AA344" s="1" t="n"/>
      <c r="AB344" s="1" t="n"/>
      <c r="AC344" s="1" t="n"/>
      <c r="AD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c r="AA345" s="1" t="n"/>
      <c r="AB345" s="1" t="n"/>
      <c r="AC345" s="1" t="n"/>
      <c r="AD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c r="AA346" s="1" t="n"/>
      <c r="AB346" s="1" t="n"/>
      <c r="AC346" s="1" t="n"/>
      <c r="AD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c r="AA347" s="1" t="n"/>
      <c r="AB347" s="1" t="n"/>
      <c r="AC347" s="1" t="n"/>
      <c r="AD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c r="AA348" s="1" t="n"/>
      <c r="AB348" s="1" t="n"/>
      <c r="AC348" s="1" t="n"/>
      <c r="AD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c r="AA349" s="1" t="n"/>
      <c r="AB349" s="1" t="n"/>
      <c r="AC349" s="1" t="n"/>
      <c r="AD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c r="AA350" s="1" t="n"/>
      <c r="AB350" s="1" t="n"/>
      <c r="AC350" s="1" t="n"/>
      <c r="AD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c r="AA351" s="1" t="n"/>
      <c r="AB351" s="1" t="n"/>
      <c r="AC351" s="1" t="n"/>
      <c r="AD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c r="AA352" s="1" t="n"/>
      <c r="AB352" s="1" t="n"/>
      <c r="AC352" s="1" t="n"/>
      <c r="AD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c r="AA353" s="1" t="n"/>
      <c r="AB353" s="1" t="n"/>
      <c r="AC353" s="1" t="n"/>
      <c r="AD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c r="AA354" s="1" t="n"/>
      <c r="AB354" s="1" t="n"/>
      <c r="AC354" s="1" t="n"/>
      <c r="AD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c r="AA355" s="1" t="n"/>
      <c r="AB355" s="1" t="n"/>
      <c r="AC355" s="1" t="n"/>
      <c r="AD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c r="AA356" s="1" t="n"/>
      <c r="AB356" s="1" t="n"/>
      <c r="AC356" s="1" t="n"/>
      <c r="AD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c r="AA357" s="1" t="n"/>
      <c r="AB357" s="1" t="n"/>
      <c r="AC357" s="1" t="n"/>
      <c r="AD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c r="AA358" s="1" t="n"/>
      <c r="AB358" s="1" t="n"/>
      <c r="AC358" s="1" t="n"/>
      <c r="AD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c r="AA359" s="1" t="n"/>
      <c r="AB359" s="1" t="n"/>
      <c r="AC359" s="1" t="n"/>
      <c r="AD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c r="AA360" s="1" t="n"/>
      <c r="AB360" s="1" t="n"/>
      <c r="AC360" s="1" t="n"/>
      <c r="AD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c r="AA361" s="1" t="n"/>
      <c r="AB361" s="1" t="n"/>
      <c r="AC361" s="1" t="n"/>
      <c r="AD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c r="AA362" s="1" t="n"/>
      <c r="AB362" s="1" t="n"/>
      <c r="AC362" s="1" t="n"/>
      <c r="AD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c r="AA363" s="1" t="n"/>
      <c r="AB363" s="1" t="n"/>
      <c r="AC363" s="1" t="n"/>
      <c r="AD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c r="AA364" s="1" t="n"/>
      <c r="AB364" s="1" t="n"/>
      <c r="AC364" s="1" t="n"/>
      <c r="AD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c r="AA365" s="1" t="n"/>
      <c r="AB365" s="1" t="n"/>
      <c r="AC365" s="1" t="n"/>
      <c r="AD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c r="AA366" s="1" t="n"/>
      <c r="AB366" s="1" t="n"/>
      <c r="AC366" s="1" t="n"/>
      <c r="AD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c r="AA367" s="1" t="n"/>
      <c r="AB367" s="1" t="n"/>
      <c r="AC367" s="1" t="n"/>
      <c r="AD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c r="AA368" s="1" t="n"/>
      <c r="AB368" s="1" t="n"/>
      <c r="AC368" s="1" t="n"/>
      <c r="AD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c r="AA369" s="1" t="n"/>
      <c r="AB369" s="1" t="n"/>
      <c r="AC369" s="1" t="n"/>
      <c r="AD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c r="AA370" s="1" t="n"/>
      <c r="AB370" s="1" t="n"/>
      <c r="AC370" s="1" t="n"/>
      <c r="AD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row>
  </sheetData>
  <mergeCells count="16">
    <mergeCell ref="B2:G2"/>
    <mergeCell ref="E62:G62"/>
    <mergeCell ref="E55:G55"/>
    <mergeCell ref="E52:G52"/>
    <mergeCell ref="E67:G67"/>
    <mergeCell ref="E60:G60"/>
    <mergeCell ref="E53:G53"/>
    <mergeCell ref="E61:G61"/>
    <mergeCell ref="E57:G57"/>
    <mergeCell ref="E56:G56"/>
    <mergeCell ref="E58:G58"/>
    <mergeCell ref="D170:G170"/>
    <mergeCell ref="B101:F101"/>
    <mergeCell ref="E59:G59"/>
    <mergeCell ref="E51:G51"/>
    <mergeCell ref="E54:G54"/>
  </mergeCells>
  <conditionalFormatting sqref="R7:R47">
    <cfRule type="cellIs" priority="1" operator="lessThan" dxfId="8">
      <formula>0</formula>
    </cfRule>
  </conditionalFormatting>
  <conditionalFormatting sqref="S7:S47">
    <cfRule type="cellIs" priority="2" operator="lessThan" dxfId="3">
      <formula>0</formula>
    </cfRule>
  </conditionalFormatting>
  <dataValidations count="4">
    <dataValidation sqref="Y7:Y47" showDropDown="0" showInputMessage="0" showErrorMessage="0" allowBlank="1" type="list">
      <formula1>"Muy bajo,Bajo,Medio,Alto,Muy alto"</formula1>
    </dataValidation>
    <dataValidation sqref="C7:C47" showDropDown="0" showInputMessage="0" showErrorMessage="0" allowBlank="1" type="list">
      <formula1>"Acciones,ETF,Fondo de inversión,Criptomoneda,Cuenta remunerada,Depósito a plazo,Préstamos P2P,Capital riesgo,Plan de pensiones,CFD / apalancado,Otro"</formula1>
    </dataValidation>
    <dataValidation sqref="E7:E47" showDropDown="0" showInputMessage="0" showErrorMessage="0" allowBlank="1" type="list">
      <formula1>Disponibilidad!$M$6:$M$9</formula1>
    </dataValidation>
    <dataValidation sqref="X7:X47" showDropDown="0" showInputMessage="0" showErrorMessage="0" allowBlank="1" type="list">
      <formula1>"Sí,No"</formula1>
    </dataValidation>
  </dataValidations>
  <hyperlinks>
    <hyperlink xmlns:r="http://schemas.openxmlformats.org/officeDocument/2006/relationships" ref="B11" r:id="rId1"/>
  </hyperlinks>
  <pageMargins left="0.75" right="0.75" top="1" bottom="1" header="0" footer="0"/>
  <pageSetup orientation="portrait" paperSize="9"/>
  <drawing xmlns:r="http://schemas.openxmlformats.org/officeDocument/2006/relationships" r:id="rId2"/>
</worksheet>
</file>

<file path=xl/worksheets/sheet17.xml><?xml version="1.0" encoding="utf-8"?>
<worksheet xmlns="http://schemas.openxmlformats.org/spreadsheetml/2006/main">
  <sheetPr>
    <tabColor rgb="FF7C5CFF"/>
    <outlinePr summaryBelow="1" summaryRight="1"/>
    <pageSetUpPr/>
  </sheetPr>
  <dimension ref="A1:Z1000"/>
  <sheetViews>
    <sheetView showGridLines="0" workbookViewId="0">
      <selection activeCell="A1" sqref="A1"/>
    </sheetView>
  </sheetViews>
  <sheetFormatPr baseColWidth="8" defaultColWidth="14.43" defaultRowHeight="15" customHeight="1"/>
  <cols>
    <col width="3" customWidth="1" style="311" min="1" max="1"/>
    <col width="46" customWidth="1" style="311" min="2" max="2"/>
    <col width="18.43" customWidth="1" style="311" min="3" max="3"/>
    <col width="16" customWidth="1" style="311" min="4" max="8"/>
    <col width="3" customWidth="1" style="311" min="9" max="9"/>
    <col width="22" customWidth="1" style="311" min="10" max="10"/>
    <col width="16" customWidth="1" style="311" min="11" max="14"/>
  </cols>
  <sheetData>
    <row r="1" ht="21.75" customHeight="1" s="311">
      <c r="A1" s="145" t="n"/>
      <c r="B1" s="19" t="inlineStr">
        <is>
          <t>COMPARATIVA DE ESCENARIOS</t>
        </is>
      </c>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row>
    <row r="2" ht="27.75" customHeight="1" s="311">
      <c r="A2" s="145" t="n"/>
      <c r="B2" s="20" t="inlineStr">
        <is>
          <t>La misma información que tenías repartida en cuatro hojas idénticas, ahora en una sola tabla donde se puede comparar de verdad. La columna "Mejor" señala qué escenario gana en cada línea.</t>
        </is>
      </c>
      <c r="G2" s="145" t="n"/>
      <c r="H2" s="145" t="n"/>
      <c r="I2" s="145" t="n"/>
      <c r="J2" s="145" t="n"/>
      <c r="K2" s="145" t="n"/>
      <c r="L2" s="145" t="n"/>
      <c r="M2" s="145" t="n"/>
      <c r="N2" s="145" t="n"/>
      <c r="O2" s="145" t="n"/>
      <c r="P2" s="145" t="n"/>
      <c r="Q2" s="145" t="n"/>
      <c r="R2" s="145" t="n"/>
      <c r="S2" s="145" t="n"/>
      <c r="T2" s="145" t="n"/>
      <c r="U2" s="145" t="n"/>
      <c r="V2" s="145" t="n"/>
      <c r="W2" s="145" t="n"/>
      <c r="X2" s="145" t="n"/>
      <c r="Y2" s="145" t="n"/>
      <c r="Z2" s="145" t="n"/>
    </row>
    <row r="3">
      <c r="A3" s="145" t="n"/>
      <c r="B3" s="145" t="n"/>
      <c r="C3" s="145" t="n"/>
      <c r="D3" s="145" t="n"/>
      <c r="E3" s="145" t="n"/>
      <c r="F3" s="145" t="n"/>
      <c r="G3" s="145" t="n"/>
      <c r="H3" s="145" t="n"/>
      <c r="I3" s="145" t="n"/>
      <c r="J3" s="145" t="n"/>
      <c r="K3" s="145" t="n"/>
      <c r="L3" s="145" t="n"/>
      <c r="M3" s="145" t="n"/>
      <c r="N3" s="145" t="n"/>
      <c r="O3" s="145" t="n"/>
      <c r="P3" s="145" t="n"/>
      <c r="Q3" s="145" t="n"/>
      <c r="R3" s="145" t="n"/>
      <c r="S3" s="145" t="n"/>
      <c r="T3" s="145" t="n"/>
      <c r="U3" s="145" t="n"/>
      <c r="V3" s="145" t="n"/>
      <c r="W3" s="145" t="n"/>
      <c r="X3" s="145" t="n"/>
      <c r="Y3" s="145" t="n"/>
      <c r="Z3" s="145" t="n"/>
    </row>
    <row r="4" ht="33.75" customHeight="1" s="311">
      <c r="A4" s="145" t="n"/>
      <c r="B4" s="33" t="inlineStr">
        <is>
          <t>Indicador</t>
        </is>
      </c>
      <c r="C4" s="33" t="inlineStr">
        <is>
          <t>Mejor</t>
        </is>
      </c>
      <c r="D4" s="33" t="inlineStr">
        <is>
          <t>Actual ( hoy)</t>
        </is>
      </c>
      <c r="E4" s="33" t="inlineStr">
        <is>
          <t>Irlanda</t>
        </is>
      </c>
      <c r="F4" s="33" t="inlineStr">
        <is>
          <t>Madrid</t>
        </is>
      </c>
      <c r="G4" s="33" t="inlineStr">
        <is>
          <t>La Coruña</t>
        </is>
      </c>
      <c r="H4" s="33" t="inlineStr">
        <is>
          <t>Personalizado</t>
        </is>
      </c>
      <c r="I4" s="145" t="n"/>
      <c r="J4" s="31" t="inlineStr">
        <is>
          <t>Datos para los gráficos</t>
        </is>
      </c>
      <c r="K4" s="145" t="n"/>
      <c r="L4" s="145" t="n"/>
      <c r="M4" s="145" t="n"/>
      <c r="N4" s="145" t="n"/>
      <c r="O4" s="145" t="n"/>
      <c r="P4" s="145" t="n"/>
      <c r="Q4" s="145" t="n"/>
      <c r="R4" s="145" t="n"/>
      <c r="S4" s="145" t="n"/>
      <c r="T4" s="145" t="n"/>
      <c r="U4" s="145" t="n"/>
      <c r="V4" s="145" t="n"/>
      <c r="W4" s="145" t="n"/>
      <c r="X4" s="145" t="n"/>
      <c r="Y4" s="145" t="n"/>
      <c r="Z4" s="145" t="n"/>
    </row>
    <row r="5" ht="29.25" customHeight="1" s="311">
      <c r="A5" s="145" t="n"/>
      <c r="B5" s="32" t="inlineStr">
        <is>
          <t>TU SITUACIÓN PERSONAL</t>
        </is>
      </c>
      <c r="C5" s="30" t="n"/>
      <c r="D5" s="30" t="n"/>
      <c r="E5" s="30" t="n"/>
      <c r="F5" s="30" t="n"/>
      <c r="G5" s="30" t="n"/>
      <c r="H5" s="30" t="n"/>
      <c r="I5" s="145" t="n"/>
      <c r="J5" s="33" t="inlineStr">
        <is>
          <t>Escenario</t>
        </is>
      </c>
      <c r="K5" s="33" t="inlineStr">
        <is>
          <t>Gastos personales</t>
        </is>
      </c>
      <c r="L5" s="33" t="inlineStr">
        <is>
          <t>Aportas a la casa</t>
        </is>
      </c>
      <c r="M5" s="33" t="inlineStr">
        <is>
          <t>Te queda</t>
        </is>
      </c>
      <c r="N5" s="33" t="inlineStr">
        <is>
          <t>Ahorro</t>
        </is>
      </c>
      <c r="O5" s="145" t="n"/>
      <c r="P5" s="145" t="n"/>
      <c r="Q5" s="145" t="n"/>
      <c r="R5" s="145" t="n"/>
      <c r="S5" s="145" t="n"/>
      <c r="T5" s="145" t="n"/>
      <c r="U5" s="145" t="n"/>
      <c r="V5" s="145" t="n"/>
      <c r="W5" s="145" t="n"/>
      <c r="X5" s="145" t="n"/>
      <c r="Y5" s="145" t="n"/>
      <c r="Z5" s="145" t="n"/>
    </row>
    <row r="6" ht="15" customHeight="1" s="311">
      <c r="A6" s="145" t="n"/>
      <c r="B6" s="46" t="inlineStr">
        <is>
          <t>Ingreso mensual neto</t>
        </is>
      </c>
      <c r="C6" s="163">
        <f t="array" ref="C6">IFERROR(INDEX($D$4:$H$4,MATCH(MAX($D6:$H6),$D6:$H6,0)),"")</f>
        <v/>
      </c>
      <c r="D6" s="61">
        <f>Escenarios!$D$6</f>
        <v/>
      </c>
      <c r="E6" s="61">
        <f>Escenarios!$E$6</f>
        <v/>
      </c>
      <c r="F6" s="61">
        <f>Escenarios!$F$6</f>
        <v/>
      </c>
      <c r="G6" s="61">
        <f>Escenarios!$G$6</f>
        <v/>
      </c>
      <c r="H6" s="61">
        <f>Escenarios!$H$6</f>
        <v/>
      </c>
      <c r="I6" s="145" t="n"/>
      <c r="J6" s="40">
        <f>Escenarios!$D$4</f>
        <v/>
      </c>
      <c r="K6" s="42">
        <f>Escenarios!$D$26</f>
        <v/>
      </c>
      <c r="L6" s="42">
        <f>Escenarios!$D$29</f>
        <v/>
      </c>
      <c r="M6" s="42">
        <f>Escenarios!$D$30</f>
        <v/>
      </c>
      <c r="N6" s="42">
        <f>Escenarios!$D$31</f>
        <v/>
      </c>
      <c r="O6" s="145" t="n"/>
      <c r="P6" s="145" t="n"/>
      <c r="Q6" s="145" t="n"/>
      <c r="R6" s="145" t="n"/>
      <c r="S6" s="145" t="n"/>
      <c r="T6" s="145" t="n"/>
      <c r="U6" s="145" t="n"/>
      <c r="V6" s="145" t="n"/>
      <c r="W6" s="145" t="n"/>
      <c r="X6" s="145" t="n"/>
      <c r="Y6" s="145" t="n"/>
      <c r="Z6" s="145" t="n"/>
    </row>
    <row r="7" ht="15" customHeight="1" s="311">
      <c r="A7" s="145" t="n"/>
      <c r="B7" s="46" t="inlineStr">
        <is>
          <t>Tus gastos personales de vida</t>
        </is>
      </c>
      <c r="C7" s="163">
        <f>IFERROR(INDEX($D$4:$H$4,MATCH(MIN($D7:$H7),$D7:$H7,0)),"")</f>
        <v/>
      </c>
      <c r="D7" s="61">
        <f>Escenarios!$D$26</f>
        <v/>
      </c>
      <c r="E7" s="61">
        <f>Escenarios!$E$26</f>
        <v/>
      </c>
      <c r="F7" s="61">
        <f>Escenarios!$F$26</f>
        <v/>
      </c>
      <c r="G7" s="61">
        <f>Escenarios!$G$26</f>
        <v/>
      </c>
      <c r="H7" s="61">
        <f>Escenarios!$H$26</f>
        <v/>
      </c>
      <c r="I7" s="145" t="n"/>
      <c r="J7" s="40">
        <f>Escenarios!$E$4</f>
        <v/>
      </c>
      <c r="K7" s="42">
        <f>Escenarios!$E$26</f>
        <v/>
      </c>
      <c r="L7" s="42">
        <f>Escenarios!$E$29</f>
        <v/>
      </c>
      <c r="M7" s="42">
        <f>Escenarios!$E$30</f>
        <v/>
      </c>
      <c r="N7" s="42">
        <f>Escenarios!$E$31</f>
        <v/>
      </c>
      <c r="O7" s="145" t="n"/>
      <c r="P7" s="145" t="n"/>
      <c r="Q7" s="145" t="n"/>
      <c r="R7" s="145" t="n"/>
      <c r="S7" s="145" t="n"/>
      <c r="T7" s="145" t="n"/>
      <c r="U7" s="145" t="n"/>
      <c r="V7" s="145" t="n"/>
      <c r="W7" s="145" t="n"/>
      <c r="X7" s="145" t="n"/>
      <c r="Y7" s="145" t="n"/>
      <c r="Z7" s="145" t="n"/>
    </row>
    <row r="8" ht="15" customHeight="1" s="311">
      <c r="A8" s="145" t="n"/>
      <c r="B8" s="46" t="inlineStr">
        <is>
          <t>Habitación / alquiler</t>
        </is>
      </c>
      <c r="C8" s="163">
        <f>IFERROR(INDEX($D$4:$H$4,MATCH(MIN($D8:$H8),$D8:$H8,0)),"")</f>
        <v/>
      </c>
      <c r="D8" s="61">
        <f>Escenarios!$D$21</f>
        <v/>
      </c>
      <c r="E8" s="61">
        <f>Escenarios!$E$21</f>
        <v/>
      </c>
      <c r="F8" s="61">
        <f>Escenarios!$F$21</f>
        <v/>
      </c>
      <c r="G8" s="61">
        <f>Escenarios!$G$21</f>
        <v/>
      </c>
      <c r="H8" s="61">
        <f>Escenarios!$H$21</f>
        <v/>
      </c>
      <c r="I8" s="145" t="n"/>
      <c r="J8" s="40">
        <f>Escenarios!$F$4</f>
        <v/>
      </c>
      <c r="K8" s="42">
        <f>Escenarios!$F$26</f>
        <v/>
      </c>
      <c r="L8" s="42">
        <f>Escenarios!$F$29</f>
        <v/>
      </c>
      <c r="M8" s="42">
        <f>Escenarios!$F$30</f>
        <v/>
      </c>
      <c r="N8" s="42">
        <f>Escenarios!$F$31</f>
        <v/>
      </c>
      <c r="O8" s="145" t="n"/>
      <c r="P8" s="145" t="n"/>
      <c r="Q8" s="145" t="n"/>
      <c r="R8" s="145" t="n"/>
      <c r="S8" s="145" t="n"/>
      <c r="T8" s="145" t="n"/>
      <c r="U8" s="145" t="n"/>
      <c r="V8" s="145" t="n"/>
      <c r="W8" s="145" t="n"/>
      <c r="X8" s="145" t="n"/>
      <c r="Y8" s="145" t="n"/>
      <c r="Z8" s="145" t="n"/>
    </row>
    <row r="9" ht="15" customHeight="1" s="311">
      <c r="A9" s="145" t="n"/>
      <c r="B9" s="46" t="inlineStr">
        <is>
          <t>Transporte / gasolina</t>
        </is>
      </c>
      <c r="C9" s="163">
        <f>IFERROR(INDEX($D$4:$H$4,MATCH(MIN($D9:$H9),$D9:$H9,0)),"")</f>
        <v/>
      </c>
      <c r="D9" s="61">
        <f>Escenarios!$D$22</f>
        <v/>
      </c>
      <c r="E9" s="61">
        <f>Escenarios!$E$22</f>
        <v/>
      </c>
      <c r="F9" s="61">
        <f>Escenarios!$F$22</f>
        <v/>
      </c>
      <c r="G9" s="61">
        <f>Escenarios!$G$22</f>
        <v/>
      </c>
      <c r="H9" s="61">
        <f>Escenarios!$H$22</f>
        <v/>
      </c>
      <c r="I9" s="145" t="n"/>
      <c r="J9" s="40">
        <f>Escenarios!$G$4</f>
        <v/>
      </c>
      <c r="K9" s="42">
        <f>Escenarios!$G$26</f>
        <v/>
      </c>
      <c r="L9" s="42">
        <f>Escenarios!$G$29</f>
        <v/>
      </c>
      <c r="M9" s="42">
        <f>Escenarios!$G$30</f>
        <v/>
      </c>
      <c r="N9" s="42">
        <f>Escenarios!$G$31</f>
        <v/>
      </c>
      <c r="O9" s="145" t="n"/>
      <c r="P9" s="145" t="n"/>
      <c r="Q9" s="145" t="n"/>
      <c r="R9" s="145" t="n"/>
      <c r="S9" s="145" t="n"/>
      <c r="T9" s="145" t="n"/>
      <c r="U9" s="145" t="n"/>
      <c r="V9" s="145" t="n"/>
      <c r="W9" s="145" t="n"/>
      <c r="X9" s="145" t="n"/>
      <c r="Y9" s="145" t="n"/>
      <c r="Z9" s="145" t="n"/>
    </row>
    <row r="10" ht="15" customHeight="1" s="311">
      <c r="A10" s="145" t="n"/>
      <c r="B10" s="46" t="inlineStr">
        <is>
          <t>Datos móviles</t>
        </is>
      </c>
      <c r="C10" s="163">
        <f>IFERROR(INDEX($D$4:$H$4,MATCH(MIN($D10:$H10),$D10:$H10,0)),"")</f>
        <v/>
      </c>
      <c r="D10" s="61">
        <f>Escenarios!$D$23</f>
        <v/>
      </c>
      <c r="E10" s="61">
        <f>Escenarios!$E$23</f>
        <v/>
      </c>
      <c r="F10" s="61">
        <f>Escenarios!$F$23</f>
        <v/>
      </c>
      <c r="G10" s="61">
        <f>Escenarios!$G$23</f>
        <v/>
      </c>
      <c r="H10" s="61">
        <f>Escenarios!$H$23</f>
        <v/>
      </c>
      <c r="I10" s="145" t="n"/>
      <c r="J10" s="40">
        <f>Escenarios!$H$4</f>
        <v/>
      </c>
      <c r="K10" s="42">
        <f>Escenarios!$H$26</f>
        <v/>
      </c>
      <c r="L10" s="42">
        <f>Escenarios!$H$29</f>
        <v/>
      </c>
      <c r="M10" s="42">
        <f>Escenarios!$H$30</f>
        <v/>
      </c>
      <c r="N10" s="42">
        <f>Escenarios!$H$31</f>
        <v/>
      </c>
      <c r="O10" s="145" t="n"/>
      <c r="P10" s="145" t="n"/>
      <c r="Q10" s="145" t="n"/>
      <c r="R10" s="145" t="n"/>
      <c r="S10" s="145" t="n"/>
      <c r="T10" s="145" t="n"/>
      <c r="U10" s="145" t="n"/>
      <c r="V10" s="145" t="n"/>
      <c r="W10" s="145" t="n"/>
      <c r="X10" s="145" t="n"/>
      <c r="Y10" s="145" t="n"/>
      <c r="Z10" s="145" t="n"/>
    </row>
    <row r="11" ht="15" customHeight="1" s="311">
      <c r="A11" s="145" t="n"/>
      <c r="B11" s="46" t="inlineStr">
        <is>
          <t>Comida</t>
        </is>
      </c>
      <c r="C11" s="163">
        <f>IFERROR(INDEX($D$4:$H$4,MATCH(MIN($D11:$H11),$D11:$H11,0)),"")</f>
        <v/>
      </c>
      <c r="D11" s="61">
        <f>Escenarios!$D$24</f>
        <v/>
      </c>
      <c r="E11" s="61">
        <f>Escenarios!$E$24</f>
        <v/>
      </c>
      <c r="F11" s="61">
        <f>Escenarios!$F$24</f>
        <v/>
      </c>
      <c r="G11" s="61">
        <f>Escenarios!$G$24</f>
        <v/>
      </c>
      <c r="H11" s="61">
        <f>Escenarios!$H$24</f>
        <v/>
      </c>
      <c r="I11" s="145" t="n"/>
      <c r="J11" s="145" t="n"/>
      <c r="K11" s="145" t="n"/>
      <c r="L11" s="145" t="n"/>
      <c r="M11" s="145" t="n"/>
      <c r="N11" s="145" t="n"/>
      <c r="O11" s="145" t="n"/>
      <c r="P11" s="145" t="n"/>
      <c r="Q11" s="145" t="n"/>
      <c r="R11" s="145" t="n"/>
      <c r="S11" s="145" t="n"/>
      <c r="T11" s="145" t="n"/>
      <c r="U11" s="145" t="n"/>
      <c r="V11" s="145" t="n"/>
      <c r="W11" s="145" t="n"/>
      <c r="X11" s="145" t="n"/>
      <c r="Y11" s="145" t="n"/>
      <c r="Z11" s="145" t="n"/>
    </row>
    <row r="12" ht="15" customHeight="1" s="311">
      <c r="A12" s="145" t="n"/>
      <c r="B12" s="46" t="inlineStr">
        <is>
          <t>Aporte a la hipoteca</t>
        </is>
      </c>
      <c r="C12" s="163" t="inlineStr">
        <is>
          <t>—</t>
        </is>
      </c>
      <c r="D12" s="61">
        <f>Escenarios!$D$28</f>
        <v/>
      </c>
      <c r="E12" s="61">
        <f>Escenarios!$E$28</f>
        <v/>
      </c>
      <c r="F12" s="61">
        <f>Escenarios!$F$28</f>
        <v/>
      </c>
      <c r="G12" s="61">
        <f>Escenarios!$G$28</f>
        <v/>
      </c>
      <c r="H12" s="61">
        <f>Escenarios!$H$28</f>
        <v/>
      </c>
      <c r="I12" s="145" t="n"/>
      <c r="J12" s="145" t="n"/>
      <c r="K12" s="145" t="n"/>
      <c r="L12" s="145" t="n"/>
      <c r="M12" s="145" t="n"/>
      <c r="N12" s="145" t="n"/>
      <c r="O12" s="145" t="n"/>
      <c r="P12" s="145" t="n"/>
      <c r="Q12" s="145" t="n"/>
      <c r="R12" s="145" t="n"/>
      <c r="S12" s="145" t="n"/>
      <c r="T12" s="145" t="n"/>
      <c r="U12" s="145" t="n"/>
      <c r="V12" s="145" t="n"/>
      <c r="W12" s="145" t="n"/>
      <c r="X12" s="145" t="n"/>
      <c r="Y12" s="145" t="n"/>
      <c r="Z12" s="145" t="n"/>
    </row>
    <row r="13" ht="27" customHeight="1" s="311">
      <c r="A13" s="145" t="n"/>
      <c r="B13" s="38" t="inlineStr">
        <is>
          <t>TOTAL QUE APORTAS A LA CASA</t>
        </is>
      </c>
      <c r="C13" s="172">
        <f>IFERROR(INDEX($D$4:$H$4,MATCH(MAX($D13:$H13),$D13:$H13,0)),"")</f>
        <v/>
      </c>
      <c r="D13" s="68">
        <f>Escenarios!$D$29</f>
        <v/>
      </c>
      <c r="E13" s="68">
        <f>Escenarios!$E$29</f>
        <v/>
      </c>
      <c r="F13" s="68">
        <f>Escenarios!$F$29</f>
        <v/>
      </c>
      <c r="G13" s="68">
        <f>Escenarios!$G$29</f>
        <v/>
      </c>
      <c r="H13" s="68">
        <f>Escenarios!$H$29</f>
        <v/>
      </c>
      <c r="I13" s="145" t="n"/>
      <c r="J13" s="33" t="inlineStr">
        <is>
          <t>Escenario</t>
        </is>
      </c>
      <c r="K13" s="33" t="inlineStr">
        <is>
          <t>Capacidad de ahorro total</t>
        </is>
      </c>
      <c r="L13" s="33" t="inlineStr">
        <is>
          <t>Superávit del hogar</t>
        </is>
      </c>
      <c r="M13" s="145" t="n"/>
      <c r="N13" s="145" t="n"/>
      <c r="O13" s="145" t="n"/>
      <c r="P13" s="145" t="n"/>
      <c r="Q13" s="145" t="n"/>
      <c r="R13" s="145" t="n"/>
      <c r="S13" s="145" t="n"/>
      <c r="T13" s="145" t="n"/>
      <c r="U13" s="145" t="n"/>
      <c r="V13" s="145" t="n"/>
      <c r="W13" s="145" t="n"/>
      <c r="X13" s="145" t="n"/>
      <c r="Y13" s="145" t="n"/>
      <c r="Z13" s="145" t="n"/>
    </row>
    <row r="14" ht="15" customHeight="1" s="311">
      <c r="A14" s="145" t="n"/>
      <c r="B14" s="38" t="inlineStr">
        <is>
          <t>LO QUE TE QUEDA PARA TI</t>
        </is>
      </c>
      <c r="C14" s="172">
        <f>IFERROR(INDEX($D$4:$H$4,MATCH(MAX($D14:$H14),$D14:$H14,0)),"")</f>
        <v/>
      </c>
      <c r="D14" s="68">
        <f>Escenarios!$D$30</f>
        <v/>
      </c>
      <c r="E14" s="68">
        <f>Escenarios!$E$30</f>
        <v/>
      </c>
      <c r="F14" s="68">
        <f>Escenarios!$F$30</f>
        <v/>
      </c>
      <c r="G14" s="68">
        <f>Escenarios!$G$30</f>
        <v/>
      </c>
      <c r="H14" s="68">
        <f>Escenarios!$H$30</f>
        <v/>
      </c>
      <c r="I14" s="145" t="n"/>
      <c r="J14" s="40">
        <f>Escenarios!$D$4</f>
        <v/>
      </c>
      <c r="K14" s="42">
        <f>Escenarios!$D$54</f>
        <v/>
      </c>
      <c r="L14" s="42">
        <f>Escenarios!$D$49</f>
        <v/>
      </c>
      <c r="M14" s="145" t="n"/>
      <c r="N14" s="145" t="n"/>
      <c r="O14" s="145" t="n"/>
      <c r="P14" s="145" t="n"/>
      <c r="Q14" s="145" t="n"/>
      <c r="R14" s="145" t="n"/>
      <c r="S14" s="145" t="n"/>
      <c r="T14" s="145" t="n"/>
      <c r="U14" s="145" t="n"/>
      <c r="V14" s="145" t="n"/>
      <c r="W14" s="145" t="n"/>
      <c r="X14" s="145" t="n"/>
      <c r="Y14" s="145" t="n"/>
      <c r="Z14" s="145" t="n"/>
    </row>
    <row r="15" ht="15" customHeight="1" s="311">
      <c r="A15" s="145" t="n"/>
      <c r="B15" s="46" t="inlineStr">
        <is>
          <t>Ahorro e inversión mensual</t>
        </is>
      </c>
      <c r="C15" s="163">
        <f>IFERROR(INDEX($D$4:$H$4,MATCH(MAX($D15:$H15),$D15:$H15,0)),"")</f>
        <v/>
      </c>
      <c r="D15" s="61">
        <f>Escenarios!$D$31</f>
        <v/>
      </c>
      <c r="E15" s="61">
        <f>Escenarios!$E$31</f>
        <v/>
      </c>
      <c r="F15" s="61">
        <f>Escenarios!$F$31</f>
        <v/>
      </c>
      <c r="G15" s="61">
        <f>Escenarios!$G$31</f>
        <v/>
      </c>
      <c r="H15" s="61">
        <f>Escenarios!$H$31</f>
        <v/>
      </c>
      <c r="I15" s="145" t="n"/>
      <c r="J15" s="40">
        <f>Escenarios!$E$4</f>
        <v/>
      </c>
      <c r="K15" s="42">
        <f>Escenarios!$E$54</f>
        <v/>
      </c>
      <c r="L15" s="42">
        <f>Escenarios!$E$49</f>
        <v/>
      </c>
      <c r="M15" s="145" t="n"/>
      <c r="N15" s="145" t="n"/>
      <c r="O15" s="145" t="n"/>
      <c r="P15" s="145" t="n"/>
      <c r="Q15" s="145" t="n"/>
      <c r="R15" s="145" t="n"/>
      <c r="S15" s="145" t="n"/>
      <c r="T15" s="145" t="n"/>
      <c r="U15" s="145" t="n"/>
      <c r="V15" s="145" t="n"/>
      <c r="W15" s="145" t="n"/>
      <c r="X15" s="145" t="n"/>
      <c r="Y15" s="145" t="n"/>
      <c r="Z15" s="145" t="n"/>
    </row>
    <row r="16" ht="15" customHeight="1" s="311">
      <c r="A16" s="145" t="n"/>
      <c r="B16" s="46" t="inlineStr">
        <is>
          <t>Tu tasa de ahorro</t>
        </is>
      </c>
      <c r="C16" s="163">
        <f>IFERROR(INDEX($D$4:$H$4,MATCH(MAX($D16:$H16),$D16:$H16,0)),"")</f>
        <v/>
      </c>
      <c r="D16" s="71">
        <f>Escenarios!$D$32</f>
        <v/>
      </c>
      <c r="E16" s="71">
        <f>Escenarios!$E$32</f>
        <v/>
      </c>
      <c r="F16" s="71">
        <f>Escenarios!$F$32</f>
        <v/>
      </c>
      <c r="G16" s="71">
        <f>Escenarios!$G$32</f>
        <v/>
      </c>
      <c r="H16" s="71">
        <f>Escenarios!$H$32</f>
        <v/>
      </c>
      <c r="I16" s="145" t="n"/>
      <c r="J16" s="40">
        <f>Escenarios!$F$4</f>
        <v/>
      </c>
      <c r="K16" s="42">
        <f>Escenarios!$F$54</f>
        <v/>
      </c>
      <c r="L16" s="42">
        <f>Escenarios!$F$49</f>
        <v/>
      </c>
      <c r="M16" s="145" t="n"/>
      <c r="N16" s="145" t="n"/>
      <c r="O16" s="145" t="n"/>
      <c r="P16" s="145" t="n"/>
      <c r="Q16" s="145" t="n"/>
      <c r="R16" s="145" t="n"/>
      <c r="S16" s="145" t="n"/>
      <c r="T16" s="145" t="n"/>
      <c r="U16" s="145" t="n"/>
      <c r="V16" s="145" t="n"/>
      <c r="W16" s="145" t="n"/>
      <c r="X16" s="145" t="n"/>
      <c r="Y16" s="145" t="n"/>
      <c r="Z16" s="145" t="n"/>
    </row>
    <row r="17" ht="15" customHeight="1" s="311">
      <c r="A17" s="145" t="n"/>
      <c r="B17" s="46" t="inlineStr">
        <is>
          <t>Coste total de tu vida</t>
        </is>
      </c>
      <c r="C17" s="163">
        <f t="array" ref="C17">IFERROR(INDEX($D$4:$H$4,MATCH(MIN($D17:$H17),$D17:$H17,0)),"")</f>
        <v/>
      </c>
      <c r="D17" s="61">
        <f>Escenarios!$D$56</f>
        <v/>
      </c>
      <c r="E17" s="61">
        <f>Escenarios!$E$56</f>
        <v/>
      </c>
      <c r="F17" s="61">
        <f>Escenarios!$F$56</f>
        <v/>
      </c>
      <c r="G17" s="61">
        <f>Escenarios!$G$56</f>
        <v/>
      </c>
      <c r="H17" s="61">
        <f>Escenarios!$H$56</f>
        <v/>
      </c>
      <c r="I17" s="145" t="n"/>
      <c r="J17" s="40">
        <f>Escenarios!$G$4</f>
        <v/>
      </c>
      <c r="K17" s="42">
        <f>Escenarios!$G$54</f>
        <v/>
      </c>
      <c r="L17" s="42">
        <f>Escenarios!$G$49</f>
        <v/>
      </c>
      <c r="M17" s="145" t="n"/>
      <c r="N17" s="145" t="n"/>
      <c r="O17" s="145" t="n"/>
      <c r="P17" s="145" t="n"/>
      <c r="Q17" s="145" t="n"/>
      <c r="R17" s="145" t="n"/>
      <c r="S17" s="145" t="n"/>
      <c r="T17" s="145" t="n"/>
      <c r="U17" s="145" t="n"/>
      <c r="V17" s="145" t="n"/>
      <c r="W17" s="145" t="n"/>
      <c r="X17" s="145" t="n"/>
      <c r="Y17" s="145" t="n"/>
      <c r="Z17" s="145" t="n"/>
    </row>
    <row r="18" ht="21.75" customHeight="1" s="311">
      <c r="A18" s="145" t="n"/>
      <c r="B18" s="32" t="inlineStr">
        <is>
          <t>EL HOGAR EN ESPAÑA</t>
        </is>
      </c>
      <c r="C18" s="30" t="n"/>
      <c r="D18" s="30" t="n"/>
      <c r="E18" s="30" t="n"/>
      <c r="F18" s="30" t="n"/>
      <c r="G18" s="30" t="n"/>
      <c r="H18" s="30" t="n"/>
      <c r="I18" s="145" t="n"/>
      <c r="J18" s="40">
        <f>Escenarios!$H$4</f>
        <v/>
      </c>
      <c r="K18" s="42">
        <f>Escenarios!$H$54</f>
        <v/>
      </c>
      <c r="L18" s="42">
        <f>Escenarios!$H$49</f>
        <v/>
      </c>
      <c r="M18" s="145" t="n"/>
      <c r="N18" s="145" t="n"/>
      <c r="O18" s="145" t="n"/>
      <c r="P18" s="145" t="n"/>
      <c r="Q18" s="145" t="n"/>
      <c r="R18" s="145" t="n"/>
      <c r="S18" s="145" t="n"/>
      <c r="T18" s="145" t="n"/>
      <c r="U18" s="145" t="n"/>
      <c r="V18" s="145" t="n"/>
      <c r="W18" s="145" t="n"/>
      <c r="X18" s="145" t="n"/>
      <c r="Y18" s="145" t="n"/>
      <c r="Z18" s="145" t="n"/>
    </row>
    <row r="19" ht="15" customHeight="1" s="311">
      <c r="A19" s="145" t="n"/>
      <c r="B19" s="46" t="inlineStr">
        <is>
          <t>Ingreso total del hogar</t>
        </is>
      </c>
      <c r="C19" s="163">
        <f t="array" ref="C19">IFERROR(INDEX($D$4:$H$4,MATCH(MAX($D19:$H19),$D19:$H19,0)),"")</f>
        <v/>
      </c>
      <c r="D19" s="61">
        <f>Escenarios!$D$39</f>
        <v/>
      </c>
      <c r="E19" s="61">
        <f>Escenarios!$E$39</f>
        <v/>
      </c>
      <c r="F19" s="61">
        <f>Escenarios!$F$39</f>
        <v/>
      </c>
      <c r="G19" s="61">
        <f>Escenarios!$G$39</f>
        <v/>
      </c>
      <c r="H19" s="61">
        <f>Escenarios!$H$39</f>
        <v/>
      </c>
      <c r="I19" s="145" t="n"/>
      <c r="J19" s="145" t="n"/>
      <c r="K19" s="145" t="n"/>
      <c r="L19" s="145" t="n"/>
      <c r="M19" s="145" t="n"/>
      <c r="N19" s="145" t="n"/>
      <c r="O19" s="145" t="n"/>
      <c r="P19" s="145" t="n"/>
      <c r="Q19" s="145" t="n"/>
      <c r="R19" s="145" t="n"/>
      <c r="S19" s="145" t="n"/>
      <c r="T19" s="145" t="n"/>
      <c r="U19" s="145" t="n"/>
      <c r="V19" s="145" t="n"/>
      <c r="W19" s="145" t="n"/>
      <c r="X19" s="145" t="n"/>
      <c r="Y19" s="145" t="n"/>
      <c r="Z19" s="145" t="n"/>
    </row>
    <row r="20" ht="15" customHeight="1" s="311">
      <c r="A20" s="145" t="n"/>
      <c r="B20" s="46" t="inlineStr">
        <is>
          <t>Total gastos del hogar</t>
        </is>
      </c>
      <c r="C20" s="163">
        <f t="array" ref="C20">IFERROR(INDEX($D$4:$H$4,MATCH(MIN($D20:$H20),$D20:$H20,0)),"")</f>
        <v/>
      </c>
      <c r="D20" s="61">
        <f>Escenarios!$D$48</f>
        <v/>
      </c>
      <c r="E20" s="61">
        <f>Escenarios!$E$48</f>
        <v/>
      </c>
      <c r="F20" s="61">
        <f>Escenarios!$F$48</f>
        <v/>
      </c>
      <c r="G20" s="61">
        <f>Escenarios!$G$48</f>
        <v/>
      </c>
      <c r="H20" s="61">
        <f>Escenarios!$H$48</f>
        <v/>
      </c>
      <c r="I20" s="145" t="n"/>
      <c r="J20" s="145" t="n"/>
      <c r="K20" s="145" t="n"/>
      <c r="L20" s="145" t="n"/>
      <c r="M20" s="145" t="n"/>
      <c r="N20" s="145" t="n"/>
      <c r="O20" s="145" t="n"/>
      <c r="P20" s="145" t="n"/>
      <c r="Q20" s="145" t="n"/>
      <c r="R20" s="145" t="n"/>
      <c r="S20" s="145" t="n"/>
      <c r="T20" s="145" t="n"/>
      <c r="U20" s="145" t="n"/>
      <c r="V20" s="145" t="n"/>
      <c r="W20" s="145" t="n"/>
      <c r="X20" s="145" t="n"/>
      <c r="Y20" s="145" t="n"/>
      <c r="Z20" s="145" t="n"/>
    </row>
    <row r="21" ht="26.25" customHeight="1" s="311">
      <c r="A21" s="145" t="n"/>
      <c r="B21" s="38" t="inlineStr">
        <is>
          <t>SUPERÁVIT DEL HOGAR</t>
        </is>
      </c>
      <c r="C21" s="172">
        <f t="array" ref="C21">IFERROR(INDEX($D$4:$H$4,MATCH(MAX($D21:$H21),$D21:$H21,0)),"")</f>
        <v/>
      </c>
      <c r="D21" s="68">
        <f>Escenarios!$D$49</f>
        <v/>
      </c>
      <c r="E21" s="68">
        <f>Escenarios!$E$49</f>
        <v/>
      </c>
      <c r="F21" s="68">
        <f>Escenarios!$F$49</f>
        <v/>
      </c>
      <c r="G21" s="68">
        <f>Escenarios!$G$49</f>
        <v/>
      </c>
      <c r="H21" s="68">
        <f>Escenarios!$H$49</f>
        <v/>
      </c>
      <c r="I21" s="145" t="n"/>
      <c r="J21" s="33" t="inlineStr">
        <is>
          <t>Escenario</t>
        </is>
      </c>
      <c r="K21" s="33" t="inlineStr">
        <is>
          <t>Años hasta el objetivo del 4%</t>
        </is>
      </c>
      <c r="L21" s="145" t="n"/>
      <c r="M21" s="145" t="n"/>
      <c r="N21" s="145" t="n"/>
      <c r="O21" s="145" t="n"/>
      <c r="P21" s="145" t="n"/>
      <c r="Q21" s="145" t="n"/>
      <c r="R21" s="145" t="n"/>
      <c r="S21" s="145" t="n"/>
      <c r="T21" s="145" t="n"/>
      <c r="U21" s="145" t="n"/>
      <c r="V21" s="145" t="n"/>
      <c r="W21" s="145" t="n"/>
      <c r="X21" s="145" t="n"/>
      <c r="Y21" s="145" t="n"/>
      <c r="Z21" s="145" t="n"/>
    </row>
    <row r="22" ht="15.75" customHeight="1" s="311">
      <c r="A22" s="145" t="n"/>
      <c r="B22" s="46" t="inlineStr">
        <is>
          <t>Gastos / ingresos del hogar</t>
        </is>
      </c>
      <c r="C22" s="163">
        <f t="array" ref="C22">IFERROR(INDEX($D$4:$H$4,MATCH(MIN($D22:$H22),$D22:$H22,0)),"")</f>
        <v/>
      </c>
      <c r="D22" s="71">
        <f>Escenarios!$D$50</f>
        <v/>
      </c>
      <c r="E22" s="71">
        <f>Escenarios!$E$50</f>
        <v/>
      </c>
      <c r="F22" s="71">
        <f>Escenarios!$F$50</f>
        <v/>
      </c>
      <c r="G22" s="71">
        <f>Escenarios!$G$50</f>
        <v/>
      </c>
      <c r="H22" s="71">
        <f>Escenarios!$H$50</f>
        <v/>
      </c>
      <c r="I22" s="145" t="n"/>
      <c r="J22" s="40">
        <f>Escenarios!$D$4</f>
        <v/>
      </c>
      <c r="K22" s="263">
        <f>Escenarios!$D$67</f>
        <v/>
      </c>
      <c r="L22" s="145" t="n"/>
      <c r="M22" s="145" t="n"/>
      <c r="N22" s="145" t="n"/>
      <c r="O22" s="145" t="n"/>
      <c r="P22" s="145" t="n"/>
      <c r="Q22" s="145" t="n"/>
      <c r="R22" s="145" t="n"/>
      <c r="S22" s="145" t="n"/>
      <c r="T22" s="145" t="n"/>
      <c r="U22" s="145" t="n"/>
      <c r="V22" s="145" t="n"/>
      <c r="W22" s="145" t="n"/>
      <c r="X22" s="145" t="n"/>
      <c r="Y22" s="145" t="n"/>
      <c r="Z22" s="145" t="n"/>
    </row>
    <row r="23" ht="21.75" customHeight="1" s="311">
      <c r="A23" s="145" t="n"/>
      <c r="B23" s="32" t="inlineStr">
        <is>
          <t>RESULTADO CONJUNTO</t>
        </is>
      </c>
      <c r="C23" s="30" t="n"/>
      <c r="D23" s="30" t="n"/>
      <c r="E23" s="30" t="n"/>
      <c r="F23" s="30" t="n"/>
      <c r="G23" s="30" t="n"/>
      <c r="H23" s="30" t="n"/>
      <c r="I23" s="145" t="n"/>
      <c r="J23" s="40">
        <f>Escenarios!$E$4</f>
        <v/>
      </c>
      <c r="K23" s="263">
        <f>Escenarios!$E$67</f>
        <v/>
      </c>
      <c r="L23" s="145" t="n"/>
      <c r="M23" s="145" t="n"/>
      <c r="N23" s="145" t="n"/>
      <c r="O23" s="145" t="n"/>
      <c r="P23" s="145" t="n"/>
      <c r="Q23" s="145" t="n"/>
      <c r="R23" s="145" t="n"/>
      <c r="S23" s="145" t="n"/>
      <c r="T23" s="145" t="n"/>
      <c r="U23" s="145" t="n"/>
      <c r="V23" s="145" t="n"/>
      <c r="W23" s="145" t="n"/>
      <c r="X23" s="145" t="n"/>
      <c r="Y23" s="145" t="n"/>
      <c r="Z23" s="145" t="n"/>
    </row>
    <row r="24" ht="15.75" customHeight="1" s="311">
      <c r="A24" s="145" t="n"/>
      <c r="B24" s="46" t="inlineStr">
        <is>
          <t>Ingreso total del sistema</t>
        </is>
      </c>
      <c r="C24" s="163">
        <f>IFERROR(INDEX($D$4:$H$4,MATCH(MAX($D24:$H24),$D24:$H24,0)),"")</f>
        <v/>
      </c>
      <c r="D24" s="61">
        <f>Escenarios!$D$53</f>
        <v/>
      </c>
      <c r="E24" s="61">
        <f>Escenarios!$E$53</f>
        <v/>
      </c>
      <c r="F24" s="61">
        <f>Escenarios!$F$53</f>
        <v/>
      </c>
      <c r="G24" s="61">
        <f>Escenarios!$G$53</f>
        <v/>
      </c>
      <c r="H24" s="61">
        <f>Escenarios!$H$53</f>
        <v/>
      </c>
      <c r="I24" s="145" t="n"/>
      <c r="J24" s="40">
        <f>Escenarios!$F$4</f>
        <v/>
      </c>
      <c r="K24" s="263">
        <f>Escenarios!$F$67</f>
        <v/>
      </c>
      <c r="L24" s="145" t="n"/>
      <c r="M24" s="145" t="n"/>
      <c r="N24" s="145" t="n"/>
      <c r="O24" s="145" t="n"/>
      <c r="P24" s="145" t="n"/>
      <c r="Q24" s="145" t="n"/>
      <c r="R24" s="145" t="n"/>
      <c r="S24" s="145" t="n"/>
      <c r="T24" s="145" t="n"/>
      <c r="U24" s="145" t="n"/>
      <c r="V24" s="145" t="n"/>
      <c r="W24" s="145" t="n"/>
      <c r="X24" s="145" t="n"/>
      <c r="Y24" s="145" t="n"/>
      <c r="Z24" s="145" t="n"/>
    </row>
    <row r="25" ht="15.75" customHeight="1" s="311">
      <c r="A25" s="145" t="n"/>
      <c r="B25" s="38" t="inlineStr">
        <is>
          <t>CAPACIDAD DE AHORRO TOTAL</t>
        </is>
      </c>
      <c r="C25" s="172">
        <f>IFERROR(INDEX($D$4:$H$4,MATCH(MAX($D25:$H25),$D25:$H25,0)),"")</f>
        <v/>
      </c>
      <c r="D25" s="68">
        <f>Escenarios!$D$54</f>
        <v/>
      </c>
      <c r="E25" s="68">
        <f>Escenarios!$E$54</f>
        <v/>
      </c>
      <c r="F25" s="68">
        <f>Escenarios!$F$54</f>
        <v/>
      </c>
      <c r="G25" s="68">
        <f>Escenarios!$G$54</f>
        <v/>
      </c>
      <c r="H25" s="68">
        <f>Escenarios!$H$54</f>
        <v/>
      </c>
      <c r="I25" s="145" t="n"/>
      <c r="J25" s="40">
        <f>Escenarios!$G$4</f>
        <v/>
      </c>
      <c r="K25" s="263">
        <f>Escenarios!$G$67</f>
        <v/>
      </c>
      <c r="L25" s="145" t="n"/>
      <c r="M25" s="145" t="n"/>
      <c r="N25" s="145" t="n"/>
      <c r="O25" s="145" t="n"/>
      <c r="P25" s="145" t="n"/>
      <c r="Q25" s="145" t="n"/>
      <c r="R25" s="145" t="n"/>
      <c r="S25" s="145" t="n"/>
      <c r="T25" s="145" t="n"/>
      <c r="U25" s="145" t="n"/>
      <c r="V25" s="145" t="n"/>
      <c r="W25" s="145" t="n"/>
      <c r="X25" s="145" t="n"/>
      <c r="Y25" s="145" t="n"/>
      <c r="Z25" s="145" t="n"/>
    </row>
    <row r="26" ht="15.75" customHeight="1" s="311">
      <c r="A26" s="145" t="n"/>
      <c r="B26" s="46" t="inlineStr">
        <is>
          <t>Tasa de ahorro del sistema</t>
        </is>
      </c>
      <c r="C26" s="163">
        <f>IFERROR(INDEX($D$4:$H$4,MATCH(MAX($D26:$H26),$D26:$H26,0)),"")</f>
        <v/>
      </c>
      <c r="D26" s="71">
        <f>Escenarios!$D$55</f>
        <v/>
      </c>
      <c r="E26" s="71">
        <f>Escenarios!$E$55</f>
        <v/>
      </c>
      <c r="F26" s="71">
        <f>Escenarios!$F$55</f>
        <v/>
      </c>
      <c r="G26" s="71">
        <f>Escenarios!$G$55</f>
        <v/>
      </c>
      <c r="H26" s="71">
        <f>Escenarios!$H$55</f>
        <v/>
      </c>
      <c r="I26" s="145" t="n"/>
      <c r="J26" s="40">
        <f>Escenarios!$H$4</f>
        <v/>
      </c>
      <c r="K26" s="263">
        <f>Escenarios!$H$67</f>
        <v/>
      </c>
      <c r="L26" s="145" t="n"/>
      <c r="M26" s="145" t="n"/>
      <c r="N26" s="145" t="n"/>
      <c r="O26" s="145" t="n"/>
      <c r="P26" s="145" t="n"/>
      <c r="Q26" s="145" t="n"/>
      <c r="R26" s="145" t="n"/>
      <c r="S26" s="145" t="n"/>
      <c r="T26" s="145" t="n"/>
      <c r="U26" s="145" t="n"/>
      <c r="V26" s="145" t="n"/>
      <c r="W26" s="145" t="n"/>
      <c r="X26" s="145" t="n"/>
      <c r="Y26" s="145" t="n"/>
      <c r="Z26" s="145" t="n"/>
    </row>
    <row r="27" ht="21.75" customHeight="1" s="311">
      <c r="A27" s="145" t="n"/>
      <c r="B27" s="32" t="inlineStr">
        <is>
          <t>INDEPENDENCIA FINANCIERA</t>
        </is>
      </c>
      <c r="C27" s="30" t="n"/>
      <c r="D27" s="30" t="n"/>
      <c r="E27" s="30" t="n"/>
      <c r="F27" s="30" t="n"/>
      <c r="G27" s="30" t="n"/>
      <c r="H27" s="30" t="n"/>
      <c r="I27" s="145" t="n"/>
      <c r="J27" s="145" t="n"/>
      <c r="K27" s="145" t="n"/>
      <c r="L27" s="145" t="n"/>
      <c r="M27" s="145" t="n"/>
      <c r="N27" s="145" t="n"/>
      <c r="O27" s="145" t="n"/>
      <c r="P27" s="145" t="n"/>
      <c r="Q27" s="145" t="n"/>
      <c r="R27" s="145" t="n"/>
      <c r="S27" s="145" t="n"/>
      <c r="T27" s="145" t="n"/>
      <c r="U27" s="145" t="n"/>
      <c r="V27" s="145" t="n"/>
      <c r="W27" s="145" t="n"/>
      <c r="X27" s="145" t="n"/>
      <c r="Y27" s="145" t="n"/>
      <c r="Z27" s="145" t="n"/>
    </row>
    <row r="28" ht="15.75" customHeight="1" s="311">
      <c r="A28" s="145" t="n"/>
      <c r="B28" s="46" t="inlineStr">
        <is>
          <t>Gasto mensual a cubrir sin trabajar</t>
        </is>
      </c>
      <c r="C28" s="163">
        <f>IFERROR(INDEX($D$4:$H$4,MATCH(MIN($D28:$H28),$D28:$H28,0)),"")</f>
        <v/>
      </c>
      <c r="D28" s="61">
        <f>Escenarios!$D$59</f>
        <v/>
      </c>
      <c r="E28" s="61">
        <f>Escenarios!$E$59</f>
        <v/>
      </c>
      <c r="F28" s="61">
        <f>Escenarios!$F$59</f>
        <v/>
      </c>
      <c r="G28" s="61">
        <f>Escenarios!$G$59</f>
        <v/>
      </c>
      <c r="H28" s="61">
        <f>Escenarios!$H$59</f>
        <v/>
      </c>
      <c r="I28" s="145" t="n"/>
      <c r="J28" s="145" t="n"/>
      <c r="K28" s="145" t="n"/>
      <c r="L28" s="145" t="n"/>
      <c r="M28" s="145" t="n"/>
      <c r="N28" s="145" t="n"/>
      <c r="O28" s="145" t="n"/>
      <c r="P28" s="145" t="n"/>
      <c r="Q28" s="145" t="n"/>
      <c r="R28" s="145" t="n"/>
      <c r="S28" s="145" t="n"/>
      <c r="T28" s="145" t="n"/>
      <c r="U28" s="145" t="n"/>
      <c r="V28" s="145" t="n"/>
      <c r="W28" s="145" t="n"/>
      <c r="X28" s="145" t="n"/>
      <c r="Y28" s="145" t="n"/>
      <c r="Z28" s="145" t="n"/>
    </row>
    <row r="29" ht="15.75" customHeight="1" s="311">
      <c r="A29" s="145" t="n"/>
      <c r="B29" s="46" t="inlineStr">
        <is>
          <t>Objetivo con tu regla (120 meses)</t>
        </is>
      </c>
      <c r="C29" s="163">
        <f>IFERROR(INDEX($D$4:$H$4,MATCH(MIN($D29:$H29),$D29:$H29,0)),"")</f>
        <v/>
      </c>
      <c r="D29" s="61">
        <f>Escenarios!$D$61</f>
        <v/>
      </c>
      <c r="E29" s="61">
        <f>Escenarios!$E$61</f>
        <v/>
      </c>
      <c r="F29" s="61">
        <f>Escenarios!$F$61</f>
        <v/>
      </c>
      <c r="G29" s="61">
        <f>Escenarios!$G$61</f>
        <v/>
      </c>
      <c r="H29" s="61">
        <f>Escenarios!$H$61</f>
        <v/>
      </c>
      <c r="I29" s="145" t="n"/>
      <c r="J29" s="145" t="n"/>
      <c r="K29" s="145" t="n"/>
      <c r="L29" s="145" t="n"/>
      <c r="M29" s="145" t="n"/>
      <c r="N29" s="145" t="n"/>
      <c r="O29" s="145" t="n"/>
      <c r="P29" s="145" t="n"/>
      <c r="Q29" s="145" t="n"/>
      <c r="R29" s="145" t="n"/>
      <c r="S29" s="145" t="n"/>
      <c r="T29" s="145" t="n"/>
      <c r="U29" s="145" t="n"/>
      <c r="V29" s="145" t="n"/>
      <c r="W29" s="145" t="n"/>
      <c r="X29" s="145" t="n"/>
      <c r="Y29" s="145" t="n"/>
      <c r="Z29" s="145" t="n"/>
    </row>
    <row r="30" ht="15.75" customHeight="1" s="311">
      <c r="A30" s="145" t="n"/>
      <c r="B30" s="46" t="inlineStr">
        <is>
          <t>Objetivo con la regla del 4%</t>
        </is>
      </c>
      <c r="C30" s="163">
        <f>IFERROR(INDEX($D$4:$H$4,MATCH(MIN($D30:$H30),$D30:$H30,0)),"")</f>
        <v/>
      </c>
      <c r="D30" s="61">
        <f>Escenarios!$D$63</f>
        <v/>
      </c>
      <c r="E30" s="61">
        <f>Escenarios!$E$63</f>
        <v/>
      </c>
      <c r="F30" s="61">
        <f>Escenarios!$F$63</f>
        <v/>
      </c>
      <c r="G30" s="61">
        <f>Escenarios!$G$63</f>
        <v/>
      </c>
      <c r="H30" s="61">
        <f>Escenarios!$H$63</f>
        <v/>
      </c>
      <c r="I30" s="145" t="n"/>
      <c r="J30" s="145" t="n"/>
      <c r="K30" s="145" t="n"/>
      <c r="L30" s="145" t="n"/>
      <c r="M30" s="145" t="n"/>
      <c r="N30" s="145" t="n"/>
      <c r="O30" s="145" t="n"/>
      <c r="P30" s="145" t="n"/>
      <c r="Q30" s="145" t="n"/>
      <c r="R30" s="145" t="n"/>
      <c r="S30" s="145" t="n"/>
      <c r="T30" s="145" t="n"/>
      <c r="U30" s="145" t="n"/>
      <c r="V30" s="145" t="n"/>
      <c r="W30" s="145" t="n"/>
      <c r="X30" s="145" t="n"/>
      <c r="Y30" s="145" t="n"/>
      <c r="Z30" s="145" t="n"/>
    </row>
    <row r="31" ht="15.75" customHeight="1" s="311">
      <c r="A31" s="145" t="n"/>
      <c r="B31" s="46" t="inlineStr">
        <is>
          <t>Años hasta tu objetivo</t>
        </is>
      </c>
      <c r="C31" s="163">
        <f>IFERROR(INDEX($D$4:$H$4,MATCH(MIN($D31:$H31),$D31:$H31,0)),"")</f>
        <v/>
      </c>
      <c r="D31" s="133">
        <f>Escenarios!$D$66</f>
        <v/>
      </c>
      <c r="E31" s="133">
        <f>Escenarios!$E$66</f>
        <v/>
      </c>
      <c r="F31" s="133">
        <f>Escenarios!$F$66</f>
        <v/>
      </c>
      <c r="G31" s="133">
        <f>Escenarios!$G$66</f>
        <v/>
      </c>
      <c r="H31" s="133">
        <f>Escenarios!$H$66</f>
        <v/>
      </c>
      <c r="I31" s="145" t="n"/>
      <c r="J31" s="145" t="n"/>
      <c r="K31" s="145" t="n"/>
      <c r="L31" s="145" t="n"/>
      <c r="M31" s="145" t="n"/>
      <c r="N31" s="145" t="n"/>
      <c r="O31" s="145" t="n"/>
      <c r="P31" s="145" t="n"/>
      <c r="Q31" s="145" t="n"/>
      <c r="R31" s="145" t="n"/>
      <c r="S31" s="145" t="n"/>
      <c r="T31" s="145" t="n"/>
      <c r="U31" s="145" t="n"/>
      <c r="V31" s="145" t="n"/>
      <c r="W31" s="145" t="n"/>
      <c r="X31" s="145" t="n"/>
      <c r="Y31" s="145" t="n"/>
      <c r="Z31" s="145" t="n"/>
    </row>
    <row r="32" ht="15.75" customHeight="1" s="311">
      <c r="A32" s="145" t="n"/>
      <c r="B32" s="46" t="inlineStr">
        <is>
          <t>Años hasta el objetivo del 4%</t>
        </is>
      </c>
      <c r="C32" s="163">
        <f>IFERROR(INDEX($D$4:$H$4,MATCH(MIN($D32:$H32),$D32:$H32,0)),"")</f>
        <v/>
      </c>
      <c r="D32" s="133">
        <f>Escenarios!$D$67</f>
        <v/>
      </c>
      <c r="E32" s="133">
        <f>Escenarios!$E$67</f>
        <v/>
      </c>
      <c r="F32" s="133">
        <f>Escenarios!$F$67</f>
        <v/>
      </c>
      <c r="G32" s="133">
        <f>Escenarios!$G$67</f>
        <v/>
      </c>
      <c r="H32" s="133">
        <f>Escenarios!$H$67</f>
        <v/>
      </c>
      <c r="I32" s="145" t="n"/>
      <c r="J32" s="145" t="n"/>
      <c r="K32" s="145" t="n"/>
      <c r="L32" s="145" t="n"/>
      <c r="M32" s="145" t="n"/>
      <c r="N32" s="145" t="n"/>
      <c r="O32" s="145" t="n"/>
      <c r="P32" s="145" t="n"/>
      <c r="Q32" s="145" t="n"/>
      <c r="R32" s="145" t="n"/>
      <c r="S32" s="145" t="n"/>
      <c r="T32" s="145" t="n"/>
      <c r="U32" s="145" t="n"/>
      <c r="V32" s="145" t="n"/>
      <c r="W32" s="145" t="n"/>
      <c r="X32" s="145" t="n"/>
      <c r="Y32" s="145" t="n"/>
      <c r="Z32" s="145" t="n"/>
    </row>
    <row r="33" ht="15.75" customHeight="1" s="311">
      <c r="A33" s="145" t="n"/>
      <c r="B33" s="145" t="n"/>
      <c r="C33" s="145" t="n"/>
      <c r="D33" s="145" t="n"/>
      <c r="E33" s="145" t="n"/>
      <c r="F33" s="145" t="n"/>
      <c r="G33" s="145" t="n"/>
      <c r="H33" s="145" t="n"/>
      <c r="I33" s="145" t="n"/>
      <c r="J33" s="145" t="n"/>
      <c r="K33" s="145" t="n"/>
      <c r="L33" s="145" t="n"/>
      <c r="M33" s="145" t="n"/>
      <c r="N33" s="145" t="n"/>
      <c r="O33" s="145" t="n"/>
      <c r="P33" s="145" t="n"/>
      <c r="Q33" s="145" t="n"/>
      <c r="R33" s="145" t="n"/>
      <c r="S33" s="145" t="n"/>
      <c r="T33" s="145" t="n"/>
      <c r="U33" s="145" t="n"/>
      <c r="V33" s="145" t="n"/>
      <c r="W33" s="145" t="n"/>
      <c r="X33" s="145" t="n"/>
      <c r="Y33" s="145" t="n"/>
      <c r="Z33" s="145" t="n"/>
    </row>
    <row r="34" ht="15.75" customHeight="1" s="311">
      <c r="A34" s="145" t="n"/>
      <c r="B34" s="20" t="inlineStr">
        <is>
          <t>Verde = el mejor valor de la fila. Ojo con leerlo a la ligera: La Coruña gana en aporte a la casa y en tasa de ahorro del sistema, pero es donde menos dinero libre te queda a ti, porque el 30% de estilo de vida apenas cubre los 435 € de la hipoteca.</t>
        </is>
      </c>
      <c r="G34" s="145" t="n"/>
      <c r="H34" s="145" t="n"/>
      <c r="I34" s="145" t="n"/>
      <c r="J34" s="145" t="n"/>
      <c r="K34" s="145" t="n"/>
      <c r="L34" s="145" t="n"/>
      <c r="M34" s="145" t="n"/>
      <c r="N34" s="145" t="n"/>
      <c r="O34" s="145" t="n"/>
      <c r="P34" s="145" t="n"/>
      <c r="Q34" s="145" t="n"/>
      <c r="R34" s="145" t="n"/>
      <c r="S34" s="145" t="n"/>
      <c r="T34" s="145" t="n"/>
      <c r="U34" s="145" t="n"/>
      <c r="V34" s="145" t="n"/>
      <c r="W34" s="145" t="n"/>
      <c r="X34" s="145" t="n"/>
      <c r="Y34" s="145" t="n"/>
      <c r="Z34" s="145" t="n"/>
    </row>
    <row r="35" ht="15.75" customHeight="1" s="311">
      <c r="A35" s="145" t="n"/>
      <c r="G35" s="145" t="n"/>
      <c r="H35" s="145" t="n"/>
      <c r="I35" s="145" t="n"/>
      <c r="J35" s="145" t="n"/>
      <c r="K35" s="145" t="n"/>
      <c r="L35" s="145" t="n"/>
      <c r="M35" s="145" t="n"/>
      <c r="N35" s="145" t="n"/>
      <c r="O35" s="145" t="n"/>
      <c r="P35" s="145" t="n"/>
      <c r="Q35" s="145" t="n"/>
      <c r="R35" s="145" t="n"/>
      <c r="S35" s="145" t="n"/>
      <c r="T35" s="145" t="n"/>
      <c r="U35" s="145" t="n"/>
      <c r="V35" s="145" t="n"/>
      <c r="W35" s="145" t="n"/>
      <c r="X35" s="145" t="n"/>
      <c r="Y35" s="145" t="n"/>
      <c r="Z35" s="145" t="n"/>
    </row>
    <row r="36" ht="15.75" customHeight="1" s="311">
      <c r="A36" s="145" t="n"/>
      <c r="B36" s="145" t="n"/>
      <c r="C36" s="145" t="n"/>
      <c r="D36" s="145" t="n"/>
      <c r="E36" s="145" t="n"/>
      <c r="F36" s="145" t="n"/>
      <c r="G36" s="145" t="n"/>
      <c r="H36" s="145" t="n"/>
      <c r="I36" s="145" t="n"/>
      <c r="J36" s="145" t="n"/>
      <c r="K36" s="145" t="n"/>
      <c r="L36" s="145" t="n"/>
      <c r="M36" s="145" t="n"/>
      <c r="N36" s="145" t="n"/>
      <c r="O36" s="145" t="n"/>
      <c r="P36" s="145" t="n"/>
      <c r="Q36" s="145" t="n"/>
      <c r="R36" s="145" t="n"/>
      <c r="S36" s="145" t="n"/>
      <c r="T36" s="145" t="n"/>
      <c r="U36" s="145" t="n"/>
      <c r="V36" s="145" t="n"/>
      <c r="W36" s="145" t="n"/>
      <c r="X36" s="145" t="n"/>
      <c r="Y36" s="145" t="n"/>
      <c r="Z36" s="145" t="n"/>
    </row>
    <row r="37" ht="15.75" customHeight="1" s="311">
      <c r="A37" s="145" t="n"/>
      <c r="B37" s="145" t="n"/>
      <c r="C37" s="145" t="n"/>
      <c r="D37" s="145" t="n"/>
      <c r="E37" s="145" t="n"/>
      <c r="F37" s="145" t="n"/>
      <c r="G37" s="145" t="n"/>
      <c r="H37" s="145" t="n"/>
      <c r="I37" s="145" t="n"/>
      <c r="J37" s="145" t="n"/>
      <c r="K37" s="145" t="n"/>
      <c r="L37" s="145" t="n"/>
      <c r="M37" s="145" t="n"/>
      <c r="N37" s="145" t="n"/>
      <c r="O37" s="145" t="n"/>
      <c r="P37" s="145" t="n"/>
      <c r="Q37" s="145" t="n"/>
      <c r="R37" s="145" t="n"/>
      <c r="S37" s="145" t="n"/>
      <c r="T37" s="145" t="n"/>
      <c r="U37" s="145" t="n"/>
      <c r="V37" s="145" t="n"/>
      <c r="W37" s="145" t="n"/>
      <c r="X37" s="145" t="n"/>
      <c r="Y37" s="145" t="n"/>
      <c r="Z37" s="145" t="n"/>
    </row>
    <row r="38" ht="15.75" customHeight="1" s="311">
      <c r="A38" s="145" t="n"/>
      <c r="B38" s="145" t="n"/>
      <c r="C38" s="145" t="n"/>
      <c r="D38" s="145" t="n"/>
      <c r="E38" s="145" t="n"/>
      <c r="F38" s="145" t="n"/>
      <c r="G38" s="145" t="n"/>
      <c r="H38" s="145" t="n"/>
      <c r="I38" s="145" t="n"/>
      <c r="J38" s="145" t="n"/>
      <c r="K38" s="145" t="n"/>
      <c r="L38" s="145" t="n"/>
      <c r="M38" s="145" t="n"/>
      <c r="N38" s="145" t="n"/>
      <c r="O38" s="145" t="n"/>
      <c r="P38" s="145" t="n"/>
      <c r="Q38" s="145" t="n"/>
      <c r="R38" s="145" t="n"/>
      <c r="S38" s="145" t="n"/>
      <c r="T38" s="145" t="n"/>
      <c r="U38" s="145" t="n"/>
      <c r="V38" s="145" t="n"/>
      <c r="W38" s="145" t="n"/>
      <c r="X38" s="145" t="n"/>
      <c r="Y38" s="145" t="n"/>
      <c r="Z38" s="145" t="n"/>
    </row>
    <row r="39" ht="15.75" customHeight="1" s="311">
      <c r="A39" s="145" t="n"/>
      <c r="B39" s="145" t="n"/>
      <c r="C39" s="145" t="n"/>
      <c r="D39" s="145" t="n"/>
      <c r="E39" s="145" t="n"/>
      <c r="F39" s="145" t="n"/>
      <c r="G39" s="145" t="n"/>
      <c r="H39" s="145" t="n"/>
      <c r="I39" s="145" t="n"/>
      <c r="J39" s="145" t="n"/>
      <c r="K39" s="145" t="n"/>
      <c r="L39" s="145" t="n"/>
      <c r="M39" s="145" t="n"/>
      <c r="N39" s="145" t="n"/>
      <c r="O39" s="145" t="n"/>
      <c r="P39" s="145" t="n"/>
      <c r="Q39" s="145" t="n"/>
      <c r="R39" s="145" t="n"/>
      <c r="S39" s="145" t="n"/>
      <c r="T39" s="145" t="n"/>
      <c r="U39" s="145" t="n"/>
      <c r="V39" s="145" t="n"/>
      <c r="W39" s="145" t="n"/>
      <c r="X39" s="145" t="n"/>
      <c r="Y39" s="145" t="n"/>
      <c r="Z39" s="145" t="n"/>
    </row>
    <row r="40" ht="15.75" customHeight="1" s="311">
      <c r="A40" s="145" t="n"/>
      <c r="B40" s="145" t="n"/>
      <c r="C40" s="145" t="n"/>
      <c r="D40" s="145" t="n"/>
      <c r="E40" s="145" t="n"/>
      <c r="F40" s="145" t="n"/>
      <c r="G40" s="145" t="n"/>
      <c r="H40" s="145" t="n"/>
      <c r="I40" s="145" t="n"/>
      <c r="J40" s="145" t="n"/>
      <c r="K40" s="145" t="n"/>
      <c r="L40" s="145" t="n"/>
      <c r="M40" s="145" t="n"/>
      <c r="N40" s="145" t="n"/>
      <c r="O40" s="145" t="n"/>
      <c r="P40" s="145" t="n"/>
      <c r="Q40" s="145" t="n"/>
      <c r="R40" s="145" t="n"/>
      <c r="S40" s="145" t="n"/>
      <c r="T40" s="145" t="n"/>
      <c r="U40" s="145" t="n"/>
      <c r="V40" s="145" t="n"/>
      <c r="W40" s="145" t="n"/>
      <c r="X40" s="145" t="n"/>
      <c r="Y40" s="145" t="n"/>
      <c r="Z40" s="145" t="n"/>
    </row>
    <row r="41" ht="15.75" customHeight="1" s="311">
      <c r="A41" s="145" t="n"/>
      <c r="B41" s="145" t="n"/>
      <c r="C41" s="145" t="n"/>
      <c r="D41" s="145" t="n"/>
      <c r="E41" s="145" t="n"/>
      <c r="F41" s="145" t="n"/>
      <c r="G41" s="145" t="n"/>
      <c r="H41" s="145" t="n"/>
      <c r="I41" s="145" t="n"/>
      <c r="J41" s="145" t="n"/>
      <c r="K41" s="145" t="n"/>
      <c r="L41" s="145" t="n"/>
      <c r="M41" s="145" t="n"/>
      <c r="N41" s="145" t="n"/>
      <c r="O41" s="145" t="n"/>
      <c r="P41" s="145" t="n"/>
      <c r="Q41" s="145" t="n"/>
      <c r="R41" s="145" t="n"/>
      <c r="S41" s="145" t="n"/>
      <c r="T41" s="145" t="n"/>
      <c r="U41" s="145" t="n"/>
      <c r="V41" s="145" t="n"/>
      <c r="W41" s="145" t="n"/>
      <c r="X41" s="145" t="n"/>
      <c r="Y41" s="145" t="n"/>
      <c r="Z41" s="145" t="n"/>
    </row>
    <row r="42" ht="15.75" customHeight="1" s="311">
      <c r="A42" s="145" t="n"/>
      <c r="B42" s="145" t="n"/>
      <c r="C42" s="145" t="n"/>
      <c r="D42" s="145" t="n"/>
      <c r="E42" s="145" t="n"/>
      <c r="F42" s="145" t="n"/>
      <c r="G42" s="145" t="n"/>
      <c r="H42" s="145" t="n"/>
      <c r="I42" s="145" t="n"/>
      <c r="J42" s="145" t="n"/>
      <c r="K42" s="145" t="n"/>
      <c r="L42" s="145" t="n"/>
      <c r="M42" s="145" t="n"/>
      <c r="N42" s="145" t="n"/>
      <c r="O42" s="145" t="n"/>
      <c r="P42" s="145" t="n"/>
      <c r="Q42" s="145" t="n"/>
      <c r="R42" s="145" t="n"/>
      <c r="S42" s="145" t="n"/>
      <c r="T42" s="145" t="n"/>
      <c r="U42" s="145" t="n"/>
      <c r="V42" s="145" t="n"/>
      <c r="W42" s="145" t="n"/>
      <c r="X42" s="145" t="n"/>
      <c r="Y42" s="145" t="n"/>
      <c r="Z42" s="145" t="n"/>
    </row>
    <row r="43" ht="15.75" customHeight="1" s="311">
      <c r="A43" s="145" t="n"/>
      <c r="B43" s="145" t="n"/>
      <c r="C43" s="145" t="n"/>
      <c r="D43" s="145" t="n"/>
      <c r="E43" s="145" t="n"/>
      <c r="F43" s="145" t="n"/>
      <c r="G43" s="145" t="n"/>
      <c r="H43" s="145" t="n"/>
      <c r="I43" s="145" t="n"/>
      <c r="J43" s="145" t="n"/>
      <c r="K43" s="145" t="n"/>
      <c r="L43" s="145" t="n"/>
      <c r="M43" s="145" t="n"/>
      <c r="N43" s="145" t="n"/>
      <c r="O43" s="145" t="n"/>
      <c r="P43" s="145" t="n"/>
      <c r="Q43" s="145" t="n"/>
      <c r="R43" s="145" t="n"/>
      <c r="S43" s="145" t="n"/>
      <c r="T43" s="145" t="n"/>
      <c r="U43" s="145" t="n"/>
      <c r="V43" s="145" t="n"/>
      <c r="W43" s="145" t="n"/>
      <c r="X43" s="145" t="n"/>
      <c r="Y43" s="145" t="n"/>
      <c r="Z43" s="145" t="n"/>
    </row>
    <row r="44" ht="15.75" customHeight="1" s="311">
      <c r="A44" s="145" t="n"/>
      <c r="B44" s="145" t="n"/>
      <c r="C44" s="145" t="n"/>
      <c r="D44" s="145" t="n"/>
      <c r="E44" s="145" t="n"/>
      <c r="F44" s="145" t="n"/>
      <c r="G44" s="145" t="n"/>
      <c r="H44" s="145" t="n"/>
      <c r="I44" s="145" t="n"/>
      <c r="J44" s="145" t="n"/>
      <c r="K44" s="145" t="n"/>
      <c r="L44" s="145" t="n"/>
      <c r="M44" s="145" t="n"/>
      <c r="N44" s="145" t="n"/>
      <c r="O44" s="145" t="n"/>
      <c r="P44" s="145" t="n"/>
      <c r="Q44" s="145" t="n"/>
      <c r="R44" s="145" t="n"/>
      <c r="S44" s="145" t="n"/>
      <c r="T44" s="145" t="n"/>
      <c r="U44" s="145" t="n"/>
      <c r="V44" s="145" t="n"/>
      <c r="W44" s="145" t="n"/>
      <c r="X44" s="145" t="n"/>
      <c r="Y44" s="145" t="n"/>
      <c r="Z44" s="145" t="n"/>
    </row>
    <row r="45" ht="15.75" customHeight="1" s="311">
      <c r="A45" s="145" t="n"/>
      <c r="B45" s="145" t="n"/>
      <c r="C45" s="145" t="n"/>
      <c r="D45" s="145" t="n"/>
      <c r="E45" s="145" t="n"/>
      <c r="F45" s="145" t="n"/>
      <c r="G45" s="145" t="n"/>
      <c r="H45" s="145" t="n"/>
      <c r="I45" s="145" t="n"/>
      <c r="J45" s="145" t="n"/>
      <c r="K45" s="145" t="n"/>
      <c r="L45" s="145" t="n"/>
      <c r="M45" s="145" t="n"/>
      <c r="N45" s="145" t="n"/>
      <c r="O45" s="145" t="n"/>
      <c r="P45" s="145" t="n"/>
      <c r="Q45" s="145" t="n"/>
      <c r="R45" s="145" t="n"/>
      <c r="S45" s="145" t="n"/>
      <c r="T45" s="145" t="n"/>
      <c r="U45" s="145" t="n"/>
      <c r="V45" s="145" t="n"/>
      <c r="W45" s="145" t="n"/>
      <c r="X45" s="145" t="n"/>
      <c r="Y45" s="145" t="n"/>
      <c r="Z45" s="145" t="n"/>
    </row>
    <row r="46" ht="15.75" customHeight="1" s="311">
      <c r="A46" s="145" t="n"/>
      <c r="B46" s="145" t="n"/>
      <c r="C46" s="145" t="n"/>
      <c r="D46" s="145" t="n"/>
      <c r="E46" s="145" t="n"/>
      <c r="F46" s="145" t="n"/>
      <c r="G46" s="145" t="n"/>
      <c r="H46" s="145" t="n"/>
      <c r="I46" s="145" t="n"/>
      <c r="J46" s="145" t="n"/>
      <c r="K46" s="145" t="n"/>
      <c r="L46" s="145" t="n"/>
      <c r="M46" s="145" t="n"/>
      <c r="N46" s="145" t="n"/>
      <c r="O46" s="145" t="n"/>
      <c r="P46" s="145" t="n"/>
      <c r="Q46" s="145" t="n"/>
      <c r="R46" s="145" t="n"/>
      <c r="S46" s="145" t="n"/>
      <c r="T46" s="145" t="n"/>
      <c r="U46" s="145" t="n"/>
      <c r="V46" s="145" t="n"/>
      <c r="W46" s="145" t="n"/>
      <c r="X46" s="145" t="n"/>
      <c r="Y46" s="145" t="n"/>
      <c r="Z46" s="145" t="n"/>
    </row>
    <row r="47" ht="15.75" customHeight="1" s="311">
      <c r="A47" s="145" t="n"/>
      <c r="B47" s="145" t="n"/>
      <c r="C47" s="145" t="n"/>
      <c r="D47" s="145" t="n"/>
      <c r="E47" s="145" t="n"/>
      <c r="F47" s="145" t="n"/>
      <c r="G47" s="145" t="n"/>
      <c r="H47" s="145" t="n"/>
      <c r="I47" s="145" t="n"/>
      <c r="J47" s="145" t="n"/>
      <c r="K47" s="145" t="n"/>
      <c r="L47" s="145" t="n"/>
      <c r="M47" s="145" t="n"/>
      <c r="N47" s="145" t="n"/>
      <c r="O47" s="145" t="n"/>
      <c r="P47" s="145" t="n"/>
      <c r="Q47" s="145" t="n"/>
      <c r="R47" s="145" t="n"/>
      <c r="S47" s="145" t="n"/>
      <c r="T47" s="145" t="n"/>
      <c r="U47" s="145" t="n"/>
      <c r="V47" s="145" t="n"/>
      <c r="W47" s="145" t="n"/>
      <c r="X47" s="145" t="n"/>
      <c r="Y47" s="145" t="n"/>
      <c r="Z47" s="145" t="n"/>
    </row>
    <row r="48" ht="15.75" customHeight="1" s="311">
      <c r="A48" s="145" t="n"/>
      <c r="B48" s="145" t="n"/>
      <c r="C48" s="145" t="n"/>
      <c r="D48" s="145" t="n"/>
      <c r="E48" s="145" t="n"/>
      <c r="F48" s="145" t="n"/>
      <c r="G48" s="145" t="n"/>
      <c r="H48" s="145" t="n"/>
      <c r="I48" s="145" t="n"/>
      <c r="J48" s="145" t="n"/>
      <c r="K48" s="145" t="n"/>
      <c r="L48" s="145" t="n"/>
      <c r="M48" s="145" t="n"/>
      <c r="N48" s="145" t="n"/>
      <c r="O48" s="145" t="n"/>
      <c r="P48" s="145" t="n"/>
      <c r="Q48" s="145" t="n"/>
      <c r="R48" s="145" t="n"/>
      <c r="S48" s="145" t="n"/>
      <c r="T48" s="145" t="n"/>
      <c r="U48" s="145" t="n"/>
      <c r="V48" s="145" t="n"/>
      <c r="W48" s="145" t="n"/>
      <c r="X48" s="145" t="n"/>
      <c r="Y48" s="145" t="n"/>
      <c r="Z48" s="145" t="n"/>
    </row>
    <row r="49" ht="15.75" customHeight="1" s="311">
      <c r="A49" s="145" t="n"/>
      <c r="B49" s="145" t="n"/>
      <c r="C49" s="145" t="n"/>
      <c r="D49" s="145" t="n"/>
      <c r="E49" s="145" t="n"/>
      <c r="F49" s="145" t="n"/>
      <c r="G49" s="145" t="n"/>
      <c r="H49" s="145" t="n"/>
      <c r="I49" s="145" t="n"/>
      <c r="J49" s="145" t="n"/>
      <c r="K49" s="145" t="n"/>
      <c r="L49" s="145" t="n"/>
      <c r="M49" s="145" t="n"/>
      <c r="N49" s="145" t="n"/>
      <c r="O49" s="145" t="n"/>
      <c r="P49" s="145" t="n"/>
      <c r="Q49" s="145" t="n"/>
      <c r="R49" s="145" t="n"/>
      <c r="S49" s="145" t="n"/>
      <c r="T49" s="145" t="n"/>
      <c r="U49" s="145" t="n"/>
      <c r="V49" s="145" t="n"/>
      <c r="W49" s="145" t="n"/>
      <c r="X49" s="145" t="n"/>
      <c r="Y49" s="145" t="n"/>
      <c r="Z49" s="145" t="n"/>
    </row>
    <row r="50" ht="15.75" customHeight="1" s="311">
      <c r="A50" s="145" t="n"/>
      <c r="B50" s="145" t="n"/>
      <c r="C50" s="145" t="n"/>
      <c r="D50" s="145" t="n"/>
      <c r="E50" s="145" t="n"/>
      <c r="F50" s="145" t="n"/>
      <c r="G50" s="145" t="n"/>
      <c r="H50" s="145" t="n"/>
      <c r="I50" s="145" t="n"/>
      <c r="J50" s="145" t="n"/>
      <c r="K50" s="145" t="n"/>
      <c r="L50" s="145" t="n"/>
      <c r="M50" s="145" t="n"/>
      <c r="N50" s="145" t="n"/>
      <c r="O50" s="145" t="n"/>
      <c r="P50" s="145" t="n"/>
      <c r="Q50" s="145" t="n"/>
      <c r="R50" s="145" t="n"/>
      <c r="S50" s="145" t="n"/>
      <c r="T50" s="145" t="n"/>
      <c r="U50" s="145" t="n"/>
      <c r="V50" s="145" t="n"/>
      <c r="W50" s="145" t="n"/>
      <c r="X50" s="145" t="n"/>
      <c r="Y50" s="145" t="n"/>
      <c r="Z50" s="145" t="n"/>
    </row>
    <row r="51" ht="15.75" customHeight="1" s="311">
      <c r="A51" s="145" t="n"/>
      <c r="B51" s="145" t="n"/>
      <c r="C51" s="145" t="n"/>
      <c r="D51" s="145" t="n"/>
      <c r="E51" s="145" t="n"/>
      <c r="F51" s="145" t="n"/>
      <c r="G51" s="145" t="n"/>
      <c r="H51" s="145" t="n"/>
      <c r="I51" s="145" t="n"/>
      <c r="J51" s="145" t="n"/>
      <c r="K51" s="145" t="n"/>
      <c r="L51" s="145" t="n"/>
      <c r="M51" s="145" t="n"/>
      <c r="N51" s="145" t="n"/>
      <c r="O51" s="145" t="n"/>
      <c r="P51" s="145" t="n"/>
      <c r="Q51" s="145" t="n"/>
      <c r="R51" s="145" t="n"/>
      <c r="S51" s="145" t="n"/>
      <c r="T51" s="145" t="n"/>
      <c r="U51" s="145" t="n"/>
      <c r="V51" s="145" t="n"/>
      <c r="W51" s="145" t="n"/>
      <c r="X51" s="145" t="n"/>
      <c r="Y51" s="145" t="n"/>
      <c r="Z51" s="145" t="n"/>
    </row>
    <row r="52" ht="15.75" customHeight="1" s="311">
      <c r="A52" s="145" t="n"/>
      <c r="B52" s="145" t="n"/>
      <c r="C52" s="145" t="n"/>
      <c r="D52" s="145" t="n"/>
      <c r="E52" s="145" t="n"/>
      <c r="F52" s="145" t="n"/>
      <c r="G52" s="145" t="n"/>
      <c r="H52" s="145" t="n"/>
      <c r="I52" s="145" t="n"/>
      <c r="J52" s="145" t="n"/>
      <c r="K52" s="145" t="n"/>
      <c r="L52" s="145" t="n"/>
      <c r="M52" s="145" t="n"/>
      <c r="N52" s="145" t="n"/>
      <c r="O52" s="145" t="n"/>
      <c r="P52" s="145" t="n"/>
      <c r="Q52" s="145" t="n"/>
      <c r="R52" s="145" t="n"/>
      <c r="S52" s="145" t="n"/>
      <c r="T52" s="145" t="n"/>
      <c r="U52" s="145" t="n"/>
      <c r="V52" s="145" t="n"/>
      <c r="W52" s="145" t="n"/>
      <c r="X52" s="145" t="n"/>
      <c r="Y52" s="145" t="n"/>
      <c r="Z52" s="145" t="n"/>
    </row>
    <row r="53" ht="15.75" customHeight="1" s="311">
      <c r="A53" s="145" t="n"/>
      <c r="B53" s="145" t="n"/>
      <c r="C53" s="145" t="n"/>
      <c r="D53" s="145" t="n"/>
      <c r="E53" s="145" t="n"/>
      <c r="F53" s="145" t="n"/>
      <c r="G53" s="145" t="n"/>
      <c r="H53" s="145" t="n"/>
      <c r="I53" s="145" t="n"/>
      <c r="J53" s="145" t="n"/>
      <c r="K53" s="145" t="n"/>
      <c r="L53" s="145" t="n"/>
      <c r="M53" s="145" t="n"/>
      <c r="N53" s="145" t="n"/>
      <c r="O53" s="145" t="n"/>
      <c r="P53" s="145" t="n"/>
      <c r="Q53" s="145" t="n"/>
      <c r="R53" s="145" t="n"/>
      <c r="S53" s="145" t="n"/>
      <c r="T53" s="145" t="n"/>
      <c r="U53" s="145" t="n"/>
      <c r="V53" s="145" t="n"/>
      <c r="W53" s="145" t="n"/>
      <c r="X53" s="145" t="n"/>
      <c r="Y53" s="145" t="n"/>
      <c r="Z53" s="145" t="n"/>
    </row>
    <row r="54" ht="15.75" customHeight="1" s="311">
      <c r="A54" s="145" t="n"/>
      <c r="B54" s="145" t="n"/>
      <c r="C54" s="145" t="n"/>
      <c r="D54" s="145" t="n"/>
      <c r="E54" s="145" t="n"/>
      <c r="F54" s="145" t="n"/>
      <c r="G54" s="145" t="n"/>
      <c r="H54" s="145" t="n"/>
      <c r="I54" s="145" t="n"/>
      <c r="J54" s="145" t="n"/>
      <c r="K54" s="145" t="n"/>
      <c r="L54" s="145" t="n"/>
      <c r="M54" s="145" t="n"/>
      <c r="N54" s="145" t="n"/>
      <c r="O54" s="145" t="n"/>
      <c r="P54" s="145" t="n"/>
      <c r="Q54" s="145" t="n"/>
      <c r="R54" s="145" t="n"/>
      <c r="S54" s="145" t="n"/>
      <c r="T54" s="145" t="n"/>
      <c r="U54" s="145" t="n"/>
      <c r="V54" s="145" t="n"/>
      <c r="W54" s="145" t="n"/>
      <c r="X54" s="145" t="n"/>
      <c r="Y54" s="145" t="n"/>
      <c r="Z54" s="145" t="n"/>
    </row>
    <row r="55" ht="15.75" customHeight="1" s="311">
      <c r="A55" s="145" t="n"/>
      <c r="B55" s="145" t="n"/>
      <c r="C55" s="145" t="n"/>
      <c r="D55" s="145" t="n"/>
      <c r="E55" s="145" t="n"/>
      <c r="F55" s="145" t="n"/>
      <c r="G55" s="145" t="n"/>
      <c r="H55" s="145" t="n"/>
      <c r="I55" s="145" t="n"/>
      <c r="J55" s="145" t="n"/>
      <c r="K55" s="145" t="n"/>
      <c r="L55" s="145" t="n"/>
      <c r="M55" s="145" t="n"/>
      <c r="N55" s="145" t="n"/>
      <c r="O55" s="145" t="n"/>
      <c r="P55" s="145" t="n"/>
      <c r="Q55" s="145" t="n"/>
      <c r="R55" s="145" t="n"/>
      <c r="S55" s="145" t="n"/>
      <c r="T55" s="145" t="n"/>
      <c r="U55" s="145" t="n"/>
      <c r="V55" s="145" t="n"/>
      <c r="W55" s="145" t="n"/>
      <c r="X55" s="145" t="n"/>
      <c r="Y55" s="145" t="n"/>
      <c r="Z55" s="145" t="n"/>
    </row>
    <row r="56" ht="15.75" customHeight="1" s="311">
      <c r="A56" s="145" t="n"/>
      <c r="B56" s="145" t="n"/>
      <c r="C56" s="145" t="n"/>
      <c r="D56" s="145" t="n"/>
      <c r="E56" s="145" t="n"/>
      <c r="F56" s="145" t="n"/>
      <c r="G56" s="145" t="n"/>
      <c r="H56" s="145" t="n"/>
      <c r="I56" s="145" t="n"/>
      <c r="J56" s="145" t="n"/>
      <c r="K56" s="145" t="n"/>
      <c r="L56" s="145" t="n"/>
      <c r="M56" s="145" t="n"/>
      <c r="N56" s="145" t="n"/>
      <c r="O56" s="145" t="n"/>
      <c r="P56" s="145" t="n"/>
      <c r="Q56" s="145" t="n"/>
      <c r="R56" s="145" t="n"/>
      <c r="S56" s="145" t="n"/>
      <c r="T56" s="145" t="n"/>
      <c r="U56" s="145" t="n"/>
      <c r="V56" s="145" t="n"/>
      <c r="W56" s="145" t="n"/>
      <c r="X56" s="145" t="n"/>
      <c r="Y56" s="145" t="n"/>
      <c r="Z56" s="145" t="n"/>
    </row>
    <row r="57" ht="15.75" customHeight="1" s="311">
      <c r="A57" s="145" t="n"/>
      <c r="B57" s="145" t="n"/>
      <c r="C57" s="145" t="n"/>
      <c r="D57" s="145" t="n"/>
      <c r="E57" s="145" t="n"/>
      <c r="F57" s="145" t="n"/>
      <c r="G57" s="145" t="n"/>
      <c r="H57" s="145" t="n"/>
      <c r="I57" s="145" t="n"/>
      <c r="J57" s="145" t="n"/>
      <c r="K57" s="145" t="n"/>
      <c r="L57" s="145" t="n"/>
      <c r="M57" s="145" t="n"/>
      <c r="N57" s="145" t="n"/>
      <c r="O57" s="145" t="n"/>
      <c r="P57" s="145" t="n"/>
      <c r="Q57" s="145" t="n"/>
      <c r="R57" s="145" t="n"/>
      <c r="S57" s="145" t="n"/>
      <c r="T57" s="145" t="n"/>
      <c r="U57" s="145" t="n"/>
      <c r="V57" s="145" t="n"/>
      <c r="W57" s="145" t="n"/>
      <c r="X57" s="145" t="n"/>
      <c r="Y57" s="145" t="n"/>
      <c r="Z57" s="145" t="n"/>
    </row>
    <row r="58" ht="15.75" customHeight="1" s="311">
      <c r="A58" s="145" t="n"/>
      <c r="B58" s="145" t="n"/>
      <c r="C58" s="145" t="n"/>
      <c r="D58" s="145" t="n"/>
      <c r="E58" s="145" t="n"/>
      <c r="F58" s="145" t="n"/>
      <c r="G58" s="145" t="n"/>
      <c r="H58" s="145" t="n"/>
      <c r="I58" s="145" t="n"/>
      <c r="J58" s="145" t="n"/>
      <c r="K58" s="145" t="n"/>
      <c r="L58" s="145" t="n"/>
      <c r="M58" s="145" t="n"/>
      <c r="N58" s="145" t="n"/>
      <c r="O58" s="145" t="n"/>
      <c r="P58" s="145" t="n"/>
      <c r="Q58" s="145" t="n"/>
      <c r="R58" s="145" t="n"/>
      <c r="S58" s="145" t="n"/>
      <c r="T58" s="145" t="n"/>
      <c r="U58" s="145" t="n"/>
      <c r="V58" s="145" t="n"/>
      <c r="W58" s="145" t="n"/>
      <c r="X58" s="145" t="n"/>
      <c r="Y58" s="145" t="n"/>
      <c r="Z58" s="145" t="n"/>
    </row>
    <row r="59" ht="15.75" customHeight="1" s="311">
      <c r="A59" s="145" t="n"/>
      <c r="B59" s="145" t="n"/>
      <c r="C59" s="145" t="n"/>
      <c r="D59" s="145" t="n"/>
      <c r="E59" s="145" t="n"/>
      <c r="F59" s="145" t="n"/>
      <c r="G59" s="145" t="n"/>
      <c r="H59" s="145" t="n"/>
      <c r="I59" s="145" t="n"/>
      <c r="J59" s="145" t="n"/>
      <c r="K59" s="145" t="n"/>
      <c r="L59" s="145" t="n"/>
      <c r="M59" s="145" t="n"/>
      <c r="N59" s="145" t="n"/>
      <c r="O59" s="145" t="n"/>
      <c r="P59" s="145" t="n"/>
      <c r="Q59" s="145" t="n"/>
      <c r="R59" s="145" t="n"/>
      <c r="S59" s="145" t="n"/>
      <c r="T59" s="145" t="n"/>
      <c r="U59" s="145" t="n"/>
      <c r="V59" s="145" t="n"/>
      <c r="W59" s="145" t="n"/>
      <c r="X59" s="145" t="n"/>
      <c r="Y59" s="145" t="n"/>
      <c r="Z59" s="145" t="n"/>
    </row>
    <row r="60" ht="15.75" customHeight="1" s="311">
      <c r="A60" s="145" t="n"/>
      <c r="B60" s="145" t="n"/>
      <c r="C60" s="145" t="n"/>
      <c r="D60" s="145" t="n"/>
      <c r="E60" s="145" t="n"/>
      <c r="F60" s="145" t="n"/>
      <c r="G60" s="145" t="n"/>
      <c r="H60" s="145" t="n"/>
      <c r="I60" s="145" t="n"/>
      <c r="J60" s="145" t="n"/>
      <c r="K60" s="145" t="n"/>
      <c r="L60" s="145" t="n"/>
      <c r="M60" s="145" t="n"/>
      <c r="N60" s="145" t="n"/>
      <c r="O60" s="145" t="n"/>
      <c r="P60" s="145" t="n"/>
      <c r="Q60" s="145" t="n"/>
      <c r="R60" s="145" t="n"/>
      <c r="S60" s="145" t="n"/>
      <c r="T60" s="145" t="n"/>
      <c r="U60" s="145" t="n"/>
      <c r="V60" s="145" t="n"/>
      <c r="W60" s="145" t="n"/>
      <c r="X60" s="145" t="n"/>
      <c r="Y60" s="145" t="n"/>
      <c r="Z60" s="145" t="n"/>
    </row>
    <row r="61" ht="15.75" customHeight="1" s="311">
      <c r="A61" s="145" t="n"/>
      <c r="B61" s="145" t="n"/>
      <c r="C61" s="145" t="n"/>
      <c r="D61" s="145" t="n"/>
      <c r="E61" s="145" t="n"/>
      <c r="F61" s="145" t="n"/>
      <c r="G61" s="145" t="n"/>
      <c r="H61" s="145" t="n"/>
      <c r="I61" s="145" t="n"/>
      <c r="J61" s="145" t="n"/>
      <c r="K61" s="145" t="n"/>
      <c r="L61" s="145" t="n"/>
      <c r="M61" s="145" t="n"/>
      <c r="N61" s="145" t="n"/>
      <c r="O61" s="145" t="n"/>
      <c r="P61" s="145" t="n"/>
      <c r="Q61" s="145" t="n"/>
      <c r="R61" s="145" t="n"/>
      <c r="S61" s="145" t="n"/>
      <c r="T61" s="145" t="n"/>
      <c r="U61" s="145" t="n"/>
      <c r="V61" s="145" t="n"/>
      <c r="W61" s="145" t="n"/>
      <c r="X61" s="145" t="n"/>
      <c r="Y61" s="145" t="n"/>
      <c r="Z61" s="145" t="n"/>
    </row>
    <row r="62" ht="15.75" customHeight="1" s="311">
      <c r="A62" s="145" t="n"/>
      <c r="B62" s="145" t="n"/>
      <c r="C62" s="145" t="n"/>
      <c r="D62" s="145" t="n"/>
      <c r="E62" s="145" t="n"/>
      <c r="F62" s="145" t="n"/>
      <c r="G62" s="145" t="n"/>
      <c r="H62" s="145" t="n"/>
      <c r="I62" s="145" t="n"/>
      <c r="J62" s="145" t="n"/>
      <c r="K62" s="145" t="n"/>
      <c r="L62" s="145" t="n"/>
      <c r="M62" s="145" t="n"/>
      <c r="N62" s="145" t="n"/>
      <c r="O62" s="145" t="n"/>
      <c r="P62" s="145" t="n"/>
      <c r="Q62" s="145" t="n"/>
      <c r="R62" s="145" t="n"/>
      <c r="S62" s="145" t="n"/>
      <c r="T62" s="145" t="n"/>
      <c r="U62" s="145" t="n"/>
      <c r="V62" s="145" t="n"/>
      <c r="W62" s="145" t="n"/>
      <c r="X62" s="145" t="n"/>
      <c r="Y62" s="145" t="n"/>
      <c r="Z62" s="145" t="n"/>
    </row>
    <row r="63" ht="15.75" customHeight="1" s="311">
      <c r="A63" s="145" t="n"/>
      <c r="B63" s="145" t="n"/>
      <c r="C63" s="145" t="n"/>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c r="W63" s="145" t="n"/>
      <c r="X63" s="145" t="n"/>
      <c r="Y63" s="145" t="n"/>
      <c r="Z63" s="145" t="n"/>
    </row>
    <row r="64" ht="15.75" customHeight="1" s="311">
      <c r="A64" s="145" t="n"/>
      <c r="B64" s="145" t="n"/>
      <c r="C64" s="145" t="n"/>
      <c r="D64" s="145" t="n"/>
      <c r="E64" s="145" t="n"/>
      <c r="F64" s="145" t="n"/>
      <c r="G64" s="145" t="n"/>
      <c r="H64" s="145" t="n"/>
      <c r="I64" s="145" t="n"/>
      <c r="J64" s="145" t="n"/>
      <c r="K64" s="145" t="n"/>
      <c r="L64" s="145" t="n"/>
      <c r="M64" s="145" t="n"/>
      <c r="N64" s="145" t="n"/>
      <c r="O64" s="145" t="n"/>
      <c r="P64" s="145" t="n"/>
      <c r="Q64" s="145" t="n"/>
      <c r="R64" s="145" t="n"/>
      <c r="S64" s="145" t="n"/>
      <c r="T64" s="145" t="n"/>
      <c r="U64" s="145" t="n"/>
      <c r="V64" s="145" t="n"/>
      <c r="W64" s="145" t="n"/>
      <c r="X64" s="145" t="n"/>
      <c r="Y64" s="145" t="n"/>
      <c r="Z64" s="145" t="n"/>
    </row>
    <row r="65" ht="15.75" customHeight="1" s="311">
      <c r="A65" s="145" t="n"/>
      <c r="B65" s="145" t="n"/>
      <c r="C65" s="145" t="n"/>
      <c r="D65" s="145" t="n"/>
      <c r="E65" s="145" t="n"/>
      <c r="F65" s="145" t="n"/>
      <c r="G65" s="145" t="n"/>
      <c r="H65" s="145" t="n"/>
      <c r="I65" s="145" t="n"/>
      <c r="J65" s="145" t="n"/>
      <c r="K65" s="145" t="n"/>
      <c r="L65" s="145" t="n"/>
      <c r="M65" s="145" t="n"/>
      <c r="N65" s="145" t="n"/>
      <c r="O65" s="145" t="n"/>
      <c r="P65" s="145" t="n"/>
      <c r="Q65" s="145" t="n"/>
      <c r="R65" s="145" t="n"/>
      <c r="S65" s="145" t="n"/>
      <c r="T65" s="145" t="n"/>
      <c r="U65" s="145" t="n"/>
      <c r="V65" s="145" t="n"/>
      <c r="W65" s="145" t="n"/>
      <c r="X65" s="145" t="n"/>
      <c r="Y65" s="145" t="n"/>
      <c r="Z65" s="145" t="n"/>
    </row>
    <row r="66" ht="15.75" customHeight="1" s="311">
      <c r="A66" s="145" t="n"/>
      <c r="B66" s="145" t="n"/>
      <c r="C66" s="145" t="n"/>
      <c r="D66" s="145" t="n"/>
      <c r="E66" s="145" t="n"/>
      <c r="F66" s="145" t="n"/>
      <c r="G66" s="145" t="n"/>
      <c r="H66" s="145" t="n"/>
      <c r="I66" s="145" t="n"/>
      <c r="J66" s="145" t="n"/>
      <c r="K66" s="145" t="n"/>
      <c r="L66" s="145" t="n"/>
      <c r="M66" s="145" t="n"/>
      <c r="N66" s="145" t="n"/>
      <c r="O66" s="145" t="n"/>
      <c r="P66" s="145" t="n"/>
      <c r="Q66" s="145" t="n"/>
      <c r="R66" s="145" t="n"/>
      <c r="S66" s="145" t="n"/>
      <c r="T66" s="145" t="n"/>
      <c r="U66" s="145" t="n"/>
      <c r="V66" s="145" t="n"/>
      <c r="W66" s="145" t="n"/>
      <c r="X66" s="145" t="n"/>
      <c r="Y66" s="145" t="n"/>
      <c r="Z66" s="145" t="n"/>
    </row>
    <row r="67" ht="15.75" customHeight="1" s="311">
      <c r="A67" s="145" t="n"/>
      <c r="B67" s="145" t="n"/>
      <c r="C67" s="145" t="n"/>
      <c r="D67" s="145" t="n"/>
      <c r="E67" s="145" t="n"/>
      <c r="F67" s="145" t="n"/>
      <c r="G67" s="145" t="n"/>
      <c r="H67" s="145" t="n"/>
      <c r="I67" s="145" t="n"/>
      <c r="J67" s="145" t="n"/>
      <c r="K67" s="145" t="n"/>
      <c r="L67" s="145" t="n"/>
      <c r="M67" s="145" t="n"/>
      <c r="N67" s="145" t="n"/>
      <c r="O67" s="145" t="n"/>
      <c r="P67" s="145" t="n"/>
      <c r="Q67" s="145" t="n"/>
      <c r="R67" s="145" t="n"/>
      <c r="S67" s="145" t="n"/>
      <c r="T67" s="145" t="n"/>
      <c r="U67" s="145" t="n"/>
      <c r="V67" s="145" t="n"/>
      <c r="W67" s="145" t="n"/>
      <c r="X67" s="145" t="n"/>
      <c r="Y67" s="145" t="n"/>
      <c r="Z67" s="145" t="n"/>
    </row>
    <row r="68" ht="15.75" customHeight="1" s="311">
      <c r="A68" s="145" t="n"/>
      <c r="B68" s="145" t="n"/>
      <c r="C68" s="145" t="n"/>
      <c r="D68" s="145" t="n"/>
      <c r="E68" s="145" t="n"/>
      <c r="F68" s="145" t="n"/>
      <c r="G68" s="145" t="n"/>
      <c r="H68" s="145" t="n"/>
      <c r="I68" s="145" t="n"/>
      <c r="J68" s="145" t="n"/>
      <c r="K68" s="145" t="n"/>
      <c r="L68" s="145" t="n"/>
      <c r="M68" s="145" t="n"/>
      <c r="N68" s="145" t="n"/>
      <c r="O68" s="145" t="n"/>
      <c r="P68" s="145" t="n"/>
      <c r="Q68" s="145" t="n"/>
      <c r="R68" s="145" t="n"/>
      <c r="S68" s="145" t="n"/>
      <c r="T68" s="145" t="n"/>
      <c r="U68" s="145" t="n"/>
      <c r="V68" s="145" t="n"/>
      <c r="W68" s="145" t="n"/>
      <c r="X68" s="145" t="n"/>
      <c r="Y68" s="145" t="n"/>
      <c r="Z68" s="145" t="n"/>
    </row>
    <row r="69" ht="15.75" customHeight="1" s="311">
      <c r="A69" s="145" t="n"/>
      <c r="B69" s="145" t="n"/>
      <c r="C69" s="145" t="n"/>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c r="W69" s="145" t="n"/>
      <c r="X69" s="145" t="n"/>
      <c r="Y69" s="145" t="n"/>
      <c r="Z69" s="145" t="n"/>
    </row>
    <row r="70" ht="15.75" customHeight="1" s="311">
      <c r="A70" s="145" t="n"/>
      <c r="B70" s="145" t="n"/>
      <c r="C70" s="145" t="n"/>
      <c r="D70" s="145" t="n"/>
      <c r="E70" s="145" t="n"/>
      <c r="F70" s="145" t="n"/>
      <c r="G70" s="145" t="n"/>
      <c r="H70" s="145" t="n"/>
      <c r="I70" s="145" t="n"/>
      <c r="J70" s="145" t="n"/>
      <c r="K70" s="145" t="n"/>
      <c r="L70" s="145" t="n"/>
      <c r="M70" s="145" t="n"/>
      <c r="N70" s="145" t="n"/>
      <c r="O70" s="145" t="n"/>
      <c r="P70" s="145" t="n"/>
      <c r="Q70" s="145" t="n"/>
      <c r="R70" s="145" t="n"/>
      <c r="S70" s="145" t="n"/>
      <c r="T70" s="145" t="n"/>
      <c r="U70" s="145" t="n"/>
      <c r="V70" s="145" t="n"/>
      <c r="W70" s="145" t="n"/>
      <c r="X70" s="145" t="n"/>
      <c r="Y70" s="145" t="n"/>
      <c r="Z70" s="145" t="n"/>
    </row>
    <row r="71" ht="15.75" customHeight="1" s="311">
      <c r="A71" s="145" t="n"/>
      <c r="B71" s="145" t="n"/>
      <c r="C71" s="145" t="n"/>
      <c r="D71" s="145" t="n"/>
      <c r="E71" s="145" t="n"/>
      <c r="F71" s="145" t="n"/>
      <c r="G71" s="145" t="n"/>
      <c r="H71" s="145" t="n"/>
      <c r="I71" s="145" t="n"/>
      <c r="J71" s="145" t="n"/>
      <c r="K71" s="145" t="n"/>
      <c r="L71" s="145" t="n"/>
      <c r="M71" s="145" t="n"/>
      <c r="N71" s="145" t="n"/>
      <c r="O71" s="145" t="n"/>
      <c r="P71" s="145" t="n"/>
      <c r="Q71" s="145" t="n"/>
      <c r="R71" s="145" t="n"/>
      <c r="S71" s="145" t="n"/>
      <c r="T71" s="145" t="n"/>
      <c r="U71" s="145" t="n"/>
      <c r="V71" s="145" t="n"/>
      <c r="W71" s="145" t="n"/>
      <c r="X71" s="145" t="n"/>
      <c r="Y71" s="145" t="n"/>
      <c r="Z71" s="145" t="n"/>
    </row>
    <row r="72" ht="15.75" customHeight="1" s="311">
      <c r="A72" s="145" t="n"/>
      <c r="B72" s="145" t="n"/>
      <c r="C72" s="145" t="n"/>
      <c r="D72" s="145" t="n"/>
      <c r="E72" s="145" t="n"/>
      <c r="F72" s="145" t="n"/>
      <c r="G72" s="145" t="n"/>
      <c r="H72" s="145" t="n"/>
      <c r="I72" s="145" t="n"/>
      <c r="J72" s="145" t="n"/>
      <c r="K72" s="145" t="n"/>
      <c r="L72" s="145" t="n"/>
      <c r="M72" s="145" t="n"/>
      <c r="N72" s="145" t="n"/>
      <c r="O72" s="145" t="n"/>
      <c r="P72" s="145" t="n"/>
      <c r="Q72" s="145" t="n"/>
      <c r="R72" s="145" t="n"/>
      <c r="S72" s="145" t="n"/>
      <c r="T72" s="145" t="n"/>
      <c r="U72" s="145" t="n"/>
      <c r="V72" s="145" t="n"/>
      <c r="W72" s="145" t="n"/>
      <c r="X72" s="145" t="n"/>
      <c r="Y72" s="145" t="n"/>
      <c r="Z72" s="145" t="n"/>
    </row>
    <row r="73" ht="15.75" customHeight="1" s="311">
      <c r="A73" s="145" t="n"/>
      <c r="B73" s="145" t="n"/>
      <c r="C73" s="145" t="n"/>
      <c r="D73" s="145" t="n"/>
      <c r="E73" s="145" t="n"/>
      <c r="F73" s="145" t="n"/>
      <c r="G73" s="145" t="n"/>
      <c r="H73" s="145" t="n"/>
      <c r="I73" s="145" t="n"/>
      <c r="J73" s="145" t="n"/>
      <c r="K73" s="145" t="n"/>
      <c r="L73" s="145" t="n"/>
      <c r="M73" s="145" t="n"/>
      <c r="N73" s="145" t="n"/>
      <c r="O73" s="145" t="n"/>
      <c r="P73" s="145" t="n"/>
      <c r="Q73" s="145" t="n"/>
      <c r="R73" s="145" t="n"/>
      <c r="S73" s="145" t="n"/>
      <c r="T73" s="145" t="n"/>
      <c r="U73" s="145" t="n"/>
      <c r="V73" s="145" t="n"/>
      <c r="W73" s="145" t="n"/>
      <c r="X73" s="145" t="n"/>
      <c r="Y73" s="145" t="n"/>
      <c r="Z73" s="145" t="n"/>
    </row>
    <row r="74" ht="15.75" customHeight="1" s="311">
      <c r="A74" s="145" t="n"/>
      <c r="B74" s="145" t="n"/>
      <c r="C74" s="145"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5" t="n"/>
      <c r="Y74" s="145" t="n"/>
      <c r="Z74" s="145" t="n"/>
    </row>
    <row r="75" ht="15.75" customHeight="1" s="311">
      <c r="A75" s="145" t="n"/>
      <c r="B75" s="145" t="n"/>
      <c r="C75" s="145"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5" t="n"/>
      <c r="Y75" s="145" t="n"/>
      <c r="Z75" s="145" t="n"/>
    </row>
    <row r="76" ht="15.75" customHeight="1" s="311">
      <c r="A76" s="145" t="n"/>
      <c r="B76" s="145" t="n"/>
      <c r="C76" s="145"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5" t="n"/>
      <c r="Y76" s="145" t="n"/>
      <c r="Z76" s="145" t="n"/>
    </row>
    <row r="77" ht="15.75" customHeight="1" s="311">
      <c r="A77" s="145" t="n"/>
      <c r="B77" s="145" t="n"/>
      <c r="C77" s="145" t="n"/>
      <c r="D77" s="145" t="n"/>
      <c r="E77" s="145" t="n"/>
      <c r="F77" s="145" t="n"/>
      <c r="G77" s="145" t="n"/>
      <c r="H77" s="145" t="n"/>
      <c r="I77" s="145" t="n"/>
      <c r="J77" s="145" t="n"/>
      <c r="K77" s="145" t="n"/>
      <c r="L77" s="145" t="n"/>
      <c r="M77" s="145" t="n"/>
      <c r="N77" s="145" t="n"/>
      <c r="O77" s="145" t="n"/>
      <c r="P77" s="145" t="n"/>
      <c r="Q77" s="145" t="n"/>
      <c r="R77" s="145" t="n"/>
      <c r="S77" s="145" t="n"/>
      <c r="T77" s="145" t="n"/>
      <c r="U77" s="145" t="n"/>
      <c r="V77" s="145" t="n"/>
      <c r="W77" s="145" t="n"/>
      <c r="X77" s="145" t="n"/>
      <c r="Y77" s="145" t="n"/>
      <c r="Z77" s="145" t="n"/>
    </row>
    <row r="78" ht="15.75" customHeight="1" s="311">
      <c r="A78" s="145" t="n"/>
      <c r="B78" s="145" t="n"/>
      <c r="C78" s="145" t="n"/>
      <c r="D78" s="145" t="n"/>
      <c r="E78" s="145" t="n"/>
      <c r="F78" s="145" t="n"/>
      <c r="G78" s="145" t="n"/>
      <c r="H78" s="145" t="n"/>
      <c r="I78" s="145" t="n"/>
      <c r="J78" s="145" t="n"/>
      <c r="K78" s="145" t="n"/>
      <c r="L78" s="145" t="n"/>
      <c r="M78" s="145" t="n"/>
      <c r="N78" s="145" t="n"/>
      <c r="O78" s="145" t="n"/>
      <c r="P78" s="145" t="n"/>
      <c r="Q78" s="145" t="n"/>
      <c r="R78" s="145" t="n"/>
      <c r="S78" s="145" t="n"/>
      <c r="T78" s="145" t="n"/>
      <c r="U78" s="145" t="n"/>
      <c r="V78" s="145" t="n"/>
      <c r="W78" s="145" t="n"/>
      <c r="X78" s="145" t="n"/>
      <c r="Y78" s="145" t="n"/>
      <c r="Z78" s="145" t="n"/>
    </row>
    <row r="79" ht="15.75" customHeight="1" s="311">
      <c r="A79" s="145" t="n"/>
      <c r="B79" s="145" t="n"/>
      <c r="C79" s="145" t="n"/>
      <c r="D79" s="145" t="n"/>
      <c r="E79" s="145" t="n"/>
      <c r="F79" s="145" t="n"/>
      <c r="G79" s="145" t="n"/>
      <c r="H79" s="145" t="n"/>
      <c r="I79" s="145" t="n"/>
      <c r="J79" s="145" t="n"/>
      <c r="K79" s="145" t="n"/>
      <c r="L79" s="145" t="n"/>
      <c r="M79" s="145" t="n"/>
      <c r="N79" s="145" t="n"/>
      <c r="O79" s="145" t="n"/>
      <c r="P79" s="145" t="n"/>
      <c r="Q79" s="145" t="n"/>
      <c r="R79" s="145" t="n"/>
      <c r="S79" s="145" t="n"/>
      <c r="T79" s="145" t="n"/>
      <c r="U79" s="145" t="n"/>
      <c r="V79" s="145" t="n"/>
      <c r="W79" s="145" t="n"/>
      <c r="X79" s="145" t="n"/>
      <c r="Y79" s="145" t="n"/>
      <c r="Z79" s="145" t="n"/>
    </row>
    <row r="80" ht="15.75" customHeight="1" s="311">
      <c r="A80" s="145" t="n"/>
      <c r="B80" s="145" t="n"/>
      <c r="C80" s="145" t="n"/>
      <c r="D80" s="145" t="n"/>
      <c r="E80" s="145" t="n"/>
      <c r="F80" s="145" t="n"/>
      <c r="G80" s="145" t="n"/>
      <c r="H80" s="145" t="n"/>
      <c r="I80" s="145" t="n"/>
      <c r="J80" s="145" t="n"/>
      <c r="K80" s="145" t="n"/>
      <c r="L80" s="145" t="n"/>
      <c r="M80" s="145" t="n"/>
      <c r="N80" s="145" t="n"/>
      <c r="O80" s="145" t="n"/>
      <c r="P80" s="145" t="n"/>
      <c r="Q80" s="145" t="n"/>
      <c r="R80" s="145" t="n"/>
      <c r="S80" s="145" t="n"/>
      <c r="T80" s="145" t="n"/>
      <c r="U80" s="145" t="n"/>
      <c r="V80" s="145" t="n"/>
      <c r="W80" s="145" t="n"/>
      <c r="X80" s="145" t="n"/>
      <c r="Y80" s="145" t="n"/>
      <c r="Z80" s="145" t="n"/>
    </row>
    <row r="81" ht="15.75" customHeight="1" s="311">
      <c r="A81" s="145" t="n"/>
      <c r="B81" s="145" t="n"/>
      <c r="C81" s="145"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5" t="n"/>
      <c r="Y81" s="145" t="n"/>
      <c r="Z81" s="145"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5" t="n"/>
      <c r="Y82" s="145" t="n"/>
      <c r="Z82" s="145"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5" t="n"/>
      <c r="Y83" s="145" t="n"/>
      <c r="Z83" s="145" t="n"/>
    </row>
    <row r="84" ht="15.75" customHeight="1" s="311">
      <c r="A84" s="145" t="n"/>
      <c r="B84" s="145" t="n"/>
      <c r="C84" s="145" t="n"/>
      <c r="D84" s="145" t="n"/>
      <c r="E84" s="145" t="n"/>
      <c r="F84" s="145" t="n"/>
      <c r="G84" s="145" t="n"/>
      <c r="H84" s="145" t="n"/>
      <c r="I84" s="145" t="n"/>
      <c r="J84" s="145" t="n"/>
      <c r="K84" s="145" t="n"/>
      <c r="L84" s="145" t="n"/>
      <c r="M84" s="145" t="n"/>
      <c r="N84" s="145" t="n"/>
      <c r="O84" s="145" t="n"/>
      <c r="P84" s="145" t="n"/>
      <c r="Q84" s="145" t="n"/>
      <c r="R84" s="145" t="n"/>
      <c r="S84" s="145" t="n"/>
      <c r="T84" s="145" t="n"/>
      <c r="U84" s="145" t="n"/>
      <c r="V84" s="145" t="n"/>
      <c r="W84" s="145" t="n"/>
      <c r="X84" s="145" t="n"/>
      <c r="Y84" s="145" t="n"/>
      <c r="Z84" s="145" t="n"/>
    </row>
    <row r="85" ht="15.75" customHeight="1" s="311">
      <c r="A85" s="145" t="n"/>
      <c r="B85" s="145" t="n"/>
      <c r="C85" s="145" t="n"/>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5" t="n"/>
      <c r="Y85" s="145" t="n"/>
      <c r="Z85" s="145" t="n"/>
    </row>
    <row r="86" ht="15.75" customHeight="1" s="311">
      <c r="A86" s="145" t="n"/>
      <c r="B86" s="145" t="n"/>
      <c r="C86" s="145" t="n"/>
      <c r="D86" s="145" t="n"/>
      <c r="E86" s="145" t="n"/>
      <c r="F86" s="145" t="n"/>
      <c r="G86" s="145" t="n"/>
      <c r="H86" s="145" t="n"/>
      <c r="I86" s="145" t="n"/>
      <c r="J86" s="145" t="n"/>
      <c r="K86" s="145" t="n"/>
      <c r="L86" s="145" t="n"/>
      <c r="M86" s="145" t="n"/>
      <c r="N86" s="145" t="n"/>
      <c r="O86" s="145" t="n"/>
      <c r="P86" s="145" t="n"/>
      <c r="Q86" s="145" t="n"/>
      <c r="R86" s="145" t="n"/>
      <c r="S86" s="145" t="n"/>
      <c r="T86" s="145" t="n"/>
      <c r="U86" s="145" t="n"/>
      <c r="V86" s="145" t="n"/>
      <c r="W86" s="145" t="n"/>
      <c r="X86" s="145" t="n"/>
      <c r="Y86" s="145" t="n"/>
      <c r="Z86" s="145" t="n"/>
    </row>
    <row r="87" ht="15.75" customHeight="1" s="311">
      <c r="A87" s="145" t="n"/>
      <c r="B87" s="145" t="n"/>
      <c r="C87" s="145" t="n"/>
      <c r="D87" s="145" t="n"/>
      <c r="E87" s="145" t="n"/>
      <c r="F87" s="145" t="n"/>
      <c r="G87" s="145" t="n"/>
      <c r="H87" s="145" t="n"/>
      <c r="I87" s="145" t="n"/>
      <c r="J87" s="145" t="n"/>
      <c r="K87" s="145" t="n"/>
      <c r="L87" s="145" t="n"/>
      <c r="M87" s="145" t="n"/>
      <c r="N87" s="145" t="n"/>
      <c r="O87" s="145" t="n"/>
      <c r="P87" s="145" t="n"/>
      <c r="Q87" s="145" t="n"/>
      <c r="R87" s="145" t="n"/>
      <c r="S87" s="145" t="n"/>
      <c r="T87" s="145" t="n"/>
      <c r="U87" s="145" t="n"/>
      <c r="V87" s="145" t="n"/>
      <c r="W87" s="145" t="n"/>
      <c r="X87" s="145" t="n"/>
      <c r="Y87" s="145" t="n"/>
      <c r="Z87" s="145" t="n"/>
    </row>
    <row r="88" ht="15.75" customHeight="1" s="311">
      <c r="A88" s="145" t="n"/>
      <c r="B88" s="145" t="n"/>
      <c r="C88" s="145" t="n"/>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5" t="n"/>
      <c r="Y88" s="145" t="n"/>
      <c r="Z88" s="145" t="n"/>
    </row>
    <row r="89" ht="15.75" customHeight="1" s="311">
      <c r="A89" s="145" t="n"/>
      <c r="B89" s="145" t="n"/>
      <c r="C89" s="145" t="n"/>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5" t="n"/>
      <c r="Y89" s="145" t="n"/>
      <c r="Z89" s="145" t="n"/>
    </row>
    <row r="90" ht="15.75" customHeight="1" s="311">
      <c r="A90" s="145" t="n"/>
      <c r="B90" s="145" t="n"/>
      <c r="C90" s="145" t="n"/>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5" t="n"/>
      <c r="Y90" s="145" t="n"/>
      <c r="Z90" s="145" t="n"/>
    </row>
    <row r="91" ht="15.75" customHeight="1" s="311">
      <c r="A91" s="145" t="n"/>
      <c r="B91" s="145" t="n"/>
      <c r="C91" s="145" t="n"/>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5" t="n"/>
      <c r="Y91" s="145" t="n"/>
      <c r="Z91" s="145" t="n"/>
    </row>
    <row r="92" ht="15.75" customHeight="1" s="311">
      <c r="A92" s="145" t="n"/>
      <c r="B92" s="145" t="n"/>
      <c r="C92" s="145"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5" t="n"/>
      <c r="Y92" s="145" t="n"/>
      <c r="Z92" s="145" t="n"/>
    </row>
    <row r="93" ht="15.75" customHeight="1" s="311">
      <c r="A93" s="145" t="n"/>
      <c r="B93" s="145" t="n"/>
      <c r="C93" s="145"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5" t="n"/>
      <c r="Y93" s="145" t="n"/>
      <c r="Z93" s="145" t="n"/>
    </row>
    <row r="94" ht="15.75" customHeight="1" s="311">
      <c r="A94" s="145" t="n"/>
      <c r="B94" s="145" t="n"/>
      <c r="C94" s="145"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5" t="n"/>
      <c r="Y94" s="145" t="n"/>
      <c r="Z94" s="145" t="n"/>
    </row>
    <row r="95" ht="15.75" customHeight="1" s="311">
      <c r="A95" s="145" t="n"/>
      <c r="B95" s="145" t="n"/>
      <c r="C95" s="145"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5" t="n"/>
      <c r="Y95" s="145" t="n"/>
      <c r="Z95" s="145" t="n"/>
    </row>
    <row r="96" ht="15.75" customHeight="1" s="311">
      <c r="A96" s="145" t="n"/>
      <c r="B96" s="145" t="n"/>
      <c r="C96" s="145"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5" t="n"/>
      <c r="Y96" s="145" t="n"/>
      <c r="Z96" s="145" t="n"/>
    </row>
    <row r="97" ht="15.75" customHeight="1" s="311">
      <c r="A97" s="145" t="n"/>
      <c r="B97" s="145" t="n"/>
      <c r="C97" s="145"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5" t="n"/>
      <c r="Y97" s="145" t="n"/>
      <c r="Z97" s="145" t="n"/>
    </row>
    <row r="98" ht="15.75" customHeight="1" s="311">
      <c r="A98" s="145" t="n"/>
      <c r="B98" s="145" t="n"/>
      <c r="C98" s="145"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5" t="n"/>
      <c r="Y98" s="145" t="n"/>
      <c r="Z98" s="145" t="n"/>
    </row>
    <row r="99" ht="15.75" customHeight="1" s="311">
      <c r="A99" s="145" t="n"/>
      <c r="B99" s="145" t="n"/>
      <c r="C99" s="145" t="n"/>
      <c r="D99" s="145" t="n"/>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5" t="n"/>
      <c r="Y99" s="145" t="n"/>
      <c r="Z99" s="145" t="n"/>
    </row>
    <row r="100" ht="15.75" customHeight="1" s="311">
      <c r="A100" s="145" t="n"/>
      <c r="B100" s="145" t="n"/>
      <c r="C100" s="145" t="n"/>
      <c r="D100" s="145" t="n"/>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5" t="n"/>
      <c r="Y100" s="145" t="n"/>
      <c r="Z100" s="145" t="n"/>
    </row>
    <row r="101" ht="15.75" customHeight="1" s="311">
      <c r="A101" s="145" t="n"/>
      <c r="B101" s="145" t="n"/>
      <c r="C101" s="145" t="n"/>
      <c r="D101" s="145" t="n"/>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5" t="n"/>
      <c r="Y101" s="145" t="n"/>
      <c r="Z101" s="145" t="n"/>
    </row>
    <row r="102" ht="15.75" customHeight="1" s="311">
      <c r="A102" s="145" t="n"/>
      <c r="B102" s="145" t="n"/>
      <c r="C102" s="145" t="n"/>
      <c r="D102" s="145" t="n"/>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5" t="n"/>
      <c r="Y102" s="145" t="n"/>
      <c r="Z102" s="145" t="n"/>
    </row>
    <row r="103" ht="15.75" customHeight="1" s="311">
      <c r="A103" s="145" t="n"/>
      <c r="B103" s="145" t="n"/>
      <c r="C103" s="145" t="n"/>
      <c r="D103" s="145" t="n"/>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5" t="n"/>
      <c r="Y103" s="145" t="n"/>
      <c r="Z103" s="145" t="n"/>
    </row>
    <row r="104" ht="15.75" customHeight="1" s="311">
      <c r="A104" s="145" t="n"/>
      <c r="B104" s="145" t="n"/>
      <c r="C104" s="145" t="n"/>
      <c r="D104" s="145" t="n"/>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5" t="n"/>
      <c r="Y104" s="145" t="n"/>
      <c r="Z104" s="145" t="n"/>
    </row>
    <row r="105" ht="15.75" customHeight="1" s="311">
      <c r="A105" s="145" t="n"/>
      <c r="B105" s="145" t="n"/>
      <c r="C105" s="145" t="n"/>
      <c r="D105" s="145" t="n"/>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5" t="n"/>
      <c r="Y105" s="145" t="n"/>
      <c r="Z105" s="145" t="n"/>
    </row>
    <row r="106" ht="15.75" customHeight="1" s="311">
      <c r="A106" s="145" t="n"/>
      <c r="B106" s="145" t="n"/>
      <c r="C106" s="145"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5" t="n"/>
      <c r="Y106" s="145" t="n"/>
      <c r="Z106" s="145" t="n"/>
    </row>
    <row r="107" ht="15.75" customHeight="1" s="311">
      <c r="A107" s="145" t="n"/>
      <c r="B107" s="145" t="n"/>
      <c r="C107" s="145"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5" t="n"/>
      <c r="Y107" s="145" t="n"/>
      <c r="Z107" s="145" t="n"/>
    </row>
    <row r="108" ht="15.75" customHeight="1" s="311">
      <c r="A108" s="145" t="n"/>
      <c r="B108" s="145" t="n"/>
      <c r="C108" s="145" t="n"/>
      <c r="D108" s="145" t="n"/>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5" t="n"/>
      <c r="Y108" s="145" t="n"/>
      <c r="Z108" s="145" t="n"/>
    </row>
    <row r="109" ht="15.75" customHeight="1" s="311">
      <c r="A109" s="145" t="n"/>
      <c r="B109" s="145" t="n"/>
      <c r="C109" s="145" t="n"/>
      <c r="D109" s="145" t="n"/>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5" t="n"/>
      <c r="Y109" s="145" t="n"/>
      <c r="Z109" s="145" t="n"/>
    </row>
    <row r="110" ht="15.75" customHeight="1" s="311">
      <c r="A110" s="145" t="n"/>
      <c r="B110" s="145" t="n"/>
      <c r="C110" s="145" t="n"/>
      <c r="D110" s="145" t="n"/>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5" t="n"/>
      <c r="Y110" s="145" t="n"/>
      <c r="Z110" s="145" t="n"/>
    </row>
    <row r="111" ht="15.75" customHeight="1" s="311">
      <c r="A111" s="145" t="n"/>
      <c r="B111" s="145" t="n"/>
      <c r="C111" s="145" t="n"/>
      <c r="D111" s="145" t="n"/>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5" t="n"/>
      <c r="Y111" s="145" t="n"/>
      <c r="Z111" s="145" t="n"/>
    </row>
    <row r="112" ht="15.75" customHeight="1" s="311">
      <c r="A112" s="145" t="n"/>
      <c r="B112" s="145" t="n"/>
      <c r="C112" s="145" t="n"/>
      <c r="D112" s="145" t="n"/>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5" t="n"/>
      <c r="Y112" s="145" t="n"/>
      <c r="Z112" s="145" t="n"/>
    </row>
    <row r="113" ht="15.75" customHeight="1" s="311">
      <c r="A113" s="145" t="n"/>
      <c r="B113" s="145" t="n"/>
      <c r="C113" s="145" t="n"/>
      <c r="D113" s="145" t="n"/>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5" t="n"/>
      <c r="Y113" s="145" t="n"/>
      <c r="Z113" s="145" t="n"/>
    </row>
    <row r="114" ht="15.75" customHeight="1" s="311">
      <c r="A114" s="145" t="n"/>
      <c r="B114" s="145" t="n"/>
      <c r="C114" s="145" t="n"/>
      <c r="D114" s="145" t="n"/>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5" t="n"/>
      <c r="Y114" s="145" t="n"/>
      <c r="Z114" s="145" t="n"/>
    </row>
    <row r="115" ht="15.75" customHeight="1" s="311">
      <c r="A115" s="145" t="n"/>
      <c r="B115" s="145" t="n"/>
      <c r="C115" s="145" t="n"/>
      <c r="D115" s="145" t="n"/>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5" t="n"/>
      <c r="Y115" s="145" t="n"/>
      <c r="Z115" s="145" t="n"/>
    </row>
    <row r="116" ht="15.75" customHeight="1" s="311">
      <c r="A116" s="145" t="n"/>
      <c r="B116" s="145" t="n"/>
      <c r="C116" s="145"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5" t="n"/>
      <c r="Y116" s="145" t="n"/>
      <c r="Z116" s="145" t="n"/>
    </row>
    <row r="117" ht="15.75" customHeight="1" s="311">
      <c r="A117" s="145" t="n"/>
      <c r="B117" s="145" t="n"/>
      <c r="C117" s="145"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5" t="n"/>
      <c r="Y117" s="145" t="n"/>
      <c r="Z117" s="145" t="n"/>
    </row>
    <row r="118" ht="15.75" customHeight="1" s="311">
      <c r="A118" s="145" t="n"/>
      <c r="B118" s="145" t="n"/>
      <c r="C118" s="145"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5" t="n"/>
      <c r="Y118" s="145" t="n"/>
      <c r="Z118" s="145" t="n"/>
    </row>
    <row r="119" ht="15.75" customHeight="1" s="311">
      <c r="A119" s="145" t="n"/>
      <c r="B119" s="145" t="n"/>
      <c r="C119" s="145"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5" t="n"/>
      <c r="Y119" s="145" t="n"/>
      <c r="Z119" s="145" t="n"/>
    </row>
    <row r="120" ht="15.75" customHeight="1" s="311">
      <c r="A120" s="145" t="n"/>
      <c r="B120" s="145" t="n"/>
      <c r="C120" s="145"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5" t="n"/>
      <c r="Y120" s="145" t="n"/>
      <c r="Z120" s="145" t="n"/>
    </row>
    <row r="121" ht="15.75" customHeight="1" s="311">
      <c r="A121" s="145" t="n"/>
      <c r="B121" s="145" t="n"/>
      <c r="C121" s="145"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5" t="n"/>
      <c r="Y121" s="145" t="n"/>
      <c r="Z121" s="145" t="n"/>
    </row>
    <row r="122" ht="15.75" customHeight="1" s="311">
      <c r="A122" s="145" t="n"/>
      <c r="B122" s="145" t="n"/>
      <c r="C122" s="145"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5" t="n"/>
      <c r="Y122" s="145" t="n"/>
      <c r="Z122" s="145" t="n"/>
    </row>
    <row r="123" ht="15.75" customHeight="1" s="311">
      <c r="A123" s="145" t="n"/>
      <c r="B123" s="145" t="n"/>
      <c r="C123" s="145"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5" t="n"/>
      <c r="Y123" s="145" t="n"/>
      <c r="Z123" s="145" t="n"/>
    </row>
    <row r="124" ht="15.75" customHeight="1" s="311">
      <c r="A124" s="145" t="n"/>
      <c r="B124" s="145" t="n"/>
      <c r="C124" s="145"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5" t="n"/>
      <c r="Y124" s="145" t="n"/>
      <c r="Z124" s="145" t="n"/>
    </row>
    <row r="125" ht="15.75" customHeight="1" s="311">
      <c r="A125" s="145" t="n"/>
      <c r="B125" s="145" t="n"/>
      <c r="C125" s="145"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5" t="n"/>
      <c r="Y125" s="145" t="n"/>
      <c r="Z125" s="145" t="n"/>
    </row>
    <row r="126" ht="15.75" customHeight="1" s="311">
      <c r="A126" s="145" t="n"/>
      <c r="B126" s="145" t="n"/>
      <c r="C126" s="145"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5" t="n"/>
      <c r="Y126" s="145" t="n"/>
      <c r="Z126" s="145" t="n"/>
    </row>
    <row r="127" ht="15.75" customHeight="1" s="311">
      <c r="A127" s="145" t="n"/>
      <c r="B127" s="145" t="n"/>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45" t="n"/>
      <c r="Z127" s="145"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45" t="n"/>
      <c r="Z128" s="145" t="n"/>
    </row>
    <row r="129" ht="15.75" customHeight="1" s="311">
      <c r="A129" s="145" t="n"/>
      <c r="B129" s="145" t="n"/>
      <c r="C129" s="145"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5" t="n"/>
      <c r="Y129" s="145" t="n"/>
      <c r="Z129" s="145" t="n"/>
    </row>
    <row r="130" ht="15.75" customHeight="1" s="311">
      <c r="A130" s="145" t="n"/>
      <c r="B130" s="145" t="n"/>
      <c r="C130" s="145"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5" t="n"/>
      <c r="Y130" s="145" t="n"/>
      <c r="Z130" s="145" t="n"/>
    </row>
    <row r="131" ht="15.75" customHeight="1" s="311">
      <c r="A131" s="145" t="n"/>
      <c r="B131" s="145" t="n"/>
      <c r="C131" s="145"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5" t="n"/>
      <c r="Y131" s="145" t="n"/>
      <c r="Z131" s="145" t="n"/>
    </row>
    <row r="132" ht="15.75" customHeight="1" s="311">
      <c r="A132" s="145" t="n"/>
      <c r="B132" s="145" t="n"/>
      <c r="C132" s="145"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5" t="n"/>
      <c r="Y132" s="145" t="n"/>
      <c r="Z132" s="145" t="n"/>
    </row>
    <row r="133" ht="15.75" customHeight="1" s="311">
      <c r="A133" s="145" t="n"/>
      <c r="B133" s="145" t="n"/>
      <c r="C133" s="145"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5" t="n"/>
      <c r="Y133" s="145" t="n"/>
      <c r="Z133" s="145" t="n"/>
    </row>
    <row r="134" ht="15.75" customHeight="1" s="311">
      <c r="A134" s="145" t="n"/>
      <c r="B134" s="145" t="n"/>
      <c r="C134" s="145"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5" t="n"/>
      <c r="Y134" s="145" t="n"/>
      <c r="Z134" s="145" t="n"/>
    </row>
    <row r="135" ht="15.75" customHeight="1" s="311">
      <c r="A135" s="145" t="n"/>
      <c r="B135" s="145" t="n"/>
      <c r="C135" s="145"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5" t="n"/>
      <c r="Y135" s="145" t="n"/>
      <c r="Z135" s="145" t="n"/>
    </row>
    <row r="136" ht="15.75" customHeight="1" s="311">
      <c r="A136" s="145" t="n"/>
      <c r="B136" s="145" t="n"/>
      <c r="C136" s="145"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5" t="n"/>
      <c r="Y136" s="145" t="n"/>
      <c r="Z136" s="145" t="n"/>
    </row>
    <row r="137" ht="15.75" customHeight="1" s="311">
      <c r="A137" s="145" t="n"/>
      <c r="B137" s="145" t="n"/>
      <c r="C137" s="145"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5" t="n"/>
      <c r="Y137" s="145" t="n"/>
      <c r="Z137" s="145"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5" t="n"/>
      <c r="Y138" s="145" t="n"/>
      <c r="Z138" s="145" t="n"/>
    </row>
    <row r="139" ht="15.75" customHeight="1" s="311">
      <c r="A139" s="145" t="n"/>
      <c r="B139" s="145" t="n"/>
      <c r="C139" s="145"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5" t="n"/>
      <c r="Y139" s="145" t="n"/>
      <c r="Z139" s="145" t="n"/>
    </row>
    <row r="140" ht="15.75" customHeight="1" s="311">
      <c r="A140" s="145" t="n"/>
      <c r="B140" s="145" t="n"/>
      <c r="C140" s="145"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5" t="n"/>
      <c r="Y140" s="145" t="n"/>
      <c r="Z140" s="145" t="n"/>
    </row>
    <row r="141" ht="15.75" customHeight="1" s="311">
      <c r="A141" s="145" t="n"/>
      <c r="B141" s="145" t="n"/>
      <c r="C141" s="145"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5" t="n"/>
      <c r="Y141" s="145" t="n"/>
      <c r="Z141" s="145" t="n"/>
    </row>
    <row r="142" ht="15.75" customHeight="1" s="311">
      <c r="A142" s="145" t="n"/>
      <c r="B142" s="145" t="n"/>
      <c r="C142" s="145"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5" t="n"/>
      <c r="Y142" s="145" t="n"/>
      <c r="Z142" s="145" t="n"/>
    </row>
    <row r="143" ht="15.75" customHeight="1" s="311">
      <c r="A143" s="145" t="n"/>
      <c r="B143" s="145" t="n"/>
      <c r="C143" s="145"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5" t="n"/>
      <c r="Y143" s="145" t="n"/>
      <c r="Z143" s="145" t="n"/>
    </row>
    <row r="144" ht="15.75" customHeight="1" s="311">
      <c r="A144" s="145" t="n"/>
      <c r="B144" s="145" t="n"/>
      <c r="C144" s="145"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5" t="n"/>
      <c r="Y144" s="145" t="n"/>
      <c r="Z144" s="145" t="n"/>
    </row>
    <row r="145" ht="15.75" customHeight="1" s="311">
      <c r="A145" s="145" t="n"/>
      <c r="B145" s="145" t="n"/>
      <c r="C145" s="145"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5" t="n"/>
      <c r="Y145" s="145" t="n"/>
      <c r="Z145" s="145" t="n"/>
    </row>
    <row r="146" ht="15.75" customHeight="1" s="311">
      <c r="A146" s="145" t="n"/>
      <c r="B146" s="145" t="n"/>
      <c r="C146" s="145"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5" t="n"/>
      <c r="Y146" s="145" t="n"/>
      <c r="Z146" s="145"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5" t="n"/>
      <c r="Y147" s="145" t="n"/>
      <c r="Z147" s="145"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45" t="n"/>
      <c r="Z148" s="145" t="n"/>
    </row>
    <row r="149" ht="15.75" customHeight="1" s="311">
      <c r="A149" s="145" t="n"/>
      <c r="B149" s="145" t="n"/>
      <c r="C149" s="145"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5" t="n"/>
      <c r="Y149" s="145" t="n"/>
      <c r="Z149" s="145" t="n"/>
    </row>
    <row r="150" ht="15.75" customHeight="1" s="311">
      <c r="A150" s="145" t="n"/>
      <c r="B150" s="145" t="n"/>
      <c r="C150" s="145"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5" t="n"/>
      <c r="Y150" s="145" t="n"/>
      <c r="Z150" s="145" t="n"/>
    </row>
    <row r="151" ht="15.75" customHeight="1" s="311">
      <c r="A151" s="145" t="n"/>
      <c r="B151" s="145" t="n"/>
      <c r="C151" s="145"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45" t="n"/>
      <c r="Z151" s="145" t="n"/>
    </row>
    <row r="152" ht="15.75" customHeight="1" s="311">
      <c r="A152" s="145" t="n"/>
      <c r="B152" s="145" t="n"/>
      <c r="C152" s="145"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5" t="n"/>
      <c r="Y152" s="145" t="n"/>
      <c r="Z152" s="145" t="n"/>
    </row>
    <row r="153" ht="15.75" customHeight="1" s="311">
      <c r="A153" s="145" t="n"/>
      <c r="B153" s="145" t="n"/>
      <c r="C153" s="145"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5" t="n"/>
      <c r="Y153" s="145" t="n"/>
      <c r="Z153" s="145" t="n"/>
    </row>
    <row r="154" ht="15.75" customHeight="1" s="311">
      <c r="A154" s="145" t="n"/>
      <c r="B154" s="145" t="n"/>
      <c r="C154" s="145"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5" t="n"/>
      <c r="Y154" s="145" t="n"/>
      <c r="Z154" s="145" t="n"/>
    </row>
    <row r="155" ht="15.75" customHeight="1" s="311">
      <c r="A155" s="145" t="n"/>
      <c r="B155" s="145" t="n"/>
      <c r="C155" s="145"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5" t="n"/>
      <c r="Y155" s="145" t="n"/>
      <c r="Z155" s="145"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5" t="n"/>
      <c r="Y156" s="145" t="n"/>
      <c r="Z156" s="145" t="n"/>
    </row>
    <row r="157" ht="15.75" customHeight="1" s="311">
      <c r="A157" s="145" t="n"/>
      <c r="B157" s="145" t="n"/>
      <c r="C157" s="145"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5" t="n"/>
      <c r="Y157" s="145" t="n"/>
      <c r="Z157" s="145" t="n"/>
    </row>
    <row r="158" ht="15.75" customHeight="1" s="311">
      <c r="A158" s="145" t="n"/>
      <c r="B158" s="145" t="n"/>
      <c r="C158" s="145"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5" t="n"/>
      <c r="Y158" s="145" t="n"/>
      <c r="Z158" s="145" t="n"/>
    </row>
    <row r="159" ht="15.75" customHeight="1" s="311">
      <c r="A159" s="145" t="n"/>
      <c r="B159" s="145" t="n"/>
      <c r="C159" s="145"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5" t="n"/>
      <c r="Y159" s="145" t="n"/>
      <c r="Z159" s="145" t="n"/>
    </row>
    <row r="160" ht="15.75" customHeight="1" s="311">
      <c r="A160" s="145" t="n"/>
      <c r="B160" s="145" t="n"/>
      <c r="C160" s="145"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45" t="n"/>
      <c r="Z160" s="145" t="n"/>
    </row>
    <row r="161" ht="15.75" customHeight="1" s="311">
      <c r="A161" s="145" t="n"/>
      <c r="B161" s="145" t="n"/>
      <c r="C161" s="145"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5" t="n"/>
      <c r="Y161" s="145" t="n"/>
      <c r="Z161" s="145"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5" t="n"/>
      <c r="Y162" s="145" t="n"/>
      <c r="Z162" s="145" t="n"/>
    </row>
    <row r="163" ht="15.75" customHeight="1" s="311">
      <c r="A163" s="145" t="n"/>
      <c r="B163" s="145" t="n"/>
      <c r="C163" s="145"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5" t="n"/>
      <c r="Y163" s="145" t="n"/>
      <c r="Z163" s="145" t="n"/>
    </row>
    <row r="164" ht="15.75" customHeight="1" s="311">
      <c r="A164" s="145" t="n"/>
      <c r="B164" s="145" t="n"/>
      <c r="C164" s="145"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5" t="n"/>
      <c r="Y164" s="145" t="n"/>
      <c r="Z164" s="145" t="n"/>
    </row>
    <row r="165" ht="15.75" customHeight="1" s="311">
      <c r="A165" s="145" t="n"/>
      <c r="B165" s="145" t="n"/>
      <c r="C165" s="145"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5" t="n"/>
      <c r="Y165" s="145" t="n"/>
      <c r="Z165" s="145" t="n"/>
    </row>
    <row r="166" ht="15.75" customHeight="1" s="311">
      <c r="A166" s="145" t="n"/>
      <c r="B166" s="145" t="n"/>
      <c r="C166" s="145"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5" t="n"/>
      <c r="Y166" s="145" t="n"/>
      <c r="Z166" s="145" t="n"/>
    </row>
    <row r="167" ht="15.75" customHeight="1" s="311">
      <c r="A167" s="145" t="n"/>
      <c r="B167" s="145" t="n"/>
      <c r="C167" s="145"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5" t="n"/>
      <c r="Y167" s="145" t="n"/>
      <c r="Z167" s="145" t="n"/>
    </row>
    <row r="168" ht="15.75" customHeight="1" s="311">
      <c r="A168" s="145" t="n"/>
      <c r="B168" s="145" t="n"/>
      <c r="C168" s="145"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5" t="n"/>
      <c r="Y168" s="145" t="n"/>
      <c r="Z168" s="145"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5" t="n"/>
      <c r="Y169" s="145" t="n"/>
      <c r="Z169" s="145" t="n"/>
    </row>
    <row r="170" ht="15.75" customHeight="1" s="311">
      <c r="A170" s="145" t="n"/>
      <c r="B170" s="145" t="n"/>
      <c r="C170" s="145"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5" t="n"/>
      <c r="Y170" s="145" t="n"/>
      <c r="Z170" s="145"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5" t="n"/>
      <c r="Y171" s="145" t="n"/>
      <c r="Z171" s="145"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5" t="n"/>
      <c r="Y172" s="145" t="n"/>
      <c r="Z172" s="145"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5" t="n"/>
      <c r="Y173" s="145" t="n"/>
      <c r="Z173" s="145"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5" t="n"/>
      <c r="Y174" s="145" t="n"/>
      <c r="Z174" s="145"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5" t="n"/>
      <c r="Y175" s="145" t="n"/>
      <c r="Z175" s="145"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5" t="n"/>
      <c r="Y176" s="145" t="n"/>
      <c r="Z176" s="145"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5" t="n"/>
      <c r="Y177" s="145" t="n"/>
      <c r="Z177" s="145"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5" t="n"/>
      <c r="Y178" s="145" t="n"/>
      <c r="Z178" s="145"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5" t="n"/>
      <c r="Y179" s="145" t="n"/>
      <c r="Z179" s="145"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5" t="n"/>
      <c r="Y180" s="145" t="n"/>
      <c r="Z180" s="145"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5" t="n"/>
      <c r="Y181" s="145" t="n"/>
      <c r="Z181" s="145"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5" t="n"/>
      <c r="Y182" s="145" t="n"/>
      <c r="Z182" s="145"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5" t="n"/>
      <c r="Y183" s="145" t="n"/>
      <c r="Z183" s="145"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5" t="n"/>
      <c r="Y184" s="145" t="n"/>
      <c r="Z184" s="145"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5" t="n"/>
      <c r="Y185" s="145" t="n"/>
      <c r="Z185" s="145"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5" t="n"/>
      <c r="Y186" s="145" t="n"/>
      <c r="Z186" s="145"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5" t="n"/>
      <c r="Y187" s="145" t="n"/>
      <c r="Z187" s="145"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5" t="n"/>
      <c r="Y188" s="145" t="n"/>
      <c r="Z188" s="145"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5" t="n"/>
      <c r="Y189" s="145" t="n"/>
      <c r="Z189" s="145"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5" t="n"/>
      <c r="Y190" s="145" t="n"/>
      <c r="Z190" s="145"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5" t="n"/>
      <c r="Y191" s="145" t="n"/>
      <c r="Z191" s="145"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5" t="n"/>
      <c r="Y192" s="145" t="n"/>
      <c r="Z192" s="145"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5" t="n"/>
      <c r="Y193" s="145" t="n"/>
      <c r="Z193" s="145"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5" t="n"/>
      <c r="Y194" s="145" t="n"/>
      <c r="Z194" s="145"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5" t="n"/>
      <c r="Y195" s="145" t="n"/>
      <c r="Z195" s="145"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5" t="n"/>
      <c r="Y196" s="145" t="n"/>
      <c r="Z196" s="145"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5" t="n"/>
      <c r="Y197" s="145" t="n"/>
      <c r="Z197" s="145"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5" t="n"/>
      <c r="Y198" s="145" t="n"/>
      <c r="Z198" s="145"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5" t="n"/>
      <c r="Y199" s="145" t="n"/>
      <c r="Z199" s="145"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5" t="n"/>
      <c r="Y200" s="145" t="n"/>
      <c r="Z200" s="145"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5" t="n"/>
      <c r="Y201" s="145" t="n"/>
      <c r="Z201" s="145"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5" t="n"/>
      <c r="Y202" s="145" t="n"/>
      <c r="Z202" s="145"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5" t="n"/>
      <c r="Y203" s="145" t="n"/>
      <c r="Z203" s="145"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5" t="n"/>
      <c r="Y204" s="145" t="n"/>
      <c r="Z204" s="145"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5" t="n"/>
      <c r="Y205" s="145" t="n"/>
      <c r="Z205" s="145"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5" t="n"/>
      <c r="Y206" s="145" t="n"/>
      <c r="Z206" s="145"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5" t="n"/>
      <c r="Y207" s="145" t="n"/>
      <c r="Z207" s="145"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5" t="n"/>
      <c r="Y208" s="145" t="n"/>
      <c r="Z208" s="145"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5" t="n"/>
      <c r="Y209" s="145" t="n"/>
      <c r="Z209" s="145"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5" t="n"/>
      <c r="Y210" s="145" t="n"/>
      <c r="Z210" s="145"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5" t="n"/>
      <c r="Y211" s="145" t="n"/>
      <c r="Z211" s="145"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5" t="n"/>
      <c r="Y212" s="145" t="n"/>
      <c r="Z212" s="145"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5" t="n"/>
      <c r="Y213" s="145" t="n"/>
      <c r="Z213" s="145"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5" t="n"/>
      <c r="Y214" s="145" t="n"/>
      <c r="Z214" s="145"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5" t="n"/>
      <c r="Y215" s="145" t="n"/>
      <c r="Z215" s="145"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5" t="n"/>
      <c r="Y216" s="145" t="n"/>
      <c r="Z216" s="145"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5" t="n"/>
      <c r="Y217" s="145" t="n"/>
      <c r="Z217" s="145"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5" t="n"/>
      <c r="Y218" s="145" t="n"/>
      <c r="Z218" s="145"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5" t="n"/>
      <c r="Y219" s="145" t="n"/>
      <c r="Z219" s="145"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5" t="n"/>
      <c r="Y220" s="145" t="n"/>
      <c r="Z220" s="145"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5" t="n"/>
      <c r="Y221" s="145" t="n"/>
      <c r="Z221" s="145"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5" t="n"/>
      <c r="Y222" s="145" t="n"/>
      <c r="Z222" s="145"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5" t="n"/>
      <c r="Y223" s="145" t="n"/>
      <c r="Z223" s="145"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5" t="n"/>
      <c r="Y224" s="145" t="n"/>
      <c r="Z224" s="145"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5" t="n"/>
      <c r="Y225" s="145" t="n"/>
      <c r="Z225" s="145"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5" t="n"/>
      <c r="Y226" s="145" t="n"/>
      <c r="Z226" s="145"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5" t="n"/>
      <c r="Y227" s="145" t="n"/>
      <c r="Z227" s="145"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5" t="n"/>
      <c r="Y228" s="145" t="n"/>
      <c r="Z228" s="145"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5" t="n"/>
      <c r="Y229" s="145" t="n"/>
      <c r="Z229" s="145"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5" t="n"/>
      <c r="Y230" s="145" t="n"/>
      <c r="Z230" s="145"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5" t="n"/>
      <c r="Y231" s="145" t="n"/>
      <c r="Z231" s="145"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5" t="n"/>
      <c r="Y232" s="145" t="n"/>
      <c r="Z232" s="145"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5" t="n"/>
      <c r="Y233" s="145" t="n"/>
      <c r="Z233" s="145"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5" t="n"/>
      <c r="Y234" s="145" t="n"/>
      <c r="Z234" s="145" t="n"/>
    </row>
    <row r="235" ht="15.75" customHeight="1" s="311">
      <c r="A235" s="1" t="n"/>
      <c r="B235" s="1" t="n"/>
      <c r="C235" s="1" t="n"/>
      <c r="D235" s="1" t="n"/>
      <c r="E235" s="1" t="n"/>
      <c r="F235" s="1" t="n"/>
      <c r="G235" s="1" t="n"/>
      <c r="H235" s="1" t="n"/>
      <c r="I235" s="1" t="n"/>
      <c r="J235" s="1" t="n"/>
      <c r="K235" s="1" t="n"/>
      <c r="L235" s="1" t="n"/>
      <c r="M235" s="1" t="n"/>
      <c r="N235" s="1" t="n"/>
    </row>
    <row r="236" ht="15.75" customHeight="1" s="311">
      <c r="A236" s="1" t="n"/>
      <c r="B236" s="1" t="n"/>
      <c r="C236" s="1" t="n"/>
      <c r="D236" s="1" t="n"/>
      <c r="E236" s="1" t="n"/>
      <c r="F236" s="1" t="n"/>
      <c r="G236" s="1" t="n"/>
      <c r="H236" s="1" t="n"/>
      <c r="I236" s="1" t="n"/>
      <c r="J236" s="1" t="n"/>
      <c r="K236" s="1" t="n"/>
      <c r="L236" s="1" t="n"/>
      <c r="M236" s="1" t="n"/>
      <c r="N236" s="1" t="n"/>
    </row>
    <row r="237" ht="15.75" customHeight="1" s="311">
      <c r="A237" s="1" t="n"/>
      <c r="B237" s="1" t="n"/>
      <c r="C237" s="1" t="n"/>
      <c r="D237" s="1" t="n"/>
      <c r="E237" s="1" t="n"/>
      <c r="F237" s="1" t="n"/>
      <c r="G237" s="1" t="n"/>
      <c r="H237" s="1" t="n"/>
      <c r="I237" s="1" t="n"/>
      <c r="J237" s="1" t="n"/>
      <c r="K237" s="1" t="n"/>
      <c r="L237" s="1" t="n"/>
      <c r="M237" s="1" t="n"/>
      <c r="N237" s="1" t="n"/>
    </row>
    <row r="238" ht="15.75" customHeight="1" s="311">
      <c r="A238" s="1" t="n"/>
      <c r="B238" s="1" t="n"/>
      <c r="C238" s="1" t="n"/>
      <c r="D238" s="1" t="n"/>
      <c r="E238" s="1" t="n"/>
      <c r="F238" s="1" t="n"/>
      <c r="G238" s="1" t="n"/>
      <c r="H238" s="1" t="n"/>
      <c r="I238" s="1" t="n"/>
      <c r="J238" s="1" t="n"/>
      <c r="K238" s="1" t="n"/>
      <c r="L238" s="1" t="n"/>
      <c r="M238" s="1" t="n"/>
      <c r="N238" s="1" t="n"/>
    </row>
    <row r="239" ht="15.75" customHeight="1" s="311">
      <c r="A239" s="1" t="n"/>
      <c r="B239" s="1" t="n"/>
      <c r="C239" s="1" t="n"/>
      <c r="D239" s="1" t="n"/>
      <c r="E239" s="1" t="n"/>
      <c r="F239" s="1" t="n"/>
      <c r="G239" s="1" t="n"/>
      <c r="H239" s="1" t="n"/>
      <c r="I239" s="1" t="n"/>
      <c r="J239" s="1" t="n"/>
      <c r="K239" s="1" t="n"/>
      <c r="L239" s="1" t="n"/>
      <c r="M239" s="1" t="n"/>
      <c r="N239" s="1" t="n"/>
    </row>
    <row r="240" ht="15.75" customHeight="1" s="311">
      <c r="A240" s="1" t="n"/>
      <c r="B240" s="1" t="n"/>
      <c r="C240" s="1" t="n"/>
      <c r="D240" s="1" t="n"/>
      <c r="E240" s="1" t="n"/>
      <c r="F240" s="1" t="n"/>
      <c r="G240" s="1" t="n"/>
      <c r="H240" s="1" t="n"/>
      <c r="I240" s="1" t="n"/>
      <c r="J240" s="1" t="n"/>
      <c r="K240" s="1" t="n"/>
      <c r="L240" s="1" t="n"/>
      <c r="M240" s="1" t="n"/>
      <c r="N240" s="1" t="n"/>
    </row>
    <row r="241" ht="15.75" customHeight="1" s="311">
      <c r="A241" s="1" t="n"/>
      <c r="B241" s="1" t="n"/>
      <c r="C241" s="1" t="n"/>
      <c r="D241" s="1" t="n"/>
      <c r="E241" s="1" t="n"/>
      <c r="F241" s="1" t="n"/>
      <c r="G241" s="1" t="n"/>
      <c r="H241" s="1" t="n"/>
      <c r="I241" s="1" t="n"/>
      <c r="J241" s="1" t="n"/>
      <c r="K241" s="1" t="n"/>
      <c r="L241" s="1" t="n"/>
      <c r="M241" s="1" t="n"/>
      <c r="N241" s="1" t="n"/>
    </row>
    <row r="242" ht="15.75" customHeight="1" s="311">
      <c r="A242" s="1" t="n"/>
      <c r="B242" s="1" t="n"/>
      <c r="C242" s="1" t="n"/>
      <c r="D242" s="1" t="n"/>
      <c r="E242" s="1" t="n"/>
      <c r="F242" s="1" t="n"/>
      <c r="G242" s="1" t="n"/>
      <c r="H242" s="1" t="n"/>
      <c r="I242" s="1" t="n"/>
      <c r="J242" s="1" t="n"/>
      <c r="K242" s="1" t="n"/>
      <c r="L242" s="1" t="n"/>
      <c r="M242" s="1" t="n"/>
      <c r="N242" s="1" t="n"/>
    </row>
    <row r="243" ht="15.75" customHeight="1" s="311">
      <c r="A243" s="1" t="n"/>
      <c r="B243" s="1" t="n"/>
      <c r="C243" s="1" t="n"/>
      <c r="D243" s="1" t="n"/>
      <c r="E243" s="1" t="n"/>
      <c r="F243" s="1" t="n"/>
      <c r="G243" s="1" t="n"/>
      <c r="H243" s="1" t="n"/>
      <c r="I243" s="1" t="n"/>
      <c r="J243" s="1" t="n"/>
      <c r="K243" s="1" t="n"/>
      <c r="L243" s="1" t="n"/>
      <c r="M243" s="1" t="n"/>
      <c r="N243" s="1" t="n"/>
    </row>
    <row r="244" ht="15.75" customHeight="1" s="311">
      <c r="A244" s="1" t="n"/>
      <c r="B244" s="1" t="n"/>
      <c r="C244" s="1" t="n"/>
      <c r="D244" s="1" t="n"/>
      <c r="E244" s="1" t="n"/>
      <c r="F244" s="1" t="n"/>
      <c r="G244" s="1" t="n"/>
      <c r="H244" s="1" t="n"/>
      <c r="I244" s="1" t="n"/>
      <c r="J244" s="1" t="n"/>
      <c r="K244" s="1" t="n"/>
      <c r="L244" s="1" t="n"/>
      <c r="M244" s="1" t="n"/>
      <c r="N244" s="1" t="n"/>
    </row>
    <row r="245" ht="15.75" customHeight="1" s="311">
      <c r="A245" s="1" t="n"/>
      <c r="B245" s="1" t="n"/>
      <c r="C245" s="1" t="n"/>
      <c r="D245" s="1" t="n"/>
      <c r="E245" s="1" t="n"/>
      <c r="F245" s="1" t="n"/>
      <c r="G245" s="1" t="n"/>
      <c r="H245" s="1" t="n"/>
      <c r="I245" s="1" t="n"/>
      <c r="J245" s="1" t="n"/>
      <c r="K245" s="1" t="n"/>
      <c r="L245" s="1" t="n"/>
      <c r="M245" s="1" t="n"/>
      <c r="N245" s="1" t="n"/>
    </row>
    <row r="246" ht="15.75" customHeight="1" s="311">
      <c r="A246" s="1" t="n"/>
      <c r="B246" s="1" t="n"/>
      <c r="C246" s="1" t="n"/>
      <c r="D246" s="1" t="n"/>
      <c r="E246" s="1" t="n"/>
      <c r="F246" s="1" t="n"/>
      <c r="G246" s="1" t="n"/>
      <c r="H246" s="1" t="n"/>
      <c r="I246" s="1" t="n"/>
      <c r="J246" s="1" t="n"/>
      <c r="K246" s="1" t="n"/>
      <c r="L246" s="1" t="n"/>
      <c r="M246" s="1" t="n"/>
      <c r="N246" s="1" t="n"/>
    </row>
    <row r="247" ht="15.75" customHeight="1" s="311">
      <c r="A247" s="1" t="n"/>
      <c r="B247" s="1" t="n"/>
      <c r="C247" s="1" t="n"/>
      <c r="D247" s="1" t="n"/>
      <c r="E247" s="1" t="n"/>
      <c r="F247" s="1" t="n"/>
      <c r="G247" s="1" t="n"/>
      <c r="H247" s="1" t="n"/>
      <c r="I247" s="1" t="n"/>
      <c r="J247" s="1" t="n"/>
      <c r="K247" s="1" t="n"/>
      <c r="L247" s="1" t="n"/>
      <c r="M247" s="1" t="n"/>
      <c r="N247" s="1" t="n"/>
    </row>
    <row r="248" ht="15.75" customHeight="1" s="311">
      <c r="A248" s="1" t="n"/>
      <c r="B248" s="1" t="n"/>
      <c r="C248" s="1" t="n"/>
      <c r="D248" s="1" t="n"/>
      <c r="E248" s="1" t="n"/>
      <c r="F248" s="1" t="n"/>
      <c r="G248" s="1" t="n"/>
      <c r="H248" s="1" t="n"/>
      <c r="I248" s="1" t="n"/>
      <c r="J248" s="1" t="n"/>
      <c r="K248" s="1" t="n"/>
      <c r="L248" s="1" t="n"/>
      <c r="M248" s="1" t="n"/>
      <c r="N248" s="1" t="n"/>
    </row>
    <row r="249" ht="15.75" customHeight="1" s="311">
      <c r="A249" s="1" t="n"/>
      <c r="B249" s="1" t="n"/>
      <c r="C249" s="1" t="n"/>
      <c r="D249" s="1" t="n"/>
      <c r="E249" s="1" t="n"/>
      <c r="F249" s="1" t="n"/>
      <c r="G249" s="1" t="n"/>
      <c r="H249" s="1" t="n"/>
      <c r="I249" s="1" t="n"/>
      <c r="J249" s="1" t="n"/>
      <c r="K249" s="1" t="n"/>
      <c r="L249" s="1" t="n"/>
      <c r="M249" s="1" t="n"/>
      <c r="N249" s="1" t="n"/>
    </row>
    <row r="250" ht="15.75" customHeight="1" s="311">
      <c r="A250" s="1" t="n"/>
      <c r="B250" s="1" t="n"/>
      <c r="C250" s="1" t="n"/>
      <c r="D250" s="1" t="n"/>
      <c r="E250" s="1" t="n"/>
      <c r="F250" s="1" t="n"/>
      <c r="G250" s="1" t="n"/>
      <c r="H250" s="1" t="n"/>
      <c r="I250" s="1" t="n"/>
      <c r="J250" s="1" t="n"/>
      <c r="K250" s="1" t="n"/>
      <c r="L250" s="1" t="n"/>
      <c r="M250" s="1" t="n"/>
      <c r="N250" s="1" t="n"/>
    </row>
    <row r="251" ht="15.75" customHeight="1" s="311">
      <c r="A251" s="1" t="n"/>
      <c r="B251" s="1" t="n"/>
      <c r="C251" s="1" t="n"/>
      <c r="D251" s="1" t="n"/>
      <c r="E251" s="1" t="n"/>
      <c r="F251" s="1" t="n"/>
      <c r="G251" s="1" t="n"/>
      <c r="H251" s="1" t="n"/>
      <c r="I251" s="1" t="n"/>
      <c r="J251" s="1" t="n"/>
      <c r="K251" s="1" t="n"/>
      <c r="L251" s="1" t="n"/>
      <c r="M251" s="1" t="n"/>
      <c r="N251" s="1" t="n"/>
    </row>
    <row r="252" ht="15.75" customHeight="1" s="311">
      <c r="A252" s="1" t="n"/>
      <c r="B252" s="1" t="n"/>
      <c r="C252" s="1" t="n"/>
      <c r="D252" s="1" t="n"/>
      <c r="E252" s="1" t="n"/>
      <c r="F252" s="1" t="n"/>
      <c r="G252" s="1" t="n"/>
      <c r="H252" s="1" t="n"/>
      <c r="I252" s="1" t="n"/>
      <c r="J252" s="1" t="n"/>
      <c r="K252" s="1" t="n"/>
      <c r="L252" s="1" t="n"/>
      <c r="M252" s="1" t="n"/>
      <c r="N252" s="1" t="n"/>
    </row>
    <row r="253" ht="15.75" customHeight="1" s="311">
      <c r="A253" s="1" t="n"/>
      <c r="B253" s="1" t="n"/>
      <c r="C253" s="1" t="n"/>
      <c r="D253" s="1" t="n"/>
      <c r="E253" s="1" t="n"/>
      <c r="F253" s="1" t="n"/>
      <c r="G253" s="1" t="n"/>
      <c r="H253" s="1" t="n"/>
      <c r="I253" s="1" t="n"/>
      <c r="J253" s="1" t="n"/>
      <c r="K253" s="1" t="n"/>
      <c r="L253" s="1" t="n"/>
      <c r="M253" s="1" t="n"/>
      <c r="N253" s="1" t="n"/>
    </row>
    <row r="254" ht="15.75" customHeight="1" s="311">
      <c r="A254" s="1" t="n"/>
      <c r="B254" s="1" t="n"/>
      <c r="C254" s="1" t="n"/>
      <c r="D254" s="1" t="n"/>
      <c r="E254" s="1" t="n"/>
      <c r="F254" s="1" t="n"/>
      <c r="G254" s="1" t="n"/>
      <c r="H254" s="1" t="n"/>
      <c r="I254" s="1" t="n"/>
      <c r="J254" s="1" t="n"/>
      <c r="K254" s="1" t="n"/>
      <c r="L254" s="1" t="n"/>
      <c r="M254" s="1" t="n"/>
      <c r="N254" s="1" t="n"/>
    </row>
    <row r="255" ht="15.75" customHeight="1" s="311">
      <c r="A255" s="1" t="n"/>
      <c r="B255" s="1" t="n"/>
      <c r="C255" s="1" t="n"/>
      <c r="D255" s="1" t="n"/>
      <c r="E255" s="1" t="n"/>
      <c r="F255" s="1" t="n"/>
      <c r="G255" s="1" t="n"/>
      <c r="H255" s="1" t="n"/>
      <c r="I255" s="1" t="n"/>
      <c r="J255" s="1" t="n"/>
      <c r="K255" s="1" t="n"/>
      <c r="L255" s="1" t="n"/>
      <c r="M255" s="1" t="n"/>
      <c r="N255" s="1" t="n"/>
    </row>
    <row r="256" ht="15.75" customHeight="1" s="311">
      <c r="A256" s="1" t="n"/>
      <c r="B256" s="1" t="n"/>
      <c r="C256" s="1" t="n"/>
      <c r="D256" s="1" t="n"/>
      <c r="E256" s="1" t="n"/>
      <c r="F256" s="1" t="n"/>
      <c r="G256" s="1" t="n"/>
      <c r="H256" s="1" t="n"/>
      <c r="I256" s="1" t="n"/>
      <c r="J256" s="1" t="n"/>
      <c r="K256" s="1" t="n"/>
      <c r="L256" s="1" t="n"/>
      <c r="M256" s="1" t="n"/>
      <c r="N256" s="1" t="n"/>
    </row>
    <row r="257" ht="15.75" customHeight="1" s="311">
      <c r="A257" s="1" t="n"/>
      <c r="B257" s="1" t="n"/>
      <c r="C257" s="1" t="n"/>
      <c r="D257" s="1" t="n"/>
      <c r="E257" s="1" t="n"/>
      <c r="F257" s="1" t="n"/>
      <c r="G257" s="1" t="n"/>
      <c r="H257" s="1" t="n"/>
      <c r="I257" s="1" t="n"/>
      <c r="J257" s="1" t="n"/>
      <c r="K257" s="1" t="n"/>
      <c r="L257" s="1" t="n"/>
      <c r="M257" s="1" t="n"/>
      <c r="N257" s="1" t="n"/>
    </row>
    <row r="258" ht="15.75" customHeight="1" s="311">
      <c r="A258" s="1" t="n"/>
      <c r="B258" s="1" t="n"/>
      <c r="C258" s="1" t="n"/>
      <c r="D258" s="1" t="n"/>
      <c r="E258" s="1" t="n"/>
      <c r="F258" s="1" t="n"/>
      <c r="G258" s="1" t="n"/>
      <c r="H258" s="1" t="n"/>
      <c r="I258" s="1" t="n"/>
      <c r="J258" s="1" t="n"/>
      <c r="K258" s="1" t="n"/>
      <c r="L258" s="1" t="n"/>
      <c r="M258" s="1" t="n"/>
      <c r="N258" s="1" t="n"/>
    </row>
    <row r="259" ht="15.75" customHeight="1" s="311">
      <c r="A259" s="1" t="n"/>
      <c r="B259" s="1" t="n"/>
      <c r="C259" s="1" t="n"/>
      <c r="D259" s="1" t="n"/>
      <c r="E259" s="1" t="n"/>
      <c r="F259" s="1" t="n"/>
      <c r="G259" s="1" t="n"/>
      <c r="H259" s="1" t="n"/>
      <c r="I259" s="1" t="n"/>
      <c r="J259" s="1" t="n"/>
      <c r="K259" s="1" t="n"/>
      <c r="L259" s="1" t="n"/>
      <c r="M259" s="1" t="n"/>
      <c r="N259" s="1" t="n"/>
    </row>
    <row r="260" ht="15.75" customHeight="1" s="311">
      <c r="A260" s="1" t="n"/>
      <c r="B260" s="1" t="n"/>
      <c r="C260" s="1" t="n"/>
      <c r="D260" s="1" t="n"/>
      <c r="E260" s="1" t="n"/>
      <c r="F260" s="1" t="n"/>
      <c r="G260" s="1" t="n"/>
      <c r="H260" s="1" t="n"/>
      <c r="I260" s="1" t="n"/>
      <c r="J260" s="1" t="n"/>
      <c r="K260" s="1" t="n"/>
      <c r="L260" s="1" t="n"/>
      <c r="M260" s="1" t="n"/>
      <c r="N260" s="1" t="n"/>
    </row>
    <row r="261" ht="15.75" customHeight="1" s="311">
      <c r="A261" s="1" t="n"/>
      <c r="B261" s="1" t="n"/>
      <c r="C261" s="1" t="n"/>
      <c r="D261" s="1" t="n"/>
      <c r="E261" s="1" t="n"/>
      <c r="F261" s="1" t="n"/>
      <c r="G261" s="1" t="n"/>
      <c r="H261" s="1" t="n"/>
      <c r="I261" s="1" t="n"/>
      <c r="J261" s="1" t="n"/>
      <c r="K261" s="1" t="n"/>
      <c r="L261" s="1" t="n"/>
      <c r="M261" s="1" t="n"/>
      <c r="N261" s="1" t="n"/>
    </row>
    <row r="262" ht="15.75" customHeight="1" s="311">
      <c r="A262" s="1" t="n"/>
      <c r="B262" s="1" t="n"/>
      <c r="C262" s="1" t="n"/>
      <c r="D262" s="1" t="n"/>
      <c r="E262" s="1" t="n"/>
      <c r="F262" s="1" t="n"/>
      <c r="G262" s="1" t="n"/>
      <c r="H262" s="1" t="n"/>
      <c r="I262" s="1" t="n"/>
      <c r="J262" s="1" t="n"/>
      <c r="K262" s="1" t="n"/>
      <c r="L262" s="1" t="n"/>
      <c r="M262" s="1" t="n"/>
      <c r="N262" s="1" t="n"/>
    </row>
    <row r="263" ht="15.75" customHeight="1" s="311">
      <c r="A263" s="1" t="n"/>
      <c r="B263" s="1" t="n"/>
      <c r="C263" s="1" t="n"/>
      <c r="D263" s="1" t="n"/>
      <c r="E263" s="1" t="n"/>
      <c r="F263" s="1" t="n"/>
      <c r="G263" s="1" t="n"/>
      <c r="H263" s="1" t="n"/>
      <c r="I263" s="1" t="n"/>
      <c r="J263" s="1" t="n"/>
      <c r="K263" s="1" t="n"/>
      <c r="L263" s="1" t="n"/>
      <c r="M263" s="1" t="n"/>
      <c r="N263" s="1" t="n"/>
    </row>
    <row r="264" ht="15.75" customHeight="1" s="311">
      <c r="A264" s="1" t="n"/>
      <c r="B264" s="1" t="n"/>
      <c r="C264" s="1" t="n"/>
      <c r="D264" s="1" t="n"/>
      <c r="E264" s="1" t="n"/>
      <c r="F264" s="1" t="n"/>
      <c r="G264" s="1" t="n"/>
      <c r="H264" s="1" t="n"/>
      <c r="I264" s="1" t="n"/>
      <c r="J264" s="1" t="n"/>
      <c r="K264" s="1" t="n"/>
      <c r="L264" s="1" t="n"/>
      <c r="M264" s="1" t="n"/>
      <c r="N264" s="1" t="n"/>
    </row>
    <row r="265" ht="15.75" customHeight="1" s="311">
      <c r="A265" s="1" t="n"/>
      <c r="B265" s="1" t="n"/>
      <c r="C265" s="1" t="n"/>
      <c r="D265" s="1" t="n"/>
      <c r="E265" s="1" t="n"/>
      <c r="F265" s="1" t="n"/>
      <c r="G265" s="1" t="n"/>
      <c r="H265" s="1" t="n"/>
      <c r="I265" s="1" t="n"/>
      <c r="J265" s="1" t="n"/>
      <c r="K265" s="1" t="n"/>
      <c r="L265" s="1" t="n"/>
      <c r="M265" s="1" t="n"/>
      <c r="N265" s="1" t="n"/>
    </row>
    <row r="266" ht="15.75" customHeight="1" s="311">
      <c r="A266" s="1" t="n"/>
      <c r="B266" s="1" t="n"/>
      <c r="C266" s="1" t="n"/>
      <c r="D266" s="1" t="n"/>
      <c r="E266" s="1" t="n"/>
      <c r="F266" s="1" t="n"/>
      <c r="G266" s="1" t="n"/>
      <c r="H266" s="1" t="n"/>
      <c r="I266" s="1" t="n"/>
      <c r="J266" s="1" t="n"/>
      <c r="K266" s="1" t="n"/>
      <c r="L266" s="1" t="n"/>
      <c r="M266" s="1" t="n"/>
      <c r="N266" s="1" t="n"/>
    </row>
    <row r="267" ht="15.75" customHeight="1" s="311">
      <c r="A267" s="1" t="n"/>
      <c r="B267" s="1" t="n"/>
      <c r="C267" s="1" t="n"/>
      <c r="D267" s="1" t="n"/>
      <c r="E267" s="1" t="n"/>
      <c r="F267" s="1" t="n"/>
      <c r="G267" s="1" t="n"/>
      <c r="H267" s="1" t="n"/>
      <c r="I267" s="1" t="n"/>
      <c r="J267" s="1" t="n"/>
      <c r="K267" s="1" t="n"/>
      <c r="L267" s="1" t="n"/>
      <c r="M267" s="1" t="n"/>
      <c r="N267" s="1" t="n"/>
    </row>
    <row r="268" ht="15.75" customHeight="1" s="311">
      <c r="A268" s="1" t="n"/>
      <c r="B268" s="1" t="n"/>
      <c r="C268" s="1" t="n"/>
      <c r="D268" s="1" t="n"/>
      <c r="E268" s="1" t="n"/>
      <c r="F268" s="1" t="n"/>
      <c r="G268" s="1" t="n"/>
      <c r="H268" s="1" t="n"/>
      <c r="I268" s="1" t="n"/>
      <c r="J268" s="1" t="n"/>
      <c r="K268" s="1" t="n"/>
      <c r="L268" s="1" t="n"/>
      <c r="M268" s="1" t="n"/>
      <c r="N268" s="1" t="n"/>
    </row>
    <row r="269" ht="15.75" customHeight="1" s="311">
      <c r="A269" s="1" t="n"/>
      <c r="B269" s="1" t="n"/>
      <c r="C269" s="1" t="n"/>
      <c r="D269" s="1" t="n"/>
      <c r="E269" s="1" t="n"/>
      <c r="F269" s="1" t="n"/>
      <c r="G269" s="1" t="n"/>
      <c r="H269" s="1" t="n"/>
      <c r="I269" s="1" t="n"/>
      <c r="J269" s="1" t="n"/>
      <c r="K269" s="1" t="n"/>
      <c r="L269" s="1" t="n"/>
      <c r="M269" s="1" t="n"/>
      <c r="N269" s="1" t="n"/>
    </row>
    <row r="270" ht="15.75" customHeight="1" s="311">
      <c r="A270" s="1" t="n"/>
      <c r="B270" s="1" t="n"/>
      <c r="C270" s="1" t="n"/>
      <c r="D270" s="1" t="n"/>
      <c r="E270" s="1" t="n"/>
      <c r="F270" s="1" t="n"/>
      <c r="G270" s="1" t="n"/>
      <c r="H270" s="1" t="n"/>
      <c r="I270" s="1" t="n"/>
      <c r="J270" s="1" t="n"/>
      <c r="K270" s="1" t="n"/>
      <c r="L270" s="1" t="n"/>
      <c r="M270" s="1" t="n"/>
      <c r="N270" s="1" t="n"/>
    </row>
    <row r="271" ht="15.75" customHeight="1" s="311">
      <c r="A271" s="1" t="n"/>
      <c r="B271" s="1" t="n"/>
      <c r="C271" s="1" t="n"/>
      <c r="D271" s="1" t="n"/>
      <c r="E271" s="1" t="n"/>
      <c r="F271" s="1" t="n"/>
      <c r="G271" s="1" t="n"/>
      <c r="H271" s="1" t="n"/>
      <c r="I271" s="1" t="n"/>
      <c r="J271" s="1" t="n"/>
      <c r="K271" s="1" t="n"/>
      <c r="L271" s="1" t="n"/>
      <c r="M271" s="1" t="n"/>
      <c r="N271" s="1" t="n"/>
    </row>
    <row r="272" ht="15.75" customHeight="1" s="311">
      <c r="A272" s="1" t="n"/>
      <c r="B272" s="1" t="n"/>
      <c r="C272" s="1" t="n"/>
      <c r="D272" s="1" t="n"/>
      <c r="E272" s="1" t="n"/>
      <c r="F272" s="1" t="n"/>
      <c r="G272" s="1" t="n"/>
      <c r="H272" s="1" t="n"/>
      <c r="I272" s="1" t="n"/>
      <c r="J272" s="1" t="n"/>
      <c r="K272" s="1" t="n"/>
      <c r="L272" s="1" t="n"/>
      <c r="M272" s="1" t="n"/>
      <c r="N272" s="1" t="n"/>
    </row>
    <row r="273" ht="15.75" customHeight="1" s="311">
      <c r="A273" s="1" t="n"/>
      <c r="B273" s="1" t="n"/>
      <c r="C273" s="1" t="n"/>
      <c r="D273" s="1" t="n"/>
      <c r="E273" s="1" t="n"/>
      <c r="F273" s="1" t="n"/>
      <c r="G273" s="1" t="n"/>
      <c r="H273" s="1" t="n"/>
      <c r="I273" s="1" t="n"/>
      <c r="J273" s="1" t="n"/>
      <c r="K273" s="1" t="n"/>
      <c r="L273" s="1" t="n"/>
      <c r="M273" s="1" t="n"/>
      <c r="N273" s="1" t="n"/>
    </row>
    <row r="274" ht="15.75" customHeight="1" s="311">
      <c r="A274" s="1" t="n"/>
      <c r="B274" s="1" t="n"/>
      <c r="C274" s="1" t="n"/>
      <c r="D274" s="1" t="n"/>
      <c r="E274" s="1" t="n"/>
      <c r="F274" s="1" t="n"/>
      <c r="G274" s="1" t="n"/>
      <c r="H274" s="1" t="n"/>
      <c r="I274" s="1" t="n"/>
      <c r="J274" s="1" t="n"/>
      <c r="K274" s="1" t="n"/>
      <c r="L274" s="1" t="n"/>
      <c r="M274" s="1" t="n"/>
      <c r="N274" s="1" t="n"/>
    </row>
    <row r="275" ht="15.75" customHeight="1" s="311">
      <c r="A275" s="1" t="n"/>
      <c r="B275" s="1" t="n"/>
      <c r="C275" s="1" t="n"/>
      <c r="D275" s="1" t="n"/>
      <c r="E275" s="1" t="n"/>
      <c r="F275" s="1" t="n"/>
      <c r="G275" s="1" t="n"/>
      <c r="H275" s="1" t="n"/>
      <c r="I275" s="1" t="n"/>
      <c r="J275" s="1" t="n"/>
      <c r="K275" s="1" t="n"/>
      <c r="L275" s="1" t="n"/>
      <c r="M275" s="1" t="n"/>
      <c r="N275" s="1" t="n"/>
    </row>
    <row r="276" ht="15.75" customHeight="1" s="311">
      <c r="A276" s="1" t="n"/>
      <c r="B276" s="1" t="n"/>
      <c r="C276" s="1" t="n"/>
      <c r="D276" s="1" t="n"/>
      <c r="E276" s="1" t="n"/>
      <c r="F276" s="1" t="n"/>
      <c r="G276" s="1" t="n"/>
      <c r="H276" s="1" t="n"/>
      <c r="I276" s="1" t="n"/>
      <c r="J276" s="1" t="n"/>
      <c r="K276" s="1" t="n"/>
      <c r="L276" s="1" t="n"/>
      <c r="M276" s="1" t="n"/>
      <c r="N276" s="1" t="n"/>
    </row>
    <row r="277" ht="15.75" customHeight="1" s="311">
      <c r="A277" s="1" t="n"/>
      <c r="B277" s="1" t="n"/>
      <c r="C277" s="1" t="n"/>
      <c r="D277" s="1" t="n"/>
      <c r="E277" s="1" t="n"/>
      <c r="F277" s="1" t="n"/>
      <c r="G277" s="1" t="n"/>
      <c r="H277" s="1" t="n"/>
      <c r="I277" s="1" t="n"/>
      <c r="J277" s="1" t="n"/>
      <c r="K277" s="1" t="n"/>
      <c r="L277" s="1" t="n"/>
      <c r="M277" s="1" t="n"/>
      <c r="N277" s="1" t="n"/>
    </row>
    <row r="278" ht="15.75" customHeight="1" s="311">
      <c r="A278" s="1" t="n"/>
      <c r="B278" s="1" t="n"/>
      <c r="C278" s="1" t="n"/>
      <c r="D278" s="1" t="n"/>
      <c r="E278" s="1" t="n"/>
      <c r="F278" s="1" t="n"/>
      <c r="G278" s="1" t="n"/>
      <c r="H278" s="1" t="n"/>
      <c r="I278" s="1" t="n"/>
      <c r="J278" s="1" t="n"/>
      <c r="K278" s="1" t="n"/>
      <c r="L278" s="1" t="n"/>
      <c r="M278" s="1" t="n"/>
      <c r="N278" s="1" t="n"/>
    </row>
    <row r="279" ht="15.75" customHeight="1" s="311">
      <c r="A279" s="1" t="n"/>
      <c r="B279" s="1" t="n"/>
      <c r="C279" s="1" t="n"/>
      <c r="D279" s="1" t="n"/>
      <c r="E279" s="1" t="n"/>
      <c r="F279" s="1" t="n"/>
      <c r="G279" s="1" t="n"/>
      <c r="H279" s="1" t="n"/>
      <c r="I279" s="1" t="n"/>
      <c r="J279" s="1" t="n"/>
      <c r="K279" s="1" t="n"/>
      <c r="L279" s="1" t="n"/>
      <c r="M279" s="1" t="n"/>
      <c r="N279" s="1" t="n"/>
    </row>
    <row r="280" ht="15.75" customHeight="1" s="311">
      <c r="A280" s="1" t="n"/>
      <c r="B280" s="1" t="n"/>
      <c r="C280" s="1" t="n"/>
      <c r="D280" s="1" t="n"/>
      <c r="E280" s="1" t="n"/>
      <c r="F280" s="1" t="n"/>
      <c r="G280" s="1" t="n"/>
      <c r="H280" s="1" t="n"/>
      <c r="I280" s="1" t="n"/>
      <c r="J280" s="1" t="n"/>
      <c r="K280" s="1" t="n"/>
      <c r="L280" s="1" t="n"/>
      <c r="M280" s="1" t="n"/>
      <c r="N280" s="1" t="n"/>
    </row>
    <row r="281" ht="15.75" customHeight="1" s="311">
      <c r="A281" s="1" t="n"/>
      <c r="B281" s="1" t="n"/>
      <c r="C281" s="1" t="n"/>
      <c r="D281" s="1" t="n"/>
      <c r="E281" s="1" t="n"/>
      <c r="F281" s="1" t="n"/>
      <c r="G281" s="1" t="n"/>
      <c r="H281" s="1" t="n"/>
      <c r="I281" s="1" t="n"/>
      <c r="J281" s="1" t="n"/>
      <c r="K281" s="1" t="n"/>
      <c r="L281" s="1" t="n"/>
      <c r="M281" s="1" t="n"/>
      <c r="N281" s="1" t="n"/>
    </row>
    <row r="282" ht="15.75" customHeight="1" s="311">
      <c r="A282" s="1" t="n"/>
      <c r="B282" s="1" t="n"/>
      <c r="C282" s="1" t="n"/>
      <c r="D282" s="1" t="n"/>
      <c r="E282" s="1" t="n"/>
      <c r="F282" s="1" t="n"/>
      <c r="G282" s="1" t="n"/>
      <c r="H282" s="1" t="n"/>
      <c r="I282" s="1" t="n"/>
      <c r="J282" s="1" t="n"/>
      <c r="K282" s="1" t="n"/>
      <c r="L282" s="1" t="n"/>
      <c r="M282" s="1" t="n"/>
      <c r="N282" s="1" t="n"/>
    </row>
    <row r="283" ht="15.75" customHeight="1" s="311">
      <c r="A283" s="1" t="n"/>
      <c r="B283" s="1" t="n"/>
      <c r="C283" s="1" t="n"/>
      <c r="D283" s="1" t="n"/>
      <c r="E283" s="1" t="n"/>
      <c r="F283" s="1" t="n"/>
      <c r="G283" s="1" t="n"/>
      <c r="H283" s="1" t="n"/>
      <c r="I283" s="1" t="n"/>
      <c r="J283" s="1" t="n"/>
      <c r="K283" s="1" t="n"/>
      <c r="L283" s="1" t="n"/>
      <c r="M283" s="1" t="n"/>
      <c r="N283" s="1" t="n"/>
    </row>
    <row r="284" ht="15.75" customHeight="1" s="311">
      <c r="A284" s="1" t="n"/>
      <c r="B284" s="1" t="n"/>
      <c r="C284" s="1" t="n"/>
      <c r="D284" s="1" t="n"/>
      <c r="E284" s="1" t="n"/>
      <c r="F284" s="1" t="n"/>
      <c r="G284" s="1" t="n"/>
      <c r="H284" s="1" t="n"/>
      <c r="I284" s="1" t="n"/>
      <c r="J284" s="1" t="n"/>
      <c r="K284" s="1" t="n"/>
      <c r="L284" s="1" t="n"/>
      <c r="M284" s="1" t="n"/>
      <c r="N284" s="1" t="n"/>
    </row>
    <row r="285" ht="15.75" customHeight="1" s="311">
      <c r="A285" s="1" t="n"/>
      <c r="B285" s="1" t="n"/>
      <c r="C285" s="1" t="n"/>
      <c r="D285" s="1" t="n"/>
      <c r="E285" s="1" t="n"/>
      <c r="F285" s="1" t="n"/>
      <c r="G285" s="1" t="n"/>
      <c r="H285" s="1" t="n"/>
      <c r="I285" s="1" t="n"/>
      <c r="J285" s="1" t="n"/>
      <c r="K285" s="1" t="n"/>
      <c r="L285" s="1" t="n"/>
      <c r="M285" s="1" t="n"/>
      <c r="N285" s="1" t="n"/>
    </row>
    <row r="286" ht="15.75" customHeight="1" s="311">
      <c r="A286" s="1" t="n"/>
      <c r="B286" s="1" t="n"/>
      <c r="C286" s="1" t="n"/>
      <c r="D286" s="1" t="n"/>
      <c r="E286" s="1" t="n"/>
      <c r="F286" s="1" t="n"/>
      <c r="G286" s="1" t="n"/>
      <c r="H286" s="1" t="n"/>
      <c r="I286" s="1" t="n"/>
      <c r="J286" s="1" t="n"/>
      <c r="K286" s="1" t="n"/>
      <c r="L286" s="1" t="n"/>
      <c r="M286" s="1" t="n"/>
      <c r="N286" s="1" t="n"/>
    </row>
    <row r="287" ht="15.75" customHeight="1" s="311">
      <c r="A287" s="1" t="n"/>
      <c r="B287" s="1" t="n"/>
      <c r="C287" s="1" t="n"/>
      <c r="D287" s="1" t="n"/>
      <c r="E287" s="1" t="n"/>
      <c r="F287" s="1" t="n"/>
      <c r="G287" s="1" t="n"/>
      <c r="H287" s="1" t="n"/>
      <c r="I287" s="1" t="n"/>
      <c r="J287" s="1" t="n"/>
      <c r="K287" s="1" t="n"/>
      <c r="L287" s="1" t="n"/>
      <c r="M287" s="1" t="n"/>
      <c r="N287" s="1" t="n"/>
    </row>
    <row r="288" ht="15.75" customHeight="1" s="311">
      <c r="A288" s="1" t="n"/>
      <c r="B288" s="1" t="n"/>
      <c r="C288" s="1" t="n"/>
      <c r="D288" s="1" t="n"/>
      <c r="E288" s="1" t="n"/>
      <c r="F288" s="1" t="n"/>
      <c r="G288" s="1" t="n"/>
      <c r="H288" s="1" t="n"/>
      <c r="I288" s="1" t="n"/>
      <c r="J288" s="1" t="n"/>
      <c r="K288" s="1" t="n"/>
      <c r="L288" s="1" t="n"/>
      <c r="M288" s="1" t="n"/>
      <c r="N288" s="1" t="n"/>
    </row>
    <row r="289" ht="15.75" customHeight="1" s="311">
      <c r="A289" s="1" t="n"/>
      <c r="B289" s="1" t="n"/>
      <c r="C289" s="1" t="n"/>
      <c r="D289" s="1" t="n"/>
      <c r="E289" s="1" t="n"/>
      <c r="F289" s="1" t="n"/>
      <c r="G289" s="1" t="n"/>
      <c r="H289" s="1" t="n"/>
      <c r="I289" s="1" t="n"/>
      <c r="J289" s="1" t="n"/>
      <c r="K289" s="1" t="n"/>
      <c r="L289" s="1" t="n"/>
      <c r="M289" s="1" t="n"/>
      <c r="N289" s="1" t="n"/>
    </row>
    <row r="290" ht="15.75" customHeight="1" s="311">
      <c r="A290" s="1" t="n"/>
      <c r="B290" s="1" t="n"/>
      <c r="C290" s="1" t="n"/>
      <c r="D290" s="1" t="n"/>
      <c r="E290" s="1" t="n"/>
      <c r="F290" s="1" t="n"/>
      <c r="G290" s="1" t="n"/>
      <c r="H290" s="1" t="n"/>
      <c r="I290" s="1" t="n"/>
      <c r="J290" s="1" t="n"/>
      <c r="K290" s="1" t="n"/>
      <c r="L290" s="1" t="n"/>
      <c r="M290" s="1" t="n"/>
      <c r="N290" s="1" t="n"/>
    </row>
    <row r="291" ht="15.75" customHeight="1" s="311">
      <c r="A291" s="1" t="n"/>
      <c r="B291" s="1" t="n"/>
      <c r="C291" s="1" t="n"/>
      <c r="D291" s="1" t="n"/>
      <c r="E291" s="1" t="n"/>
      <c r="F291" s="1" t="n"/>
      <c r="G291" s="1" t="n"/>
      <c r="H291" s="1" t="n"/>
      <c r="I291" s="1" t="n"/>
      <c r="J291" s="1" t="n"/>
      <c r="K291" s="1" t="n"/>
      <c r="L291" s="1" t="n"/>
      <c r="M291" s="1" t="n"/>
      <c r="N291" s="1" t="n"/>
    </row>
    <row r="292" ht="15.75" customHeight="1" s="311">
      <c r="A292" s="1" t="n"/>
      <c r="B292" s="1" t="n"/>
      <c r="C292" s="1" t="n"/>
      <c r="D292" s="1" t="n"/>
      <c r="E292" s="1" t="n"/>
      <c r="F292" s="1" t="n"/>
      <c r="G292" s="1" t="n"/>
      <c r="H292" s="1" t="n"/>
      <c r="I292" s="1" t="n"/>
      <c r="J292" s="1" t="n"/>
      <c r="K292" s="1" t="n"/>
      <c r="L292" s="1" t="n"/>
      <c r="M292" s="1" t="n"/>
      <c r="N292" s="1" t="n"/>
    </row>
    <row r="293" ht="15.75" customHeight="1" s="311">
      <c r="A293" s="1" t="n"/>
      <c r="B293" s="1" t="n"/>
      <c r="C293" s="1" t="n"/>
      <c r="D293" s="1" t="n"/>
      <c r="E293" s="1" t="n"/>
      <c r="F293" s="1" t="n"/>
      <c r="G293" s="1" t="n"/>
      <c r="H293" s="1" t="n"/>
      <c r="I293" s="1" t="n"/>
      <c r="J293" s="1" t="n"/>
      <c r="K293" s="1" t="n"/>
      <c r="L293" s="1" t="n"/>
      <c r="M293" s="1" t="n"/>
      <c r="N293" s="1" t="n"/>
    </row>
    <row r="294" ht="15.75" customHeight="1" s="311">
      <c r="A294" s="1" t="n"/>
      <c r="B294" s="1" t="n"/>
      <c r="C294" s="1" t="n"/>
      <c r="D294" s="1" t="n"/>
      <c r="E294" s="1" t="n"/>
      <c r="F294" s="1" t="n"/>
      <c r="G294" s="1" t="n"/>
      <c r="H294" s="1" t="n"/>
      <c r="I294" s="1" t="n"/>
      <c r="J294" s="1" t="n"/>
      <c r="K294" s="1" t="n"/>
      <c r="L294" s="1" t="n"/>
      <c r="M294" s="1" t="n"/>
      <c r="N294" s="1" t="n"/>
    </row>
    <row r="295" ht="15.75" customHeight="1" s="311">
      <c r="A295" s="1" t="n"/>
      <c r="B295" s="1" t="n"/>
      <c r="C295" s="1" t="n"/>
      <c r="D295" s="1" t="n"/>
      <c r="E295" s="1" t="n"/>
      <c r="F295" s="1" t="n"/>
      <c r="G295" s="1" t="n"/>
      <c r="H295" s="1" t="n"/>
      <c r="I295" s="1" t="n"/>
      <c r="J295" s="1" t="n"/>
      <c r="K295" s="1" t="n"/>
      <c r="L295" s="1" t="n"/>
      <c r="M295" s="1" t="n"/>
      <c r="N295" s="1" t="n"/>
    </row>
    <row r="296" ht="15.75" customHeight="1" s="311">
      <c r="A296" s="1" t="n"/>
      <c r="B296" s="1" t="n"/>
      <c r="C296" s="1" t="n"/>
      <c r="D296" s="1" t="n"/>
      <c r="E296" s="1" t="n"/>
      <c r="F296" s="1" t="n"/>
      <c r="G296" s="1" t="n"/>
      <c r="H296" s="1" t="n"/>
      <c r="I296" s="1" t="n"/>
      <c r="J296" s="1" t="n"/>
      <c r="K296" s="1" t="n"/>
      <c r="L296" s="1" t="n"/>
      <c r="M296" s="1" t="n"/>
      <c r="N296" s="1" t="n"/>
    </row>
    <row r="297" ht="15.75" customHeight="1" s="311">
      <c r="A297" s="1" t="n"/>
      <c r="B297" s="1" t="n"/>
      <c r="C297" s="1" t="n"/>
      <c r="D297" s="1" t="n"/>
      <c r="E297" s="1" t="n"/>
      <c r="F297" s="1" t="n"/>
      <c r="G297" s="1" t="n"/>
      <c r="H297" s="1" t="n"/>
      <c r="I297" s="1" t="n"/>
      <c r="J297" s="1" t="n"/>
      <c r="K297" s="1" t="n"/>
      <c r="L297" s="1" t="n"/>
      <c r="M297" s="1" t="n"/>
      <c r="N297" s="1" t="n"/>
    </row>
    <row r="298" ht="15.75" customHeight="1" s="311">
      <c r="A298" s="1" t="n"/>
      <c r="B298" s="1" t="n"/>
      <c r="C298" s="1" t="n"/>
      <c r="D298" s="1" t="n"/>
      <c r="E298" s="1" t="n"/>
      <c r="F298" s="1" t="n"/>
      <c r="G298" s="1" t="n"/>
      <c r="H298" s="1" t="n"/>
      <c r="I298" s="1" t="n"/>
      <c r="J298" s="1" t="n"/>
      <c r="K298" s="1" t="n"/>
      <c r="L298" s="1" t="n"/>
      <c r="M298" s="1" t="n"/>
      <c r="N298" s="1" t="n"/>
    </row>
    <row r="299" ht="15.75" customHeight="1" s="311">
      <c r="A299" s="1" t="n"/>
      <c r="B299" s="1" t="n"/>
      <c r="C299" s="1" t="n"/>
      <c r="D299" s="1" t="n"/>
      <c r="E299" s="1" t="n"/>
      <c r="F299" s="1" t="n"/>
      <c r="G299" s="1" t="n"/>
      <c r="H299" s="1" t="n"/>
      <c r="I299" s="1" t="n"/>
      <c r="J299" s="1" t="n"/>
      <c r="K299" s="1" t="n"/>
      <c r="L299" s="1" t="n"/>
      <c r="M299" s="1" t="n"/>
      <c r="N299" s="1" t="n"/>
    </row>
    <row r="300" ht="15.75" customHeight="1" s="311">
      <c r="A300" s="1" t="n"/>
      <c r="B300" s="1" t="n"/>
      <c r="C300" s="1" t="n"/>
      <c r="D300" s="1" t="n"/>
      <c r="E300" s="1" t="n"/>
      <c r="F300" s="1" t="n"/>
      <c r="G300" s="1" t="n"/>
      <c r="H300" s="1" t="n"/>
      <c r="I300" s="1" t="n"/>
      <c r="J300" s="1" t="n"/>
      <c r="K300" s="1" t="n"/>
      <c r="L300" s="1" t="n"/>
      <c r="M300" s="1" t="n"/>
      <c r="N300" s="1" t="n"/>
    </row>
    <row r="301" ht="15.75" customHeight="1" s="311">
      <c r="A301" s="1" t="n"/>
      <c r="B301" s="1" t="n"/>
      <c r="C301" s="1" t="n"/>
      <c r="D301" s="1" t="n"/>
      <c r="E301" s="1" t="n"/>
      <c r="F301" s="1" t="n"/>
      <c r="G301" s="1" t="n"/>
      <c r="H301" s="1" t="n"/>
      <c r="I301" s="1" t="n"/>
      <c r="J301" s="1" t="n"/>
      <c r="K301" s="1" t="n"/>
      <c r="L301" s="1" t="n"/>
      <c r="M301" s="1" t="n"/>
      <c r="N301" s="1" t="n"/>
    </row>
    <row r="302" ht="15.75" customHeight="1" s="311">
      <c r="A302" s="1" t="n"/>
      <c r="B302" s="1" t="n"/>
      <c r="C302" s="1" t="n"/>
      <c r="D302" s="1" t="n"/>
      <c r="E302" s="1" t="n"/>
      <c r="F302" s="1" t="n"/>
      <c r="G302" s="1" t="n"/>
      <c r="H302" s="1" t="n"/>
      <c r="I302" s="1" t="n"/>
      <c r="J302" s="1" t="n"/>
      <c r="K302" s="1" t="n"/>
      <c r="L302" s="1" t="n"/>
      <c r="M302" s="1" t="n"/>
      <c r="N302" s="1" t="n"/>
    </row>
    <row r="303" ht="15.75" customHeight="1" s="311">
      <c r="A303" s="1" t="n"/>
      <c r="B303" s="1" t="n"/>
      <c r="C303" s="1" t="n"/>
      <c r="D303" s="1" t="n"/>
      <c r="E303" s="1" t="n"/>
      <c r="F303" s="1" t="n"/>
      <c r="G303" s="1" t="n"/>
      <c r="H303" s="1" t="n"/>
      <c r="I303" s="1" t="n"/>
      <c r="J303" s="1" t="n"/>
      <c r="K303" s="1" t="n"/>
      <c r="L303" s="1" t="n"/>
      <c r="M303" s="1" t="n"/>
      <c r="N303" s="1" t="n"/>
    </row>
    <row r="304" ht="15.75" customHeight="1" s="311">
      <c r="A304" s="1" t="n"/>
      <c r="B304" s="1" t="n"/>
      <c r="C304" s="1" t="n"/>
      <c r="D304" s="1" t="n"/>
      <c r="E304" s="1" t="n"/>
      <c r="F304" s="1" t="n"/>
      <c r="G304" s="1" t="n"/>
      <c r="H304" s="1" t="n"/>
      <c r="I304" s="1" t="n"/>
      <c r="J304" s="1" t="n"/>
      <c r="K304" s="1" t="n"/>
      <c r="L304" s="1" t="n"/>
      <c r="M304" s="1" t="n"/>
      <c r="N304" s="1" t="n"/>
    </row>
    <row r="305" ht="15.75" customHeight="1" s="311">
      <c r="A305" s="1" t="n"/>
      <c r="B305" s="1" t="n"/>
      <c r="C305" s="1" t="n"/>
      <c r="D305" s="1" t="n"/>
      <c r="E305" s="1" t="n"/>
      <c r="F305" s="1" t="n"/>
      <c r="G305" s="1" t="n"/>
      <c r="H305" s="1" t="n"/>
      <c r="I305" s="1" t="n"/>
      <c r="J305" s="1" t="n"/>
      <c r="K305" s="1" t="n"/>
      <c r="L305" s="1" t="n"/>
      <c r="M305" s="1" t="n"/>
      <c r="N305" s="1" t="n"/>
    </row>
    <row r="306" ht="15.75" customHeight="1" s="311">
      <c r="A306" s="1" t="n"/>
      <c r="B306" s="1" t="n"/>
      <c r="C306" s="1" t="n"/>
      <c r="D306" s="1" t="n"/>
      <c r="E306" s="1" t="n"/>
      <c r="F306" s="1" t="n"/>
      <c r="G306" s="1" t="n"/>
      <c r="H306" s="1" t="n"/>
      <c r="I306" s="1" t="n"/>
      <c r="J306" s="1" t="n"/>
      <c r="K306" s="1" t="n"/>
      <c r="L306" s="1" t="n"/>
      <c r="M306" s="1" t="n"/>
      <c r="N306" s="1" t="n"/>
    </row>
    <row r="307" ht="15.75" customHeight="1" s="311">
      <c r="A307" s="1" t="n"/>
      <c r="B307" s="1" t="n"/>
      <c r="C307" s="1" t="n"/>
      <c r="D307" s="1" t="n"/>
      <c r="E307" s="1" t="n"/>
      <c r="F307" s="1" t="n"/>
      <c r="G307" s="1" t="n"/>
      <c r="H307" s="1" t="n"/>
      <c r="I307" s="1" t="n"/>
      <c r="J307" s="1" t="n"/>
      <c r="K307" s="1" t="n"/>
      <c r="L307" s="1" t="n"/>
      <c r="M307" s="1" t="n"/>
      <c r="N307" s="1" t="n"/>
    </row>
    <row r="308" ht="15.75" customHeight="1" s="311">
      <c r="A308" s="1" t="n"/>
      <c r="B308" s="1" t="n"/>
      <c r="C308" s="1" t="n"/>
      <c r="D308" s="1" t="n"/>
      <c r="E308" s="1" t="n"/>
      <c r="F308" s="1" t="n"/>
      <c r="G308" s="1" t="n"/>
      <c r="H308" s="1" t="n"/>
      <c r="I308" s="1" t="n"/>
      <c r="J308" s="1" t="n"/>
      <c r="K308" s="1" t="n"/>
      <c r="L308" s="1" t="n"/>
      <c r="M308" s="1" t="n"/>
      <c r="N308" s="1" t="n"/>
    </row>
    <row r="309" ht="15.75" customHeight="1" s="311">
      <c r="A309" s="1" t="n"/>
      <c r="B309" s="1" t="n"/>
      <c r="C309" s="1" t="n"/>
      <c r="D309" s="1" t="n"/>
      <c r="E309" s="1" t="n"/>
      <c r="F309" s="1" t="n"/>
      <c r="G309" s="1" t="n"/>
      <c r="H309" s="1" t="n"/>
      <c r="I309" s="1" t="n"/>
      <c r="J309" s="1" t="n"/>
      <c r="K309" s="1" t="n"/>
      <c r="L309" s="1" t="n"/>
      <c r="M309" s="1" t="n"/>
      <c r="N309" s="1" t="n"/>
    </row>
    <row r="310" ht="15.75" customHeight="1" s="311">
      <c r="A310" s="1" t="n"/>
      <c r="B310" s="1" t="n"/>
      <c r="C310" s="1" t="n"/>
      <c r="D310" s="1" t="n"/>
      <c r="E310" s="1" t="n"/>
      <c r="F310" s="1" t="n"/>
      <c r="G310" s="1" t="n"/>
      <c r="H310" s="1" t="n"/>
      <c r="I310" s="1" t="n"/>
      <c r="J310" s="1" t="n"/>
      <c r="K310" s="1" t="n"/>
      <c r="L310" s="1" t="n"/>
      <c r="M310" s="1" t="n"/>
      <c r="N310" s="1" t="n"/>
    </row>
    <row r="311" ht="15.75" customHeight="1" s="311">
      <c r="A311" s="1" t="n"/>
      <c r="B311" s="1" t="n"/>
      <c r="C311" s="1" t="n"/>
      <c r="D311" s="1" t="n"/>
      <c r="E311" s="1" t="n"/>
      <c r="F311" s="1" t="n"/>
      <c r="G311" s="1" t="n"/>
      <c r="H311" s="1" t="n"/>
      <c r="I311" s="1" t="n"/>
      <c r="J311" s="1" t="n"/>
      <c r="K311" s="1" t="n"/>
      <c r="L311" s="1" t="n"/>
      <c r="M311" s="1" t="n"/>
      <c r="N311" s="1" t="n"/>
    </row>
    <row r="312" ht="15.75" customHeight="1" s="311">
      <c r="A312" s="1" t="n"/>
      <c r="B312" s="1" t="n"/>
      <c r="C312" s="1" t="n"/>
      <c r="D312" s="1" t="n"/>
      <c r="E312" s="1" t="n"/>
      <c r="F312" s="1" t="n"/>
      <c r="G312" s="1" t="n"/>
      <c r="H312" s="1" t="n"/>
      <c r="I312" s="1" t="n"/>
      <c r="J312" s="1" t="n"/>
      <c r="K312" s="1" t="n"/>
      <c r="L312" s="1" t="n"/>
      <c r="M312" s="1" t="n"/>
      <c r="N312" s="1" t="n"/>
    </row>
    <row r="313" ht="15.75" customHeight="1" s="311">
      <c r="A313" s="1" t="n"/>
      <c r="B313" s="1" t="n"/>
      <c r="C313" s="1" t="n"/>
      <c r="D313" s="1" t="n"/>
      <c r="E313" s="1" t="n"/>
      <c r="F313" s="1" t="n"/>
      <c r="G313" s="1" t="n"/>
      <c r="H313" s="1" t="n"/>
      <c r="I313" s="1" t="n"/>
      <c r="J313" s="1" t="n"/>
      <c r="K313" s="1" t="n"/>
      <c r="L313" s="1" t="n"/>
      <c r="M313" s="1" t="n"/>
      <c r="N313" s="1" t="n"/>
    </row>
    <row r="314" ht="15.75" customHeight="1" s="311">
      <c r="A314" s="1" t="n"/>
      <c r="B314" s="1" t="n"/>
      <c r="C314" s="1" t="n"/>
      <c r="D314" s="1" t="n"/>
      <c r="E314" s="1" t="n"/>
      <c r="F314" s="1" t="n"/>
      <c r="G314" s="1" t="n"/>
      <c r="H314" s="1" t="n"/>
      <c r="I314" s="1" t="n"/>
      <c r="J314" s="1" t="n"/>
      <c r="K314" s="1" t="n"/>
      <c r="L314" s="1" t="n"/>
      <c r="M314" s="1" t="n"/>
      <c r="N314" s="1" t="n"/>
    </row>
    <row r="315" ht="15.75" customHeight="1" s="311">
      <c r="A315" s="1" t="n"/>
      <c r="B315" s="1" t="n"/>
      <c r="C315" s="1" t="n"/>
      <c r="D315" s="1" t="n"/>
      <c r="E315" s="1" t="n"/>
      <c r="F315" s="1" t="n"/>
      <c r="G315" s="1" t="n"/>
      <c r="H315" s="1" t="n"/>
      <c r="I315" s="1" t="n"/>
      <c r="J315" s="1" t="n"/>
      <c r="K315" s="1" t="n"/>
      <c r="L315" s="1" t="n"/>
      <c r="M315" s="1" t="n"/>
      <c r="N315" s="1" t="n"/>
    </row>
    <row r="316" ht="15.75" customHeight="1" s="311">
      <c r="A316" s="1" t="n"/>
      <c r="B316" s="1" t="n"/>
      <c r="C316" s="1" t="n"/>
      <c r="D316" s="1" t="n"/>
      <c r="E316" s="1" t="n"/>
      <c r="F316" s="1" t="n"/>
      <c r="G316" s="1" t="n"/>
      <c r="H316" s="1" t="n"/>
      <c r="I316" s="1" t="n"/>
      <c r="J316" s="1" t="n"/>
      <c r="K316" s="1" t="n"/>
      <c r="L316" s="1" t="n"/>
      <c r="M316" s="1" t="n"/>
      <c r="N316" s="1" t="n"/>
    </row>
    <row r="317" ht="15.75" customHeight="1" s="311">
      <c r="A317" s="1" t="n"/>
      <c r="B317" s="1" t="n"/>
      <c r="C317" s="1" t="n"/>
      <c r="D317" s="1" t="n"/>
      <c r="E317" s="1" t="n"/>
      <c r="F317" s="1" t="n"/>
      <c r="G317" s="1" t="n"/>
      <c r="H317" s="1" t="n"/>
      <c r="I317" s="1" t="n"/>
      <c r="J317" s="1" t="n"/>
      <c r="K317" s="1" t="n"/>
      <c r="L317" s="1" t="n"/>
      <c r="M317" s="1" t="n"/>
      <c r="N317" s="1" t="n"/>
    </row>
    <row r="318" ht="15.75" customHeight="1" s="311">
      <c r="A318" s="1" t="n"/>
      <c r="B318" s="1" t="n"/>
      <c r="C318" s="1" t="n"/>
      <c r="D318" s="1" t="n"/>
      <c r="E318" s="1" t="n"/>
      <c r="F318" s="1" t="n"/>
      <c r="G318" s="1" t="n"/>
      <c r="H318" s="1" t="n"/>
      <c r="I318" s="1" t="n"/>
      <c r="J318" s="1" t="n"/>
      <c r="K318" s="1" t="n"/>
      <c r="L318" s="1" t="n"/>
      <c r="M318" s="1" t="n"/>
      <c r="N318" s="1" t="n"/>
    </row>
    <row r="319" ht="15.75" customHeight="1" s="311">
      <c r="A319" s="1" t="n"/>
      <c r="B319" s="1" t="n"/>
      <c r="C319" s="1" t="n"/>
      <c r="D319" s="1" t="n"/>
      <c r="E319" s="1" t="n"/>
      <c r="F319" s="1" t="n"/>
      <c r="G319" s="1" t="n"/>
      <c r="H319" s="1" t="n"/>
      <c r="I319" s="1" t="n"/>
      <c r="J319" s="1" t="n"/>
      <c r="K319" s="1" t="n"/>
      <c r="L319" s="1" t="n"/>
      <c r="M319" s="1" t="n"/>
      <c r="N319" s="1" t="n"/>
    </row>
    <row r="320" ht="15.75" customHeight="1" s="311">
      <c r="A320" s="1" t="n"/>
      <c r="B320" s="1" t="n"/>
      <c r="C320" s="1" t="n"/>
      <c r="D320" s="1" t="n"/>
      <c r="E320" s="1" t="n"/>
      <c r="F320" s="1" t="n"/>
      <c r="G320" s="1" t="n"/>
      <c r="H320" s="1" t="n"/>
      <c r="I320" s="1" t="n"/>
      <c r="J320" s="1" t="n"/>
      <c r="K320" s="1" t="n"/>
      <c r="L320" s="1" t="n"/>
      <c r="M320" s="1" t="n"/>
      <c r="N320" s="1" t="n"/>
    </row>
    <row r="321" ht="15.75" customHeight="1" s="311">
      <c r="A321" s="1" t="n"/>
      <c r="B321" s="1" t="n"/>
      <c r="C321" s="1" t="n"/>
      <c r="D321" s="1" t="n"/>
      <c r="E321" s="1" t="n"/>
      <c r="F321" s="1" t="n"/>
      <c r="G321" s="1" t="n"/>
      <c r="H321" s="1" t="n"/>
      <c r="I321" s="1" t="n"/>
      <c r="J321" s="1" t="n"/>
      <c r="K321" s="1" t="n"/>
      <c r="L321" s="1" t="n"/>
      <c r="M321" s="1" t="n"/>
      <c r="N321" s="1" t="n"/>
    </row>
    <row r="322" ht="15.75" customHeight="1" s="311">
      <c r="A322" s="1" t="n"/>
      <c r="B322" s="1" t="n"/>
      <c r="C322" s="1" t="n"/>
      <c r="D322" s="1" t="n"/>
      <c r="E322" s="1" t="n"/>
      <c r="F322" s="1" t="n"/>
      <c r="G322" s="1" t="n"/>
      <c r="H322" s="1" t="n"/>
      <c r="I322" s="1" t="n"/>
      <c r="J322" s="1" t="n"/>
      <c r="K322" s="1" t="n"/>
      <c r="L322" s="1" t="n"/>
      <c r="M322" s="1" t="n"/>
      <c r="N322" s="1" t="n"/>
    </row>
    <row r="323" ht="15.75" customHeight="1" s="311">
      <c r="A323" s="1" t="n"/>
      <c r="B323" s="1" t="n"/>
      <c r="C323" s="1" t="n"/>
      <c r="D323" s="1" t="n"/>
      <c r="E323" s="1" t="n"/>
      <c r="F323" s="1" t="n"/>
      <c r="G323" s="1" t="n"/>
      <c r="H323" s="1" t="n"/>
      <c r="I323" s="1" t="n"/>
      <c r="J323" s="1" t="n"/>
      <c r="K323" s="1" t="n"/>
      <c r="L323" s="1" t="n"/>
      <c r="M323" s="1" t="n"/>
      <c r="N323" s="1" t="n"/>
    </row>
    <row r="324" ht="15.75" customHeight="1" s="311">
      <c r="A324" s="1" t="n"/>
      <c r="B324" s="1" t="n"/>
      <c r="C324" s="1" t="n"/>
      <c r="D324" s="1" t="n"/>
      <c r="E324" s="1" t="n"/>
      <c r="F324" s="1" t="n"/>
      <c r="G324" s="1" t="n"/>
      <c r="H324" s="1" t="n"/>
      <c r="I324" s="1" t="n"/>
      <c r="J324" s="1" t="n"/>
      <c r="K324" s="1" t="n"/>
      <c r="L324" s="1" t="n"/>
      <c r="M324" s="1" t="n"/>
      <c r="N324" s="1" t="n"/>
    </row>
    <row r="325" ht="15.75" customHeight="1" s="311">
      <c r="A325" s="1" t="n"/>
      <c r="B325" s="1" t="n"/>
      <c r="C325" s="1" t="n"/>
      <c r="D325" s="1" t="n"/>
      <c r="E325" s="1" t="n"/>
      <c r="F325" s="1" t="n"/>
      <c r="G325" s="1" t="n"/>
      <c r="H325" s="1" t="n"/>
      <c r="I325" s="1" t="n"/>
      <c r="J325" s="1" t="n"/>
      <c r="K325" s="1" t="n"/>
      <c r="L325" s="1" t="n"/>
      <c r="M325" s="1" t="n"/>
      <c r="N325" s="1" t="n"/>
    </row>
    <row r="326" ht="15.75" customHeight="1" s="311">
      <c r="A326" s="1" t="n"/>
      <c r="B326" s="1" t="n"/>
      <c r="C326" s="1" t="n"/>
      <c r="D326" s="1" t="n"/>
      <c r="E326" s="1" t="n"/>
      <c r="F326" s="1" t="n"/>
      <c r="G326" s="1" t="n"/>
      <c r="H326" s="1" t="n"/>
      <c r="I326" s="1" t="n"/>
      <c r="J326" s="1" t="n"/>
      <c r="K326" s="1" t="n"/>
      <c r="L326" s="1" t="n"/>
      <c r="M326" s="1" t="n"/>
      <c r="N326" s="1" t="n"/>
    </row>
    <row r="327" ht="15.75" customHeight="1" s="311">
      <c r="A327" s="1" t="n"/>
      <c r="B327" s="1" t="n"/>
      <c r="C327" s="1" t="n"/>
      <c r="D327" s="1" t="n"/>
      <c r="E327" s="1" t="n"/>
      <c r="F327" s="1" t="n"/>
      <c r="G327" s="1" t="n"/>
      <c r="H327" s="1" t="n"/>
      <c r="I327" s="1" t="n"/>
      <c r="J327" s="1" t="n"/>
      <c r="K327" s="1" t="n"/>
      <c r="L327" s="1" t="n"/>
      <c r="M327" s="1" t="n"/>
      <c r="N327" s="1" t="n"/>
    </row>
    <row r="328" ht="15.75" customHeight="1" s="311">
      <c r="A328" s="1" t="n"/>
      <c r="B328" s="1" t="n"/>
      <c r="C328" s="1" t="n"/>
      <c r="D328" s="1" t="n"/>
      <c r="E328" s="1" t="n"/>
      <c r="F328" s="1" t="n"/>
      <c r="G328" s="1" t="n"/>
      <c r="H328" s="1" t="n"/>
      <c r="I328" s="1" t="n"/>
      <c r="J328" s="1" t="n"/>
      <c r="K328" s="1" t="n"/>
      <c r="L328" s="1" t="n"/>
      <c r="M328" s="1" t="n"/>
      <c r="N328" s="1" t="n"/>
    </row>
    <row r="329" ht="15.75" customHeight="1" s="311">
      <c r="A329" s="1" t="n"/>
      <c r="B329" s="1" t="n"/>
      <c r="C329" s="1" t="n"/>
      <c r="D329" s="1" t="n"/>
      <c r="E329" s="1" t="n"/>
      <c r="F329" s="1" t="n"/>
      <c r="G329" s="1" t="n"/>
      <c r="H329" s="1" t="n"/>
      <c r="I329" s="1" t="n"/>
      <c r="J329" s="1" t="n"/>
      <c r="K329" s="1" t="n"/>
      <c r="L329" s="1" t="n"/>
      <c r="M329" s="1" t="n"/>
      <c r="N329" s="1" t="n"/>
    </row>
    <row r="330" ht="15.75" customHeight="1" s="311">
      <c r="A330" s="1" t="n"/>
      <c r="B330" s="1" t="n"/>
      <c r="C330" s="1" t="n"/>
      <c r="D330" s="1" t="n"/>
      <c r="E330" s="1" t="n"/>
      <c r="F330" s="1" t="n"/>
      <c r="G330" s="1" t="n"/>
      <c r="H330" s="1" t="n"/>
      <c r="I330" s="1" t="n"/>
      <c r="J330" s="1" t="n"/>
      <c r="K330" s="1" t="n"/>
      <c r="L330" s="1" t="n"/>
      <c r="M330" s="1" t="n"/>
      <c r="N330" s="1" t="n"/>
    </row>
    <row r="331" ht="15.75" customHeight="1" s="311">
      <c r="A331" s="1" t="n"/>
      <c r="B331" s="1" t="n"/>
      <c r="C331" s="1" t="n"/>
      <c r="D331" s="1" t="n"/>
      <c r="E331" s="1" t="n"/>
      <c r="F331" s="1" t="n"/>
      <c r="G331" s="1" t="n"/>
      <c r="H331" s="1" t="n"/>
      <c r="I331" s="1" t="n"/>
      <c r="J331" s="1" t="n"/>
      <c r="K331" s="1" t="n"/>
      <c r="L331" s="1" t="n"/>
      <c r="M331" s="1" t="n"/>
      <c r="N331" s="1" t="n"/>
    </row>
    <row r="332" ht="15.75" customHeight="1" s="311">
      <c r="A332" s="1" t="n"/>
      <c r="B332" s="1" t="n"/>
      <c r="C332" s="1" t="n"/>
      <c r="D332" s="1" t="n"/>
      <c r="E332" s="1" t="n"/>
      <c r="F332" s="1" t="n"/>
      <c r="G332" s="1" t="n"/>
      <c r="H332" s="1" t="n"/>
      <c r="I332" s="1" t="n"/>
      <c r="J332" s="1" t="n"/>
      <c r="K332" s="1" t="n"/>
      <c r="L332" s="1" t="n"/>
      <c r="M332" s="1" t="n"/>
      <c r="N332" s="1" t="n"/>
    </row>
    <row r="333" ht="15.75" customHeight="1" s="311">
      <c r="A333" s="1" t="n"/>
      <c r="B333" s="1" t="n"/>
      <c r="C333" s="1" t="n"/>
      <c r="D333" s="1" t="n"/>
      <c r="E333" s="1" t="n"/>
      <c r="F333" s="1" t="n"/>
      <c r="G333" s="1" t="n"/>
      <c r="H333" s="1" t="n"/>
      <c r="I333" s="1" t="n"/>
      <c r="J333" s="1" t="n"/>
      <c r="K333" s="1" t="n"/>
      <c r="L333" s="1" t="n"/>
      <c r="M333" s="1" t="n"/>
      <c r="N333" s="1" t="n"/>
    </row>
    <row r="334" ht="15.75" customHeight="1" s="311">
      <c r="A334" s="1" t="n"/>
      <c r="B334" s="1" t="n"/>
      <c r="C334" s="1" t="n"/>
      <c r="D334" s="1" t="n"/>
      <c r="E334" s="1" t="n"/>
      <c r="F334" s="1" t="n"/>
      <c r="G334" s="1" t="n"/>
      <c r="H334" s="1" t="n"/>
      <c r="I334" s="1" t="n"/>
      <c r="J334" s="1" t="n"/>
      <c r="K334" s="1" t="n"/>
      <c r="L334" s="1" t="n"/>
      <c r="M334" s="1" t="n"/>
      <c r="N334" s="1" t="n"/>
    </row>
    <row r="335" ht="15.75" customHeight="1" s="311">
      <c r="A335" s="1" t="n"/>
      <c r="B335" s="1" t="n"/>
      <c r="C335" s="1" t="n"/>
      <c r="D335" s="1" t="n"/>
      <c r="E335" s="1" t="n"/>
      <c r="F335" s="1" t="n"/>
      <c r="G335" s="1" t="n"/>
      <c r="H335" s="1" t="n"/>
      <c r="I335" s="1" t="n"/>
      <c r="J335" s="1" t="n"/>
      <c r="K335" s="1" t="n"/>
      <c r="L335" s="1" t="n"/>
      <c r="M335" s="1" t="n"/>
      <c r="N335" s="1" t="n"/>
    </row>
    <row r="336" ht="15.75" customHeight="1" s="311">
      <c r="A336" s="1" t="n"/>
      <c r="B336" s="1" t="n"/>
      <c r="C336" s="1" t="n"/>
      <c r="D336" s="1" t="n"/>
      <c r="E336" s="1" t="n"/>
      <c r="F336" s="1" t="n"/>
      <c r="G336" s="1" t="n"/>
      <c r="H336" s="1" t="n"/>
      <c r="I336" s="1" t="n"/>
      <c r="J336" s="1" t="n"/>
      <c r="K336" s="1" t="n"/>
      <c r="L336" s="1" t="n"/>
      <c r="M336" s="1" t="n"/>
      <c r="N336" s="1" t="n"/>
    </row>
    <row r="337" ht="15.75" customHeight="1" s="311">
      <c r="A337" s="1" t="n"/>
      <c r="B337" s="1" t="n"/>
      <c r="C337" s="1" t="n"/>
      <c r="D337" s="1" t="n"/>
      <c r="E337" s="1" t="n"/>
      <c r="F337" s="1" t="n"/>
      <c r="G337" s="1" t="n"/>
      <c r="H337" s="1" t="n"/>
      <c r="I337" s="1" t="n"/>
      <c r="J337" s="1" t="n"/>
      <c r="K337" s="1" t="n"/>
      <c r="L337" s="1" t="n"/>
      <c r="M337" s="1" t="n"/>
      <c r="N337" s="1" t="n"/>
    </row>
    <row r="338" ht="15.75" customHeight="1" s="311">
      <c r="A338" s="1" t="n"/>
      <c r="B338" s="1" t="n"/>
      <c r="C338" s="1" t="n"/>
      <c r="D338" s="1" t="n"/>
      <c r="E338" s="1" t="n"/>
      <c r="F338" s="1" t="n"/>
      <c r="G338" s="1" t="n"/>
      <c r="H338" s="1" t="n"/>
      <c r="I338" s="1" t="n"/>
      <c r="J338" s="1" t="n"/>
      <c r="K338" s="1" t="n"/>
      <c r="L338" s="1" t="n"/>
      <c r="M338" s="1" t="n"/>
      <c r="N338" s="1" t="n"/>
    </row>
    <row r="339" ht="15.75" customHeight="1" s="311">
      <c r="A339" s="1" t="n"/>
      <c r="B339" s="1" t="n"/>
      <c r="C339" s="1" t="n"/>
      <c r="D339" s="1" t="n"/>
      <c r="E339" s="1" t="n"/>
      <c r="F339" s="1" t="n"/>
      <c r="G339" s="1" t="n"/>
      <c r="H339" s="1" t="n"/>
      <c r="I339" s="1" t="n"/>
      <c r="J339" s="1" t="n"/>
      <c r="K339" s="1" t="n"/>
      <c r="L339" s="1" t="n"/>
      <c r="M339" s="1" t="n"/>
      <c r="N339" s="1" t="n"/>
    </row>
    <row r="340" ht="15.75" customHeight="1" s="311">
      <c r="A340" s="1" t="n"/>
      <c r="B340" s="1" t="n"/>
      <c r="C340" s="1" t="n"/>
      <c r="D340" s="1" t="n"/>
      <c r="E340" s="1" t="n"/>
      <c r="F340" s="1" t="n"/>
      <c r="G340" s="1" t="n"/>
      <c r="H340" s="1" t="n"/>
      <c r="I340" s="1" t="n"/>
      <c r="J340" s="1" t="n"/>
      <c r="K340" s="1" t="n"/>
      <c r="L340" s="1" t="n"/>
      <c r="M340" s="1" t="n"/>
      <c r="N340" s="1" t="n"/>
    </row>
    <row r="341" ht="15.75" customHeight="1" s="311">
      <c r="A341" s="1" t="n"/>
      <c r="B341" s="1" t="n"/>
      <c r="C341" s="1" t="n"/>
      <c r="D341" s="1" t="n"/>
      <c r="E341" s="1" t="n"/>
      <c r="F341" s="1" t="n"/>
      <c r="G341" s="1" t="n"/>
      <c r="H341" s="1" t="n"/>
      <c r="I341" s="1" t="n"/>
      <c r="J341" s="1" t="n"/>
      <c r="K341" s="1" t="n"/>
      <c r="L341" s="1" t="n"/>
      <c r="M341" s="1" t="n"/>
      <c r="N341" s="1" t="n"/>
    </row>
    <row r="342" ht="15.75" customHeight="1" s="311">
      <c r="A342" s="1" t="n"/>
      <c r="B342" s="1" t="n"/>
      <c r="C342" s="1" t="n"/>
      <c r="D342" s="1" t="n"/>
      <c r="E342" s="1" t="n"/>
      <c r="F342" s="1" t="n"/>
      <c r="G342" s="1" t="n"/>
      <c r="H342" s="1" t="n"/>
      <c r="I342" s="1" t="n"/>
      <c r="J342" s="1" t="n"/>
      <c r="K342" s="1" t="n"/>
      <c r="L342" s="1" t="n"/>
      <c r="M342" s="1" t="n"/>
      <c r="N342" s="1" t="n"/>
    </row>
    <row r="343" ht="15.75" customHeight="1" s="311">
      <c r="A343" s="1" t="n"/>
      <c r="B343" s="1" t="n"/>
      <c r="C343" s="1" t="n"/>
      <c r="D343" s="1" t="n"/>
      <c r="E343" s="1" t="n"/>
      <c r="F343" s="1" t="n"/>
      <c r="G343" s="1" t="n"/>
      <c r="H343" s="1" t="n"/>
      <c r="I343" s="1" t="n"/>
      <c r="J343" s="1" t="n"/>
      <c r="K343" s="1" t="n"/>
      <c r="L343" s="1" t="n"/>
      <c r="M343" s="1" t="n"/>
      <c r="N343" s="1" t="n"/>
    </row>
    <row r="344" ht="15.75" customHeight="1" s="311">
      <c r="A344" s="1" t="n"/>
      <c r="B344" s="1" t="n"/>
      <c r="C344" s="1" t="n"/>
      <c r="D344" s="1" t="n"/>
      <c r="E344" s="1" t="n"/>
      <c r="F344" s="1" t="n"/>
      <c r="G344" s="1" t="n"/>
      <c r="H344" s="1" t="n"/>
      <c r="I344" s="1" t="n"/>
      <c r="J344" s="1" t="n"/>
      <c r="K344" s="1" t="n"/>
      <c r="L344" s="1" t="n"/>
      <c r="M344" s="1" t="n"/>
      <c r="N344" s="1" t="n"/>
    </row>
    <row r="345" ht="15.75" customHeight="1" s="311">
      <c r="A345" s="1" t="n"/>
      <c r="B345" s="1" t="n"/>
      <c r="C345" s="1" t="n"/>
      <c r="D345" s="1" t="n"/>
      <c r="E345" s="1" t="n"/>
      <c r="F345" s="1" t="n"/>
      <c r="G345" s="1" t="n"/>
      <c r="H345" s="1" t="n"/>
      <c r="I345" s="1" t="n"/>
      <c r="J345" s="1" t="n"/>
      <c r="K345" s="1" t="n"/>
      <c r="L345" s="1" t="n"/>
      <c r="M345" s="1" t="n"/>
      <c r="N345" s="1" t="n"/>
    </row>
    <row r="346" ht="15.75" customHeight="1" s="311">
      <c r="A346" s="1" t="n"/>
      <c r="B346" s="1" t="n"/>
      <c r="C346" s="1" t="n"/>
      <c r="D346" s="1" t="n"/>
      <c r="E346" s="1" t="n"/>
      <c r="F346" s="1" t="n"/>
      <c r="G346" s="1" t="n"/>
      <c r="H346" s="1" t="n"/>
      <c r="I346" s="1" t="n"/>
      <c r="J346" s="1" t="n"/>
      <c r="K346" s="1" t="n"/>
      <c r="L346" s="1" t="n"/>
      <c r="M346" s="1" t="n"/>
      <c r="N346" s="1" t="n"/>
    </row>
    <row r="347" ht="15.75" customHeight="1" s="311">
      <c r="A347" s="1" t="n"/>
      <c r="B347" s="1" t="n"/>
      <c r="C347" s="1" t="n"/>
      <c r="D347" s="1" t="n"/>
      <c r="E347" s="1" t="n"/>
      <c r="F347" s="1" t="n"/>
      <c r="G347" s="1" t="n"/>
      <c r="H347" s="1" t="n"/>
      <c r="I347" s="1" t="n"/>
      <c r="J347" s="1" t="n"/>
      <c r="K347" s="1" t="n"/>
      <c r="L347" s="1" t="n"/>
      <c r="M347" s="1" t="n"/>
      <c r="N347" s="1" t="n"/>
    </row>
    <row r="348" ht="15.75" customHeight="1" s="311">
      <c r="A348" s="1" t="n"/>
      <c r="B348" s="1" t="n"/>
      <c r="C348" s="1" t="n"/>
      <c r="D348" s="1" t="n"/>
      <c r="E348" s="1" t="n"/>
      <c r="F348" s="1" t="n"/>
      <c r="G348" s="1" t="n"/>
      <c r="H348" s="1" t="n"/>
      <c r="I348" s="1" t="n"/>
      <c r="J348" s="1" t="n"/>
      <c r="K348" s="1" t="n"/>
      <c r="L348" s="1" t="n"/>
      <c r="M348" s="1" t="n"/>
      <c r="N348" s="1" t="n"/>
    </row>
    <row r="349" ht="15.75" customHeight="1" s="311">
      <c r="A349" s="1" t="n"/>
      <c r="B349" s="1" t="n"/>
      <c r="C349" s="1" t="n"/>
      <c r="D349" s="1" t="n"/>
      <c r="E349" s="1" t="n"/>
      <c r="F349" s="1" t="n"/>
      <c r="G349" s="1" t="n"/>
      <c r="H349" s="1" t="n"/>
      <c r="I349" s="1" t="n"/>
      <c r="J349" s="1" t="n"/>
      <c r="K349" s="1" t="n"/>
      <c r="L349" s="1" t="n"/>
      <c r="M349" s="1" t="n"/>
      <c r="N349" s="1" t="n"/>
    </row>
    <row r="350" ht="15.75" customHeight="1" s="311">
      <c r="A350" s="1" t="n"/>
      <c r="B350" s="1" t="n"/>
      <c r="C350" s="1" t="n"/>
      <c r="D350" s="1" t="n"/>
      <c r="E350" s="1" t="n"/>
      <c r="F350" s="1" t="n"/>
      <c r="G350" s="1" t="n"/>
      <c r="H350" s="1" t="n"/>
      <c r="I350" s="1" t="n"/>
      <c r="J350" s="1" t="n"/>
      <c r="K350" s="1" t="n"/>
      <c r="L350" s="1" t="n"/>
      <c r="M350" s="1" t="n"/>
      <c r="N350" s="1" t="n"/>
    </row>
    <row r="351" ht="15.75" customHeight="1" s="311">
      <c r="A351" s="1" t="n"/>
      <c r="B351" s="1" t="n"/>
      <c r="C351" s="1" t="n"/>
      <c r="D351" s="1" t="n"/>
      <c r="E351" s="1" t="n"/>
      <c r="F351" s="1" t="n"/>
      <c r="G351" s="1" t="n"/>
      <c r="H351" s="1" t="n"/>
      <c r="I351" s="1" t="n"/>
      <c r="J351" s="1" t="n"/>
      <c r="K351" s="1" t="n"/>
      <c r="L351" s="1" t="n"/>
      <c r="M351" s="1" t="n"/>
      <c r="N351" s="1" t="n"/>
    </row>
    <row r="352" ht="15.75" customHeight="1" s="311">
      <c r="A352" s="1" t="n"/>
      <c r="B352" s="1" t="n"/>
      <c r="C352" s="1" t="n"/>
      <c r="D352" s="1" t="n"/>
      <c r="E352" s="1" t="n"/>
      <c r="F352" s="1" t="n"/>
      <c r="G352" s="1" t="n"/>
      <c r="H352" s="1" t="n"/>
      <c r="I352" s="1" t="n"/>
      <c r="J352" s="1" t="n"/>
      <c r="K352" s="1" t="n"/>
      <c r="L352" s="1" t="n"/>
      <c r="M352" s="1" t="n"/>
      <c r="N352" s="1" t="n"/>
    </row>
    <row r="353" ht="15.75" customHeight="1" s="311">
      <c r="A353" s="1" t="n"/>
      <c r="B353" s="1" t="n"/>
      <c r="C353" s="1" t="n"/>
      <c r="D353" s="1" t="n"/>
      <c r="E353" s="1" t="n"/>
      <c r="F353" s="1" t="n"/>
      <c r="G353" s="1" t="n"/>
      <c r="H353" s="1" t="n"/>
      <c r="I353" s="1" t="n"/>
      <c r="J353" s="1" t="n"/>
      <c r="K353" s="1" t="n"/>
      <c r="L353" s="1" t="n"/>
      <c r="M353" s="1" t="n"/>
      <c r="N353" s="1" t="n"/>
    </row>
    <row r="354" ht="15.75" customHeight="1" s="311">
      <c r="A354" s="1" t="n"/>
      <c r="B354" s="1" t="n"/>
      <c r="C354" s="1" t="n"/>
      <c r="D354" s="1" t="n"/>
      <c r="E354" s="1" t="n"/>
      <c r="F354" s="1" t="n"/>
      <c r="G354" s="1" t="n"/>
      <c r="H354" s="1" t="n"/>
      <c r="I354" s="1" t="n"/>
      <c r="J354" s="1" t="n"/>
      <c r="K354" s="1" t="n"/>
      <c r="L354" s="1" t="n"/>
      <c r="M354" s="1" t="n"/>
      <c r="N354" s="1" t="n"/>
    </row>
    <row r="355" ht="15.75" customHeight="1" s="311">
      <c r="A355" s="1" t="n"/>
      <c r="B355" s="1" t="n"/>
      <c r="C355" s="1" t="n"/>
      <c r="D355" s="1" t="n"/>
      <c r="E355" s="1" t="n"/>
      <c r="F355" s="1" t="n"/>
      <c r="G355" s="1" t="n"/>
      <c r="H355" s="1" t="n"/>
      <c r="I355" s="1" t="n"/>
      <c r="J355" s="1" t="n"/>
      <c r="K355" s="1" t="n"/>
      <c r="L355" s="1" t="n"/>
      <c r="M355" s="1" t="n"/>
      <c r="N355" s="1" t="n"/>
    </row>
    <row r="356" ht="15.75" customHeight="1" s="311">
      <c r="A356" s="1" t="n"/>
      <c r="B356" s="1" t="n"/>
      <c r="C356" s="1" t="n"/>
      <c r="D356" s="1" t="n"/>
      <c r="E356" s="1" t="n"/>
      <c r="F356" s="1" t="n"/>
      <c r="G356" s="1" t="n"/>
      <c r="H356" s="1" t="n"/>
      <c r="I356" s="1" t="n"/>
      <c r="J356" s="1" t="n"/>
      <c r="K356" s="1" t="n"/>
      <c r="L356" s="1" t="n"/>
      <c r="M356" s="1" t="n"/>
      <c r="N356" s="1" t="n"/>
    </row>
    <row r="357" ht="15.75" customHeight="1" s="311">
      <c r="A357" s="1" t="n"/>
      <c r="B357" s="1" t="n"/>
      <c r="C357" s="1" t="n"/>
      <c r="D357" s="1" t="n"/>
      <c r="E357" s="1" t="n"/>
      <c r="F357" s="1" t="n"/>
      <c r="G357" s="1" t="n"/>
      <c r="H357" s="1" t="n"/>
      <c r="I357" s="1" t="n"/>
      <c r="J357" s="1" t="n"/>
      <c r="K357" s="1" t="n"/>
      <c r="L357" s="1" t="n"/>
      <c r="M357" s="1" t="n"/>
      <c r="N357" s="1" t="n"/>
    </row>
    <row r="358" ht="15.75" customHeight="1" s="311">
      <c r="A358" s="1" t="n"/>
      <c r="B358" s="1" t="n"/>
      <c r="C358" s="1" t="n"/>
      <c r="D358" s="1" t="n"/>
      <c r="E358" s="1" t="n"/>
      <c r="F358" s="1" t="n"/>
      <c r="G358" s="1" t="n"/>
      <c r="H358" s="1" t="n"/>
      <c r="I358" s="1" t="n"/>
      <c r="J358" s="1" t="n"/>
      <c r="K358" s="1" t="n"/>
      <c r="L358" s="1" t="n"/>
      <c r="M358" s="1" t="n"/>
      <c r="N358" s="1" t="n"/>
    </row>
    <row r="359" ht="15.75" customHeight="1" s="311">
      <c r="A359" s="1" t="n"/>
      <c r="B359" s="1" t="n"/>
      <c r="C359" s="1" t="n"/>
      <c r="D359" s="1" t="n"/>
      <c r="E359" s="1" t="n"/>
      <c r="F359" s="1" t="n"/>
      <c r="G359" s="1" t="n"/>
      <c r="H359" s="1" t="n"/>
      <c r="I359" s="1" t="n"/>
      <c r="J359" s="1" t="n"/>
      <c r="K359" s="1" t="n"/>
      <c r="L359" s="1" t="n"/>
      <c r="M359" s="1" t="n"/>
      <c r="N359" s="1" t="n"/>
    </row>
    <row r="360" ht="15.75" customHeight="1" s="311">
      <c r="A360" s="1" t="n"/>
      <c r="B360" s="1" t="n"/>
      <c r="C360" s="1" t="n"/>
      <c r="D360" s="1" t="n"/>
      <c r="E360" s="1" t="n"/>
      <c r="F360" s="1" t="n"/>
      <c r="G360" s="1" t="n"/>
      <c r="H360" s="1" t="n"/>
      <c r="I360" s="1" t="n"/>
      <c r="J360" s="1" t="n"/>
      <c r="K360" s="1" t="n"/>
      <c r="L360" s="1" t="n"/>
      <c r="M360" s="1" t="n"/>
      <c r="N360" s="1" t="n"/>
    </row>
    <row r="361" ht="15.75" customHeight="1" s="311">
      <c r="A361" s="1" t="n"/>
      <c r="B361" s="1" t="n"/>
      <c r="C361" s="1" t="n"/>
      <c r="D361" s="1" t="n"/>
      <c r="E361" s="1" t="n"/>
      <c r="F361" s="1" t="n"/>
      <c r="G361" s="1" t="n"/>
      <c r="H361" s="1" t="n"/>
      <c r="I361" s="1" t="n"/>
      <c r="J361" s="1" t="n"/>
      <c r="K361" s="1" t="n"/>
      <c r="L361" s="1" t="n"/>
      <c r="M361" s="1" t="n"/>
      <c r="N361" s="1" t="n"/>
    </row>
    <row r="362" ht="15.75" customHeight="1" s="311">
      <c r="A362" s="1" t="n"/>
      <c r="B362" s="1" t="n"/>
      <c r="C362" s="1" t="n"/>
      <c r="D362" s="1" t="n"/>
      <c r="E362" s="1" t="n"/>
      <c r="F362" s="1" t="n"/>
      <c r="G362" s="1" t="n"/>
      <c r="H362" s="1" t="n"/>
      <c r="I362" s="1" t="n"/>
      <c r="J362" s="1" t="n"/>
      <c r="K362" s="1" t="n"/>
      <c r="L362" s="1" t="n"/>
      <c r="M362" s="1" t="n"/>
      <c r="N362" s="1" t="n"/>
    </row>
    <row r="363" ht="15.75" customHeight="1" s="311">
      <c r="A363" s="1" t="n"/>
      <c r="B363" s="1" t="n"/>
      <c r="C363" s="1" t="n"/>
      <c r="D363" s="1" t="n"/>
      <c r="E363" s="1" t="n"/>
      <c r="F363" s="1" t="n"/>
      <c r="G363" s="1" t="n"/>
      <c r="H363" s="1" t="n"/>
      <c r="I363" s="1" t="n"/>
      <c r="J363" s="1" t="n"/>
      <c r="K363" s="1" t="n"/>
      <c r="L363" s="1" t="n"/>
      <c r="M363" s="1" t="n"/>
      <c r="N363" s="1" t="n"/>
    </row>
    <row r="364" ht="15.75" customHeight="1" s="311">
      <c r="A364" s="1" t="n"/>
      <c r="B364" s="1" t="n"/>
      <c r="C364" s="1" t="n"/>
      <c r="D364" s="1" t="n"/>
      <c r="E364" s="1" t="n"/>
      <c r="F364" s="1" t="n"/>
      <c r="G364" s="1" t="n"/>
      <c r="H364" s="1" t="n"/>
      <c r="I364" s="1" t="n"/>
      <c r="J364" s="1" t="n"/>
      <c r="K364" s="1" t="n"/>
      <c r="L364" s="1" t="n"/>
      <c r="M364" s="1" t="n"/>
      <c r="N364" s="1" t="n"/>
    </row>
    <row r="365" ht="15.75" customHeight="1" s="311">
      <c r="A365" s="1" t="n"/>
      <c r="B365" s="1" t="n"/>
      <c r="C365" s="1" t="n"/>
      <c r="D365" s="1" t="n"/>
      <c r="E365" s="1" t="n"/>
      <c r="F365" s="1" t="n"/>
      <c r="G365" s="1" t="n"/>
      <c r="H365" s="1" t="n"/>
      <c r="I365" s="1" t="n"/>
      <c r="J365" s="1" t="n"/>
      <c r="K365" s="1" t="n"/>
      <c r="L365" s="1" t="n"/>
      <c r="M365" s="1" t="n"/>
      <c r="N365" s="1" t="n"/>
    </row>
    <row r="366" ht="15.75" customHeight="1" s="311">
      <c r="A366" s="1" t="n"/>
      <c r="B366" s="1" t="n"/>
      <c r="C366" s="1" t="n"/>
      <c r="D366" s="1" t="n"/>
      <c r="E366" s="1" t="n"/>
      <c r="F366" s="1" t="n"/>
      <c r="G366" s="1" t="n"/>
      <c r="H366" s="1" t="n"/>
      <c r="I366" s="1" t="n"/>
      <c r="J366" s="1" t="n"/>
      <c r="K366" s="1" t="n"/>
      <c r="L366" s="1" t="n"/>
      <c r="M366" s="1" t="n"/>
      <c r="N366" s="1" t="n"/>
    </row>
    <row r="367" ht="15.75" customHeight="1" s="311">
      <c r="A367" s="1" t="n"/>
      <c r="B367" s="1" t="n"/>
      <c r="C367" s="1" t="n"/>
      <c r="D367" s="1" t="n"/>
      <c r="E367" s="1" t="n"/>
      <c r="F367" s="1" t="n"/>
      <c r="G367" s="1" t="n"/>
      <c r="H367" s="1" t="n"/>
      <c r="I367" s="1" t="n"/>
      <c r="J367" s="1" t="n"/>
      <c r="K367" s="1" t="n"/>
      <c r="L367" s="1" t="n"/>
      <c r="M367" s="1" t="n"/>
      <c r="N367" s="1" t="n"/>
    </row>
    <row r="368" ht="15.75" customHeight="1" s="311">
      <c r="A368" s="1" t="n"/>
      <c r="B368" s="1" t="n"/>
      <c r="C368" s="1" t="n"/>
      <c r="D368" s="1" t="n"/>
      <c r="E368" s="1" t="n"/>
      <c r="F368" s="1" t="n"/>
      <c r="G368" s="1" t="n"/>
      <c r="H368" s="1" t="n"/>
      <c r="I368" s="1" t="n"/>
      <c r="J368" s="1" t="n"/>
      <c r="K368" s="1" t="n"/>
      <c r="L368" s="1" t="n"/>
      <c r="M368" s="1" t="n"/>
      <c r="N368" s="1" t="n"/>
    </row>
    <row r="369" ht="15.75" customHeight="1" s="311">
      <c r="A369" s="1" t="n"/>
      <c r="B369" s="1" t="n"/>
      <c r="C369" s="1" t="n"/>
      <c r="D369" s="1" t="n"/>
      <c r="E369" s="1" t="n"/>
      <c r="F369" s="1" t="n"/>
      <c r="G369" s="1" t="n"/>
      <c r="H369" s="1" t="n"/>
      <c r="I369" s="1" t="n"/>
      <c r="J369" s="1" t="n"/>
      <c r="K369" s="1" t="n"/>
      <c r="L369" s="1" t="n"/>
      <c r="M369" s="1" t="n"/>
      <c r="N369" s="1" t="n"/>
    </row>
    <row r="370" ht="15.75" customHeight="1" s="311">
      <c r="A370" s="1" t="n"/>
      <c r="B370" s="1" t="n"/>
      <c r="C370" s="1" t="n"/>
      <c r="D370" s="1" t="n"/>
      <c r="E370" s="1" t="n"/>
      <c r="F370" s="1" t="n"/>
      <c r="G370" s="1" t="n"/>
      <c r="H370" s="1" t="n"/>
      <c r="I370" s="1" t="n"/>
      <c r="J370" s="1" t="n"/>
      <c r="K370" s="1" t="n"/>
      <c r="L370" s="1" t="n"/>
      <c r="M370" s="1" t="n"/>
      <c r="N370" s="1" t="n"/>
    </row>
    <row r="371" ht="15.75" customHeight="1" s="311">
      <c r="A371" s="1" t="n"/>
      <c r="B371" s="1" t="n"/>
      <c r="C371" s="1" t="n"/>
      <c r="D371" s="1" t="n"/>
      <c r="E371" s="1" t="n"/>
      <c r="F371" s="1" t="n"/>
      <c r="G371" s="1" t="n"/>
      <c r="H371" s="1" t="n"/>
      <c r="I371" s="1" t="n"/>
      <c r="J371" s="1" t="n"/>
      <c r="K371" s="1" t="n"/>
      <c r="L371" s="1" t="n"/>
      <c r="M371" s="1" t="n"/>
      <c r="N371" s="1" t="n"/>
    </row>
    <row r="372" ht="15.75" customHeight="1" s="311">
      <c r="A372" s="1" t="n"/>
      <c r="B372" s="1" t="n"/>
      <c r="C372" s="1" t="n"/>
      <c r="D372" s="1" t="n"/>
      <c r="E372" s="1" t="n"/>
      <c r="F372" s="1" t="n"/>
      <c r="G372" s="1" t="n"/>
      <c r="H372" s="1" t="n"/>
      <c r="I372" s="1" t="n"/>
      <c r="J372" s="1" t="n"/>
      <c r="K372" s="1" t="n"/>
      <c r="L372" s="1" t="n"/>
      <c r="M372" s="1" t="n"/>
      <c r="N372" s="1" t="n"/>
    </row>
    <row r="373" ht="15.75" customHeight="1" s="311">
      <c r="A373" s="1" t="n"/>
      <c r="B373" s="1" t="n"/>
      <c r="C373" s="1" t="n"/>
      <c r="D373" s="1" t="n"/>
      <c r="E373" s="1" t="n"/>
      <c r="F373" s="1" t="n"/>
      <c r="G373" s="1" t="n"/>
      <c r="H373" s="1" t="n"/>
      <c r="I373" s="1" t="n"/>
      <c r="J373" s="1" t="n"/>
      <c r="K373" s="1" t="n"/>
      <c r="L373" s="1" t="n"/>
      <c r="M373" s="1" t="n"/>
      <c r="N373" s="1" t="n"/>
    </row>
    <row r="374" ht="15.75" customHeight="1" s="311">
      <c r="A374" s="1" t="n"/>
      <c r="B374" s="1" t="n"/>
      <c r="C374" s="1" t="n"/>
      <c r="D374" s="1" t="n"/>
      <c r="E374" s="1" t="n"/>
      <c r="F374" s="1" t="n"/>
      <c r="G374" s="1" t="n"/>
      <c r="H374" s="1" t="n"/>
      <c r="I374" s="1" t="n"/>
      <c r="J374" s="1" t="n"/>
      <c r="K374" s="1" t="n"/>
      <c r="L374" s="1" t="n"/>
      <c r="M374" s="1" t="n"/>
      <c r="N374" s="1" t="n"/>
    </row>
    <row r="375" ht="15.75" customHeight="1" s="311">
      <c r="A375" s="1" t="n"/>
      <c r="B375" s="1" t="n"/>
      <c r="C375" s="1" t="n"/>
      <c r="D375" s="1" t="n"/>
      <c r="E375" s="1" t="n"/>
      <c r="F375" s="1" t="n"/>
      <c r="G375" s="1" t="n"/>
      <c r="H375" s="1" t="n"/>
      <c r="I375" s="1" t="n"/>
      <c r="J375" s="1" t="n"/>
      <c r="K375" s="1" t="n"/>
      <c r="L375" s="1" t="n"/>
      <c r="M375" s="1" t="n"/>
      <c r="N375" s="1" t="n"/>
    </row>
    <row r="376" ht="15.75" customHeight="1" s="311">
      <c r="A376" s="1" t="n"/>
      <c r="B376" s="1" t="n"/>
      <c r="C376" s="1" t="n"/>
      <c r="D376" s="1" t="n"/>
      <c r="E376" s="1" t="n"/>
      <c r="F376" s="1" t="n"/>
      <c r="G376" s="1" t="n"/>
      <c r="H376" s="1" t="n"/>
      <c r="I376" s="1" t="n"/>
      <c r="J376" s="1" t="n"/>
      <c r="K376" s="1" t="n"/>
      <c r="L376" s="1" t="n"/>
      <c r="M376" s="1" t="n"/>
      <c r="N376" s="1" t="n"/>
    </row>
    <row r="377" ht="15.75" customHeight="1" s="311">
      <c r="A377" s="1" t="n"/>
      <c r="B377" s="1" t="n"/>
      <c r="C377" s="1" t="n"/>
      <c r="D377" s="1" t="n"/>
      <c r="E377" s="1" t="n"/>
      <c r="F377" s="1" t="n"/>
      <c r="G377" s="1" t="n"/>
      <c r="H377" s="1" t="n"/>
      <c r="I377" s="1" t="n"/>
      <c r="J377" s="1" t="n"/>
      <c r="K377" s="1" t="n"/>
      <c r="L377" s="1" t="n"/>
      <c r="M377" s="1" t="n"/>
      <c r="N377" s="1" t="n"/>
    </row>
    <row r="378" ht="15.75" customHeight="1" s="311">
      <c r="A378" s="1" t="n"/>
      <c r="B378" s="1" t="n"/>
      <c r="C378" s="1" t="n"/>
      <c r="D378" s="1" t="n"/>
      <c r="E378" s="1" t="n"/>
      <c r="F378" s="1" t="n"/>
      <c r="G378" s="1" t="n"/>
      <c r="H378" s="1" t="n"/>
      <c r="I378" s="1" t="n"/>
      <c r="J378" s="1" t="n"/>
      <c r="K378" s="1" t="n"/>
      <c r="L378" s="1" t="n"/>
      <c r="M378" s="1" t="n"/>
      <c r="N378" s="1" t="n"/>
    </row>
    <row r="379" ht="15.75" customHeight="1" s="311">
      <c r="A379" s="1" t="n"/>
      <c r="B379" s="1" t="n"/>
      <c r="C379" s="1" t="n"/>
      <c r="D379" s="1" t="n"/>
      <c r="E379" s="1" t="n"/>
      <c r="F379" s="1" t="n"/>
      <c r="G379" s="1" t="n"/>
      <c r="H379" s="1" t="n"/>
      <c r="I379" s="1" t="n"/>
      <c r="J379" s="1" t="n"/>
      <c r="K379" s="1" t="n"/>
      <c r="L379" s="1" t="n"/>
      <c r="M379" s="1" t="n"/>
      <c r="N379" s="1" t="n"/>
    </row>
    <row r="380" ht="15.75" customHeight="1" s="311">
      <c r="A380" s="1" t="n"/>
      <c r="B380" s="1" t="n"/>
      <c r="C380" s="1" t="n"/>
      <c r="D380" s="1" t="n"/>
      <c r="E380" s="1" t="n"/>
      <c r="F380" s="1" t="n"/>
      <c r="G380" s="1" t="n"/>
      <c r="H380" s="1" t="n"/>
      <c r="I380" s="1" t="n"/>
      <c r="J380" s="1" t="n"/>
      <c r="K380" s="1" t="n"/>
      <c r="L380" s="1" t="n"/>
      <c r="M380" s="1" t="n"/>
      <c r="N380" s="1" t="n"/>
    </row>
    <row r="381" ht="15.75" customHeight="1" s="311">
      <c r="A381" s="1" t="n"/>
      <c r="B381" s="1" t="n"/>
      <c r="C381" s="1" t="n"/>
      <c r="D381" s="1" t="n"/>
      <c r="E381" s="1" t="n"/>
      <c r="F381" s="1" t="n"/>
      <c r="G381" s="1" t="n"/>
      <c r="H381" s="1" t="n"/>
      <c r="I381" s="1" t="n"/>
      <c r="J381" s="1" t="n"/>
      <c r="K381" s="1" t="n"/>
      <c r="L381" s="1" t="n"/>
      <c r="M381" s="1" t="n"/>
      <c r="N381" s="1" t="n"/>
    </row>
    <row r="382" ht="15.75" customHeight="1" s="311">
      <c r="A382" s="1" t="n"/>
      <c r="B382" s="1" t="n"/>
      <c r="C382" s="1" t="n"/>
      <c r="D382" s="1" t="n"/>
      <c r="E382" s="1" t="n"/>
      <c r="F382" s="1" t="n"/>
      <c r="G382" s="1" t="n"/>
      <c r="H382" s="1" t="n"/>
      <c r="I382" s="1" t="n"/>
      <c r="J382" s="1" t="n"/>
      <c r="K382" s="1" t="n"/>
      <c r="L382" s="1" t="n"/>
      <c r="M382" s="1" t="n"/>
      <c r="N382" s="1" t="n"/>
    </row>
    <row r="383" ht="15.75" customHeight="1" s="311">
      <c r="A383" s="1" t="n"/>
      <c r="B383" s="1" t="n"/>
      <c r="C383" s="1" t="n"/>
      <c r="D383" s="1" t="n"/>
      <c r="E383" s="1" t="n"/>
      <c r="F383" s="1" t="n"/>
      <c r="G383" s="1" t="n"/>
      <c r="H383" s="1" t="n"/>
      <c r="I383" s="1" t="n"/>
      <c r="J383" s="1" t="n"/>
      <c r="K383" s="1" t="n"/>
      <c r="L383" s="1" t="n"/>
      <c r="M383" s="1" t="n"/>
      <c r="N383" s="1" t="n"/>
    </row>
    <row r="384" ht="15.75" customHeight="1" s="311">
      <c r="A384" s="1" t="n"/>
      <c r="B384" s="1" t="n"/>
      <c r="C384" s="1" t="n"/>
      <c r="D384" s="1" t="n"/>
      <c r="E384" s="1" t="n"/>
      <c r="F384" s="1" t="n"/>
      <c r="G384" s="1" t="n"/>
      <c r="H384" s="1" t="n"/>
      <c r="I384" s="1" t="n"/>
      <c r="J384" s="1" t="n"/>
      <c r="K384" s="1" t="n"/>
      <c r="L384" s="1" t="n"/>
      <c r="M384" s="1" t="n"/>
      <c r="N384" s="1" t="n"/>
    </row>
    <row r="385" ht="15.75" customHeight="1" s="311">
      <c r="A385" s="1" t="n"/>
      <c r="B385" s="1" t="n"/>
      <c r="C385" s="1" t="n"/>
      <c r="D385" s="1" t="n"/>
      <c r="E385" s="1" t="n"/>
      <c r="F385" s="1" t="n"/>
      <c r="G385" s="1" t="n"/>
      <c r="H385" s="1" t="n"/>
      <c r="I385" s="1" t="n"/>
      <c r="J385" s="1" t="n"/>
      <c r="K385" s="1" t="n"/>
      <c r="L385" s="1" t="n"/>
      <c r="M385" s="1" t="n"/>
      <c r="N385" s="1" t="n"/>
    </row>
    <row r="386" ht="15.75" customHeight="1" s="311">
      <c r="A386" s="1" t="n"/>
      <c r="B386" s="1" t="n"/>
      <c r="C386" s="1" t="n"/>
      <c r="D386" s="1" t="n"/>
      <c r="E386" s="1" t="n"/>
      <c r="F386" s="1" t="n"/>
      <c r="G386" s="1" t="n"/>
      <c r="H386" s="1" t="n"/>
      <c r="I386" s="1" t="n"/>
      <c r="J386" s="1" t="n"/>
      <c r="K386" s="1" t="n"/>
      <c r="L386" s="1" t="n"/>
      <c r="M386" s="1" t="n"/>
      <c r="N386" s="1" t="n"/>
    </row>
    <row r="387" ht="15.75" customHeight="1" s="311">
      <c r="A387" s="1" t="n"/>
      <c r="B387" s="1" t="n"/>
      <c r="C387" s="1" t="n"/>
      <c r="D387" s="1" t="n"/>
      <c r="E387" s="1" t="n"/>
      <c r="F387" s="1" t="n"/>
      <c r="G387" s="1" t="n"/>
      <c r="H387" s="1" t="n"/>
      <c r="I387" s="1" t="n"/>
      <c r="J387" s="1" t="n"/>
      <c r="K387" s="1" t="n"/>
      <c r="L387" s="1" t="n"/>
      <c r="M387" s="1" t="n"/>
      <c r="N387" s="1" t="n"/>
    </row>
    <row r="388" ht="15.75" customHeight="1" s="311">
      <c r="A388" s="1" t="n"/>
      <c r="B388" s="1" t="n"/>
      <c r="C388" s="1" t="n"/>
      <c r="D388" s="1" t="n"/>
      <c r="E388" s="1" t="n"/>
      <c r="F388" s="1" t="n"/>
      <c r="G388" s="1" t="n"/>
      <c r="H388" s="1" t="n"/>
      <c r="I388" s="1" t="n"/>
      <c r="J388" s="1" t="n"/>
      <c r="K388" s="1" t="n"/>
      <c r="L388" s="1" t="n"/>
      <c r="M388" s="1" t="n"/>
      <c r="N388" s="1" t="n"/>
    </row>
    <row r="389" ht="15.75" customHeight="1" s="311">
      <c r="A389" s="1" t="n"/>
      <c r="B389" s="1" t="n"/>
      <c r="C389" s="1" t="n"/>
      <c r="D389" s="1" t="n"/>
      <c r="E389" s="1" t="n"/>
      <c r="F389" s="1" t="n"/>
      <c r="G389" s="1" t="n"/>
      <c r="H389" s="1" t="n"/>
      <c r="I389" s="1" t="n"/>
      <c r="J389" s="1" t="n"/>
      <c r="K389" s="1" t="n"/>
      <c r="L389" s="1" t="n"/>
      <c r="M389" s="1" t="n"/>
      <c r="N389" s="1" t="n"/>
    </row>
    <row r="390" ht="15.75" customHeight="1" s="311">
      <c r="A390" s="1" t="n"/>
      <c r="B390" s="1" t="n"/>
      <c r="C390" s="1" t="n"/>
      <c r="D390" s="1" t="n"/>
      <c r="E390" s="1" t="n"/>
      <c r="F390" s="1" t="n"/>
      <c r="G390" s="1" t="n"/>
      <c r="H390" s="1" t="n"/>
      <c r="I390" s="1" t="n"/>
      <c r="J390" s="1" t="n"/>
      <c r="K390" s="1" t="n"/>
      <c r="L390" s="1" t="n"/>
      <c r="M390" s="1" t="n"/>
      <c r="N390" s="1" t="n"/>
    </row>
    <row r="391" ht="15.75" customHeight="1" s="311">
      <c r="A391" s="1" t="n"/>
      <c r="B391" s="1" t="n"/>
      <c r="C391" s="1" t="n"/>
      <c r="D391" s="1" t="n"/>
      <c r="E391" s="1" t="n"/>
      <c r="F391" s="1" t="n"/>
      <c r="G391" s="1" t="n"/>
      <c r="H391" s="1" t="n"/>
      <c r="I391" s="1" t="n"/>
      <c r="J391" s="1" t="n"/>
      <c r="K391" s="1" t="n"/>
      <c r="L391" s="1" t="n"/>
      <c r="M391" s="1" t="n"/>
      <c r="N391" s="1" t="n"/>
    </row>
    <row r="392" ht="15.75" customHeight="1" s="311">
      <c r="A392" s="1" t="n"/>
      <c r="B392" s="1" t="n"/>
      <c r="C392" s="1" t="n"/>
      <c r="D392" s="1" t="n"/>
      <c r="E392" s="1" t="n"/>
      <c r="F392" s="1" t="n"/>
      <c r="G392" s="1" t="n"/>
      <c r="H392" s="1" t="n"/>
      <c r="I392" s="1" t="n"/>
      <c r="J392" s="1" t="n"/>
      <c r="K392" s="1" t="n"/>
      <c r="L392" s="1" t="n"/>
      <c r="M392" s="1" t="n"/>
      <c r="N392" s="1" t="n"/>
    </row>
    <row r="393" ht="15.75" customHeight="1" s="311">
      <c r="A393" s="1" t="n"/>
      <c r="B393" s="1" t="n"/>
      <c r="C393" s="1" t="n"/>
      <c r="D393" s="1" t="n"/>
      <c r="E393" s="1" t="n"/>
      <c r="F393" s="1" t="n"/>
      <c r="G393" s="1" t="n"/>
      <c r="H393" s="1" t="n"/>
      <c r="I393" s="1" t="n"/>
      <c r="J393" s="1" t="n"/>
      <c r="K393" s="1" t="n"/>
      <c r="L393" s="1" t="n"/>
      <c r="M393" s="1" t="n"/>
      <c r="N393" s="1" t="n"/>
    </row>
    <row r="394" ht="15.75" customHeight="1" s="311">
      <c r="A394" s="1" t="n"/>
      <c r="B394" s="1" t="n"/>
      <c r="C394" s="1" t="n"/>
      <c r="D394" s="1" t="n"/>
      <c r="E394" s="1" t="n"/>
      <c r="F394" s="1" t="n"/>
      <c r="G394" s="1" t="n"/>
      <c r="H394" s="1" t="n"/>
      <c r="I394" s="1" t="n"/>
      <c r="J394" s="1" t="n"/>
      <c r="K394" s="1" t="n"/>
      <c r="L394" s="1" t="n"/>
      <c r="M394" s="1" t="n"/>
      <c r="N394" s="1" t="n"/>
    </row>
    <row r="395" ht="15.75" customHeight="1" s="311">
      <c r="A395" s="1" t="n"/>
      <c r="B395" s="1" t="n"/>
      <c r="C395" s="1" t="n"/>
      <c r="D395" s="1" t="n"/>
      <c r="E395" s="1" t="n"/>
      <c r="F395" s="1" t="n"/>
      <c r="G395" s="1" t="n"/>
      <c r="H395" s="1" t="n"/>
      <c r="I395" s="1" t="n"/>
      <c r="J395" s="1" t="n"/>
      <c r="K395" s="1" t="n"/>
      <c r="L395" s="1" t="n"/>
      <c r="M395" s="1" t="n"/>
      <c r="N395" s="1" t="n"/>
    </row>
    <row r="396" ht="15.75" customHeight="1" s="311">
      <c r="A396" s="1" t="n"/>
      <c r="B396" s="1" t="n"/>
      <c r="C396" s="1" t="n"/>
      <c r="D396" s="1" t="n"/>
      <c r="E396" s="1" t="n"/>
      <c r="F396" s="1" t="n"/>
      <c r="G396" s="1" t="n"/>
      <c r="H396" s="1" t="n"/>
      <c r="I396" s="1" t="n"/>
      <c r="J396" s="1" t="n"/>
      <c r="K396" s="1" t="n"/>
      <c r="L396" s="1" t="n"/>
      <c r="M396" s="1" t="n"/>
      <c r="N396" s="1" t="n"/>
    </row>
    <row r="397" ht="15.75" customHeight="1" s="311">
      <c r="A397" s="1" t="n"/>
      <c r="B397" s="1" t="n"/>
      <c r="C397" s="1" t="n"/>
      <c r="D397" s="1" t="n"/>
      <c r="E397" s="1" t="n"/>
      <c r="F397" s="1" t="n"/>
      <c r="G397" s="1" t="n"/>
      <c r="H397" s="1" t="n"/>
      <c r="I397" s="1" t="n"/>
      <c r="J397" s="1" t="n"/>
      <c r="K397" s="1" t="n"/>
      <c r="L397" s="1" t="n"/>
      <c r="M397" s="1" t="n"/>
      <c r="N397" s="1" t="n"/>
    </row>
    <row r="398" ht="15.75" customHeight="1" s="311">
      <c r="A398" s="1" t="n"/>
      <c r="B398" s="1" t="n"/>
      <c r="C398" s="1" t="n"/>
      <c r="D398" s="1" t="n"/>
      <c r="E398" s="1" t="n"/>
      <c r="F398" s="1" t="n"/>
      <c r="G398" s="1" t="n"/>
      <c r="H398" s="1" t="n"/>
      <c r="I398" s="1" t="n"/>
      <c r="J398" s="1" t="n"/>
      <c r="K398" s="1" t="n"/>
      <c r="L398" s="1" t="n"/>
      <c r="M398" s="1" t="n"/>
      <c r="N398" s="1" t="n"/>
    </row>
    <row r="399" ht="15.75" customHeight="1" s="311">
      <c r="A399" s="1" t="n"/>
      <c r="B399" s="1" t="n"/>
      <c r="C399" s="1" t="n"/>
      <c r="D399" s="1" t="n"/>
      <c r="E399" s="1" t="n"/>
      <c r="F399" s="1" t="n"/>
      <c r="G399" s="1" t="n"/>
      <c r="H399" s="1" t="n"/>
      <c r="I399" s="1" t="n"/>
      <c r="J399" s="1" t="n"/>
      <c r="K399" s="1" t="n"/>
      <c r="L399" s="1" t="n"/>
      <c r="M399" s="1" t="n"/>
      <c r="N399" s="1" t="n"/>
    </row>
    <row r="400" ht="15.75" customHeight="1" s="311">
      <c r="A400" s="1" t="n"/>
      <c r="B400" s="1" t="n"/>
      <c r="C400" s="1" t="n"/>
      <c r="D400" s="1" t="n"/>
      <c r="E400" s="1" t="n"/>
      <c r="F400" s="1" t="n"/>
      <c r="G400" s="1" t="n"/>
      <c r="H400" s="1" t="n"/>
      <c r="I400" s="1" t="n"/>
      <c r="J400" s="1" t="n"/>
      <c r="K400" s="1" t="n"/>
      <c r="L400" s="1" t="n"/>
      <c r="M400" s="1" t="n"/>
      <c r="N400" s="1" t="n"/>
    </row>
    <row r="401" ht="15.75" customHeight="1" s="311">
      <c r="A401" s="1" t="n"/>
      <c r="B401" s="1" t="n"/>
      <c r="C401" s="1" t="n"/>
      <c r="D401" s="1" t="n"/>
      <c r="E401" s="1" t="n"/>
      <c r="F401" s="1" t="n"/>
      <c r="G401" s="1" t="n"/>
      <c r="H401" s="1" t="n"/>
      <c r="I401" s="1" t="n"/>
      <c r="J401" s="1" t="n"/>
      <c r="K401" s="1" t="n"/>
      <c r="L401" s="1" t="n"/>
      <c r="M401" s="1" t="n"/>
      <c r="N401" s="1" t="n"/>
    </row>
    <row r="402" ht="15.75" customHeight="1" s="311">
      <c r="A402" s="1" t="n"/>
      <c r="B402" s="1" t="n"/>
      <c r="C402" s="1" t="n"/>
      <c r="D402" s="1" t="n"/>
      <c r="E402" s="1" t="n"/>
      <c r="F402" s="1" t="n"/>
      <c r="G402" s="1" t="n"/>
      <c r="H402" s="1" t="n"/>
      <c r="I402" s="1" t="n"/>
      <c r="J402" s="1" t="n"/>
      <c r="K402" s="1" t="n"/>
      <c r="L402" s="1" t="n"/>
      <c r="M402" s="1" t="n"/>
      <c r="N402" s="1" t="n"/>
    </row>
    <row r="403" ht="15.75" customHeight="1" s="311">
      <c r="A403" s="1" t="n"/>
      <c r="B403" s="1" t="n"/>
      <c r="C403" s="1" t="n"/>
      <c r="D403" s="1" t="n"/>
      <c r="E403" s="1" t="n"/>
      <c r="F403" s="1" t="n"/>
      <c r="G403" s="1" t="n"/>
      <c r="H403" s="1" t="n"/>
      <c r="I403" s="1" t="n"/>
      <c r="J403" s="1" t="n"/>
      <c r="K403" s="1" t="n"/>
      <c r="L403" s="1" t="n"/>
      <c r="M403" s="1" t="n"/>
      <c r="N403" s="1" t="n"/>
    </row>
    <row r="404" ht="15.75" customHeight="1" s="311">
      <c r="A404" s="1" t="n"/>
      <c r="B404" s="1" t="n"/>
      <c r="C404" s="1" t="n"/>
      <c r="D404" s="1" t="n"/>
      <c r="E404" s="1" t="n"/>
      <c r="F404" s="1" t="n"/>
      <c r="G404" s="1" t="n"/>
      <c r="H404" s="1" t="n"/>
      <c r="I404" s="1" t="n"/>
      <c r="J404" s="1" t="n"/>
      <c r="K404" s="1" t="n"/>
      <c r="L404" s="1" t="n"/>
      <c r="M404" s="1" t="n"/>
      <c r="N404" s="1" t="n"/>
    </row>
    <row r="405" ht="15.75" customHeight="1" s="311">
      <c r="A405" s="1" t="n"/>
      <c r="B405" s="1" t="n"/>
      <c r="C405" s="1" t="n"/>
      <c r="D405" s="1" t="n"/>
      <c r="E405" s="1" t="n"/>
      <c r="F405" s="1" t="n"/>
      <c r="G405" s="1" t="n"/>
      <c r="H405" s="1" t="n"/>
      <c r="I405" s="1" t="n"/>
      <c r="J405" s="1" t="n"/>
      <c r="K405" s="1" t="n"/>
      <c r="L405" s="1" t="n"/>
      <c r="M405" s="1" t="n"/>
      <c r="N405" s="1" t="n"/>
    </row>
    <row r="406" ht="15.75" customHeight="1" s="311">
      <c r="A406" s="1" t="n"/>
      <c r="B406" s="1" t="n"/>
      <c r="C406" s="1" t="n"/>
      <c r="D406" s="1" t="n"/>
      <c r="E406" s="1" t="n"/>
      <c r="F406" s="1" t="n"/>
      <c r="G406" s="1" t="n"/>
      <c r="H406" s="1" t="n"/>
      <c r="I406" s="1" t="n"/>
      <c r="J406" s="1" t="n"/>
      <c r="K406" s="1" t="n"/>
      <c r="L406" s="1" t="n"/>
      <c r="M406" s="1" t="n"/>
      <c r="N406" s="1" t="n"/>
    </row>
    <row r="407" ht="15.75" customHeight="1" s="311">
      <c r="A407" s="1" t="n"/>
      <c r="B407" s="1" t="n"/>
      <c r="C407" s="1" t="n"/>
      <c r="D407" s="1" t="n"/>
      <c r="E407" s="1" t="n"/>
      <c r="F407" s="1" t="n"/>
      <c r="G407" s="1" t="n"/>
      <c r="H407" s="1" t="n"/>
      <c r="I407" s="1" t="n"/>
      <c r="J407" s="1" t="n"/>
      <c r="K407" s="1" t="n"/>
      <c r="L407" s="1" t="n"/>
      <c r="M407" s="1" t="n"/>
      <c r="N407" s="1" t="n"/>
    </row>
    <row r="408" ht="15.75" customHeight="1" s="311">
      <c r="A408" s="1" t="n"/>
      <c r="B408" s="1" t="n"/>
      <c r="C408" s="1" t="n"/>
      <c r="D408" s="1" t="n"/>
      <c r="E408" s="1" t="n"/>
      <c r="F408" s="1" t="n"/>
      <c r="G408" s="1" t="n"/>
      <c r="H408" s="1" t="n"/>
      <c r="I408" s="1" t="n"/>
      <c r="J408" s="1" t="n"/>
      <c r="K408" s="1" t="n"/>
      <c r="L408" s="1" t="n"/>
      <c r="M408" s="1" t="n"/>
      <c r="N408" s="1" t="n"/>
    </row>
    <row r="409" ht="15.75" customHeight="1" s="311">
      <c r="A409" s="1" t="n"/>
      <c r="B409" s="1" t="n"/>
      <c r="C409" s="1" t="n"/>
      <c r="D409" s="1" t="n"/>
      <c r="E409" s="1" t="n"/>
      <c r="F409" s="1" t="n"/>
      <c r="G409" s="1" t="n"/>
      <c r="H409" s="1" t="n"/>
      <c r="I409" s="1" t="n"/>
      <c r="J409" s="1" t="n"/>
      <c r="K409" s="1" t="n"/>
      <c r="L409" s="1" t="n"/>
      <c r="M409" s="1" t="n"/>
      <c r="N409" s="1" t="n"/>
    </row>
    <row r="410" ht="15.75" customHeight="1" s="311">
      <c r="A410" s="1" t="n"/>
      <c r="B410" s="1" t="n"/>
      <c r="C410" s="1" t="n"/>
      <c r="D410" s="1" t="n"/>
      <c r="E410" s="1" t="n"/>
      <c r="F410" s="1" t="n"/>
      <c r="G410" s="1" t="n"/>
      <c r="H410" s="1" t="n"/>
      <c r="I410" s="1" t="n"/>
      <c r="J410" s="1" t="n"/>
      <c r="K410" s="1" t="n"/>
      <c r="L410" s="1" t="n"/>
      <c r="M410" s="1" t="n"/>
      <c r="N410" s="1" t="n"/>
    </row>
    <row r="411" ht="15.75" customHeight="1" s="311">
      <c r="A411" s="1" t="n"/>
      <c r="B411" s="1" t="n"/>
      <c r="C411" s="1" t="n"/>
      <c r="D411" s="1" t="n"/>
      <c r="E411" s="1" t="n"/>
      <c r="F411" s="1" t="n"/>
      <c r="G411" s="1" t="n"/>
      <c r="H411" s="1" t="n"/>
      <c r="I411" s="1" t="n"/>
      <c r="J411" s="1" t="n"/>
      <c r="K411" s="1" t="n"/>
      <c r="L411" s="1" t="n"/>
      <c r="M411" s="1" t="n"/>
      <c r="N411" s="1" t="n"/>
    </row>
    <row r="412" ht="15.75" customHeight="1" s="311">
      <c r="A412" s="1" t="n"/>
      <c r="B412" s="1" t="n"/>
      <c r="C412" s="1" t="n"/>
      <c r="D412" s="1" t="n"/>
      <c r="E412" s="1" t="n"/>
      <c r="F412" s="1" t="n"/>
      <c r="G412" s="1" t="n"/>
      <c r="H412" s="1" t="n"/>
      <c r="I412" s="1" t="n"/>
      <c r="J412" s="1" t="n"/>
      <c r="K412" s="1" t="n"/>
      <c r="L412" s="1" t="n"/>
      <c r="M412" s="1" t="n"/>
      <c r="N412" s="1" t="n"/>
    </row>
    <row r="413" ht="15.75" customHeight="1" s="311">
      <c r="A413" s="1" t="n"/>
      <c r="B413" s="1" t="n"/>
      <c r="C413" s="1" t="n"/>
      <c r="D413" s="1" t="n"/>
      <c r="E413" s="1" t="n"/>
      <c r="F413" s="1" t="n"/>
      <c r="G413" s="1" t="n"/>
      <c r="H413" s="1" t="n"/>
      <c r="I413" s="1" t="n"/>
      <c r="J413" s="1" t="n"/>
      <c r="K413" s="1" t="n"/>
      <c r="L413" s="1" t="n"/>
      <c r="M413" s="1" t="n"/>
      <c r="N413" s="1" t="n"/>
    </row>
    <row r="414" ht="15.75" customHeight="1" s="311">
      <c r="A414" s="1" t="n"/>
      <c r="B414" s="1" t="n"/>
      <c r="C414" s="1" t="n"/>
      <c r="D414" s="1" t="n"/>
      <c r="E414" s="1" t="n"/>
      <c r="F414" s="1" t="n"/>
      <c r="G414" s="1" t="n"/>
      <c r="H414" s="1" t="n"/>
      <c r="I414" s="1" t="n"/>
      <c r="J414" s="1" t="n"/>
      <c r="K414" s="1" t="n"/>
      <c r="L414" s="1" t="n"/>
      <c r="M414" s="1" t="n"/>
      <c r="N414" s="1" t="n"/>
    </row>
    <row r="415" ht="15.75" customHeight="1" s="311">
      <c r="A415" s="1" t="n"/>
      <c r="B415" s="1" t="n"/>
      <c r="C415" s="1" t="n"/>
      <c r="D415" s="1" t="n"/>
      <c r="E415" s="1" t="n"/>
      <c r="F415" s="1" t="n"/>
      <c r="G415" s="1" t="n"/>
      <c r="H415" s="1" t="n"/>
      <c r="I415" s="1" t="n"/>
      <c r="J415" s="1" t="n"/>
      <c r="K415" s="1" t="n"/>
      <c r="L415" s="1" t="n"/>
      <c r="M415" s="1" t="n"/>
      <c r="N415" s="1" t="n"/>
    </row>
    <row r="416" ht="15.75" customHeight="1" s="311">
      <c r="A416" s="1" t="n"/>
      <c r="B416" s="1" t="n"/>
      <c r="C416" s="1" t="n"/>
      <c r="D416" s="1" t="n"/>
      <c r="E416" s="1" t="n"/>
      <c r="F416" s="1" t="n"/>
      <c r="G416" s="1" t="n"/>
      <c r="H416" s="1" t="n"/>
      <c r="I416" s="1" t="n"/>
      <c r="J416" s="1" t="n"/>
      <c r="K416" s="1" t="n"/>
      <c r="L416" s="1" t="n"/>
      <c r="M416" s="1" t="n"/>
      <c r="N416" s="1" t="n"/>
    </row>
    <row r="417" ht="15.75" customHeight="1" s="311">
      <c r="A417" s="1" t="n"/>
      <c r="B417" s="1" t="n"/>
      <c r="C417" s="1" t="n"/>
      <c r="D417" s="1" t="n"/>
      <c r="E417" s="1" t="n"/>
      <c r="F417" s="1" t="n"/>
      <c r="G417" s="1" t="n"/>
      <c r="H417" s="1" t="n"/>
      <c r="I417" s="1" t="n"/>
      <c r="J417" s="1" t="n"/>
      <c r="K417" s="1" t="n"/>
      <c r="L417" s="1" t="n"/>
      <c r="M417" s="1" t="n"/>
      <c r="N417" s="1" t="n"/>
    </row>
    <row r="418" ht="15.75" customHeight="1" s="311">
      <c r="A418" s="1" t="n"/>
      <c r="B418" s="1" t="n"/>
      <c r="C418" s="1" t="n"/>
      <c r="D418" s="1" t="n"/>
      <c r="E418" s="1" t="n"/>
      <c r="F418" s="1" t="n"/>
      <c r="G418" s="1" t="n"/>
      <c r="H418" s="1" t="n"/>
      <c r="I418" s="1" t="n"/>
      <c r="J418" s="1" t="n"/>
      <c r="K418" s="1" t="n"/>
      <c r="L418" s="1" t="n"/>
      <c r="M418" s="1" t="n"/>
      <c r="N418" s="1" t="n"/>
    </row>
    <row r="419" ht="15.75" customHeight="1" s="311">
      <c r="A419" s="1" t="n"/>
      <c r="B419" s="1" t="n"/>
      <c r="C419" s="1" t="n"/>
      <c r="D419" s="1" t="n"/>
      <c r="E419" s="1" t="n"/>
      <c r="F419" s="1" t="n"/>
      <c r="G419" s="1" t="n"/>
      <c r="H419" s="1" t="n"/>
      <c r="I419" s="1" t="n"/>
      <c r="J419" s="1" t="n"/>
      <c r="K419" s="1" t="n"/>
      <c r="L419" s="1" t="n"/>
      <c r="M419" s="1" t="n"/>
      <c r="N419" s="1" t="n"/>
    </row>
    <row r="420" ht="15.75" customHeight="1" s="311">
      <c r="A420" s="1" t="n"/>
      <c r="B420" s="1" t="n"/>
      <c r="C420" s="1" t="n"/>
      <c r="D420" s="1" t="n"/>
      <c r="E420" s="1" t="n"/>
      <c r="F420" s="1" t="n"/>
      <c r="G420" s="1" t="n"/>
      <c r="H420" s="1" t="n"/>
      <c r="I420" s="1" t="n"/>
      <c r="J420" s="1" t="n"/>
      <c r="K420" s="1" t="n"/>
      <c r="L420" s="1" t="n"/>
      <c r="M420" s="1" t="n"/>
      <c r="N420" s="1" t="n"/>
    </row>
    <row r="421" ht="15.75" customHeight="1" s="311">
      <c r="A421" s="1" t="n"/>
      <c r="B421" s="1" t="n"/>
      <c r="C421" s="1" t="n"/>
      <c r="D421" s="1" t="n"/>
      <c r="E421" s="1" t="n"/>
      <c r="F421" s="1" t="n"/>
      <c r="G421" s="1" t="n"/>
      <c r="H421" s="1" t="n"/>
      <c r="I421" s="1" t="n"/>
      <c r="J421" s="1" t="n"/>
      <c r="K421" s="1" t="n"/>
      <c r="L421" s="1" t="n"/>
      <c r="M421" s="1" t="n"/>
      <c r="N421" s="1" t="n"/>
    </row>
    <row r="422" ht="15.75" customHeight="1" s="311">
      <c r="A422" s="1" t="n"/>
      <c r="B422" s="1" t="n"/>
      <c r="C422" s="1" t="n"/>
      <c r="D422" s="1" t="n"/>
      <c r="E422" s="1" t="n"/>
      <c r="F422" s="1" t="n"/>
      <c r="G422" s="1" t="n"/>
      <c r="H422" s="1" t="n"/>
      <c r="I422" s="1" t="n"/>
      <c r="J422" s="1" t="n"/>
      <c r="K422" s="1" t="n"/>
      <c r="L422" s="1" t="n"/>
      <c r="M422" s="1" t="n"/>
      <c r="N422" s="1" t="n"/>
    </row>
    <row r="423" ht="15.75" customHeight="1" s="311">
      <c r="A423" s="1" t="n"/>
      <c r="B423" s="1" t="n"/>
      <c r="C423" s="1" t="n"/>
      <c r="D423" s="1" t="n"/>
      <c r="E423" s="1" t="n"/>
      <c r="F423" s="1" t="n"/>
      <c r="G423" s="1" t="n"/>
      <c r="H423" s="1" t="n"/>
      <c r="I423" s="1" t="n"/>
      <c r="J423" s="1" t="n"/>
      <c r="K423" s="1" t="n"/>
      <c r="L423" s="1" t="n"/>
      <c r="M423" s="1" t="n"/>
      <c r="N423" s="1" t="n"/>
    </row>
    <row r="424" ht="15.75" customHeight="1" s="311">
      <c r="A424" s="1" t="n"/>
      <c r="B424" s="1" t="n"/>
      <c r="C424" s="1" t="n"/>
      <c r="D424" s="1" t="n"/>
      <c r="E424" s="1" t="n"/>
      <c r="F424" s="1" t="n"/>
      <c r="G424" s="1" t="n"/>
      <c r="H424" s="1" t="n"/>
      <c r="I424" s="1" t="n"/>
      <c r="J424" s="1" t="n"/>
      <c r="K424" s="1" t="n"/>
      <c r="L424" s="1" t="n"/>
      <c r="M424" s="1" t="n"/>
      <c r="N424" s="1" t="n"/>
    </row>
    <row r="425" ht="15.75" customHeight="1" s="311">
      <c r="A425" s="1" t="n"/>
      <c r="B425" s="1" t="n"/>
      <c r="C425" s="1" t="n"/>
      <c r="D425" s="1" t="n"/>
      <c r="E425" s="1" t="n"/>
      <c r="F425" s="1" t="n"/>
      <c r="G425" s="1" t="n"/>
      <c r="H425" s="1" t="n"/>
      <c r="I425" s="1" t="n"/>
      <c r="J425" s="1" t="n"/>
      <c r="K425" s="1" t="n"/>
      <c r="L425" s="1" t="n"/>
      <c r="M425" s="1" t="n"/>
      <c r="N425" s="1" t="n"/>
    </row>
    <row r="426" ht="15.75" customHeight="1" s="311">
      <c r="A426" s="1" t="n"/>
      <c r="B426" s="1" t="n"/>
      <c r="C426" s="1" t="n"/>
      <c r="D426" s="1" t="n"/>
      <c r="E426" s="1" t="n"/>
      <c r="F426" s="1" t="n"/>
      <c r="G426" s="1" t="n"/>
      <c r="H426" s="1" t="n"/>
      <c r="I426" s="1" t="n"/>
      <c r="J426" s="1" t="n"/>
      <c r="K426" s="1" t="n"/>
      <c r="L426" s="1" t="n"/>
      <c r="M426" s="1" t="n"/>
      <c r="N426" s="1" t="n"/>
    </row>
    <row r="427" ht="15.75" customHeight="1" s="311">
      <c r="A427" s="1" t="n"/>
      <c r="B427" s="1" t="n"/>
      <c r="C427" s="1" t="n"/>
      <c r="D427" s="1" t="n"/>
      <c r="E427" s="1" t="n"/>
      <c r="F427" s="1" t="n"/>
      <c r="G427" s="1" t="n"/>
      <c r="H427" s="1" t="n"/>
      <c r="I427" s="1" t="n"/>
      <c r="J427" s="1" t="n"/>
      <c r="K427" s="1" t="n"/>
      <c r="L427" s="1" t="n"/>
      <c r="M427" s="1" t="n"/>
      <c r="N427" s="1" t="n"/>
    </row>
    <row r="428" ht="15.75" customHeight="1" s="311">
      <c r="A428" s="1" t="n"/>
      <c r="B428" s="1" t="n"/>
      <c r="C428" s="1" t="n"/>
      <c r="D428" s="1" t="n"/>
      <c r="E428" s="1" t="n"/>
      <c r="F428" s="1" t="n"/>
      <c r="G428" s="1" t="n"/>
      <c r="H428" s="1" t="n"/>
      <c r="I428" s="1" t="n"/>
      <c r="J428" s="1" t="n"/>
      <c r="K428" s="1" t="n"/>
      <c r="L428" s="1" t="n"/>
      <c r="M428" s="1" t="n"/>
      <c r="N428" s="1" t="n"/>
    </row>
    <row r="429" ht="15.75" customHeight="1" s="311">
      <c r="A429" s="1" t="n"/>
      <c r="B429" s="1" t="n"/>
      <c r="C429" s="1" t="n"/>
      <c r="D429" s="1" t="n"/>
      <c r="E429" s="1" t="n"/>
      <c r="F429" s="1" t="n"/>
      <c r="G429" s="1" t="n"/>
      <c r="H429" s="1" t="n"/>
      <c r="I429" s="1" t="n"/>
      <c r="J429" s="1" t="n"/>
      <c r="K429" s="1" t="n"/>
      <c r="L429" s="1" t="n"/>
      <c r="M429" s="1" t="n"/>
      <c r="N429" s="1" t="n"/>
    </row>
    <row r="430" ht="15.75" customHeight="1" s="311">
      <c r="A430" s="1" t="n"/>
      <c r="B430" s="1" t="n"/>
      <c r="C430" s="1" t="n"/>
      <c r="D430" s="1" t="n"/>
      <c r="E430" s="1" t="n"/>
      <c r="F430" s="1" t="n"/>
      <c r="G430" s="1" t="n"/>
      <c r="H430" s="1" t="n"/>
      <c r="I430" s="1" t="n"/>
      <c r="J430" s="1" t="n"/>
      <c r="K430" s="1" t="n"/>
      <c r="L430" s="1" t="n"/>
      <c r="M430" s="1" t="n"/>
      <c r="N430" s="1" t="n"/>
    </row>
    <row r="431" ht="15.75" customHeight="1" s="311">
      <c r="A431" s="1" t="n"/>
      <c r="B431" s="1" t="n"/>
      <c r="C431" s="1" t="n"/>
      <c r="D431" s="1" t="n"/>
      <c r="E431" s="1" t="n"/>
      <c r="F431" s="1" t="n"/>
      <c r="G431" s="1" t="n"/>
      <c r="H431" s="1" t="n"/>
      <c r="I431" s="1" t="n"/>
      <c r="J431" s="1" t="n"/>
      <c r="K431" s="1" t="n"/>
      <c r="L431" s="1" t="n"/>
      <c r="M431" s="1" t="n"/>
      <c r="N431" s="1" t="n"/>
    </row>
    <row r="432" ht="15.75" customHeight="1" s="311">
      <c r="A432" s="1" t="n"/>
      <c r="B432" s="1" t="n"/>
      <c r="C432" s="1" t="n"/>
      <c r="D432" s="1" t="n"/>
      <c r="E432" s="1" t="n"/>
      <c r="F432" s="1" t="n"/>
      <c r="G432" s="1" t="n"/>
      <c r="H432" s="1" t="n"/>
      <c r="I432" s="1" t="n"/>
      <c r="J432" s="1" t="n"/>
      <c r="K432" s="1" t="n"/>
      <c r="L432" s="1" t="n"/>
      <c r="M432" s="1" t="n"/>
      <c r="N432" s="1" t="n"/>
    </row>
    <row r="433" ht="15.75" customHeight="1" s="311">
      <c r="A433" s="1" t="n"/>
      <c r="B433" s="1" t="n"/>
      <c r="C433" s="1" t="n"/>
      <c r="D433" s="1" t="n"/>
      <c r="E433" s="1" t="n"/>
      <c r="F433" s="1" t="n"/>
      <c r="G433" s="1" t="n"/>
      <c r="H433" s="1" t="n"/>
      <c r="I433" s="1" t="n"/>
      <c r="J433" s="1" t="n"/>
      <c r="K433" s="1" t="n"/>
      <c r="L433" s="1" t="n"/>
      <c r="M433" s="1" t="n"/>
      <c r="N433" s="1" t="n"/>
    </row>
    <row r="434" ht="15.75" customHeight="1" s="311">
      <c r="A434" s="1" t="n"/>
      <c r="B434" s="1" t="n"/>
      <c r="C434" s="1" t="n"/>
      <c r="D434" s="1" t="n"/>
      <c r="E434" s="1" t="n"/>
      <c r="F434" s="1" t="n"/>
      <c r="G434" s="1" t="n"/>
      <c r="H434" s="1" t="n"/>
      <c r="I434" s="1" t="n"/>
      <c r="J434" s="1" t="n"/>
      <c r="K434" s="1" t="n"/>
      <c r="L434" s="1" t="n"/>
      <c r="M434" s="1" t="n"/>
      <c r="N434" s="1" t="n"/>
    </row>
    <row r="435" ht="15.75" customHeight="1" s="311">
      <c r="A435" s="1" t="n"/>
      <c r="B435" s="1" t="n"/>
      <c r="C435" s="1" t="n"/>
      <c r="D435" s="1" t="n"/>
      <c r="E435" s="1" t="n"/>
      <c r="F435" s="1" t="n"/>
      <c r="G435" s="1" t="n"/>
      <c r="H435" s="1" t="n"/>
      <c r="I435" s="1" t="n"/>
      <c r="J435" s="1" t="n"/>
      <c r="K435" s="1" t="n"/>
      <c r="L435" s="1" t="n"/>
      <c r="M435" s="1" t="n"/>
      <c r="N435" s="1" t="n"/>
    </row>
    <row r="436" ht="15.75" customHeight="1" s="311">
      <c r="A436" s="1" t="n"/>
      <c r="B436" s="1" t="n"/>
      <c r="C436" s="1" t="n"/>
      <c r="D436" s="1" t="n"/>
      <c r="E436" s="1" t="n"/>
      <c r="F436" s="1" t="n"/>
      <c r="G436" s="1" t="n"/>
      <c r="H436" s="1" t="n"/>
      <c r="I436" s="1" t="n"/>
      <c r="J436" s="1" t="n"/>
      <c r="K436" s="1" t="n"/>
      <c r="L436" s="1" t="n"/>
      <c r="M436" s="1" t="n"/>
      <c r="N436" s="1" t="n"/>
    </row>
    <row r="437" ht="15.75" customHeight="1" s="311">
      <c r="A437" s="1" t="n"/>
      <c r="B437" s="1" t="n"/>
      <c r="C437" s="1" t="n"/>
      <c r="D437" s="1" t="n"/>
      <c r="E437" s="1" t="n"/>
      <c r="F437" s="1" t="n"/>
      <c r="G437" s="1" t="n"/>
      <c r="H437" s="1" t="n"/>
      <c r="I437" s="1" t="n"/>
      <c r="J437" s="1" t="n"/>
      <c r="K437" s="1" t="n"/>
      <c r="L437" s="1" t="n"/>
      <c r="M437" s="1" t="n"/>
      <c r="N437" s="1" t="n"/>
    </row>
    <row r="438" ht="15.75" customHeight="1" s="311">
      <c r="A438" s="1" t="n"/>
      <c r="B438" s="1" t="n"/>
      <c r="C438" s="1" t="n"/>
      <c r="D438" s="1" t="n"/>
      <c r="E438" s="1" t="n"/>
      <c r="F438" s="1" t="n"/>
      <c r="G438" s="1" t="n"/>
      <c r="H438" s="1" t="n"/>
      <c r="I438" s="1" t="n"/>
      <c r="J438" s="1" t="n"/>
      <c r="K438" s="1" t="n"/>
      <c r="L438" s="1" t="n"/>
      <c r="M438" s="1" t="n"/>
      <c r="N438" s="1" t="n"/>
    </row>
    <row r="439" ht="15.75" customHeight="1" s="311">
      <c r="A439" s="1" t="n"/>
      <c r="B439" s="1" t="n"/>
      <c r="C439" s="1" t="n"/>
      <c r="D439" s="1" t="n"/>
      <c r="E439" s="1" t="n"/>
      <c r="F439" s="1" t="n"/>
      <c r="G439" s="1" t="n"/>
      <c r="H439" s="1" t="n"/>
      <c r="I439" s="1" t="n"/>
      <c r="J439" s="1" t="n"/>
      <c r="K439" s="1" t="n"/>
      <c r="L439" s="1" t="n"/>
      <c r="M439" s="1" t="n"/>
      <c r="N439" s="1" t="n"/>
    </row>
    <row r="440" ht="15.75" customHeight="1" s="311">
      <c r="A440" s="1" t="n"/>
      <c r="B440" s="1" t="n"/>
      <c r="C440" s="1" t="n"/>
      <c r="D440" s="1" t="n"/>
      <c r="E440" s="1" t="n"/>
      <c r="F440" s="1" t="n"/>
      <c r="G440" s="1" t="n"/>
      <c r="H440" s="1" t="n"/>
      <c r="I440" s="1" t="n"/>
      <c r="J440" s="1" t="n"/>
      <c r="K440" s="1" t="n"/>
      <c r="L440" s="1" t="n"/>
      <c r="M440" s="1" t="n"/>
      <c r="N440" s="1" t="n"/>
    </row>
    <row r="441" ht="15.75" customHeight="1" s="311">
      <c r="A441" s="1" t="n"/>
      <c r="B441" s="1" t="n"/>
      <c r="C441" s="1" t="n"/>
      <c r="D441" s="1" t="n"/>
      <c r="E441" s="1" t="n"/>
      <c r="F441" s="1" t="n"/>
      <c r="G441" s="1" t="n"/>
      <c r="H441" s="1" t="n"/>
      <c r="I441" s="1" t="n"/>
      <c r="J441" s="1" t="n"/>
      <c r="K441" s="1" t="n"/>
      <c r="L441" s="1" t="n"/>
      <c r="M441" s="1" t="n"/>
      <c r="N441" s="1" t="n"/>
    </row>
    <row r="442" ht="15.75" customHeight="1" s="311">
      <c r="A442" s="1" t="n"/>
      <c r="B442" s="1" t="n"/>
      <c r="C442" s="1" t="n"/>
      <c r="D442" s="1" t="n"/>
      <c r="E442" s="1" t="n"/>
      <c r="F442" s="1" t="n"/>
      <c r="G442" s="1" t="n"/>
      <c r="H442" s="1" t="n"/>
      <c r="I442" s="1" t="n"/>
      <c r="J442" s="1" t="n"/>
      <c r="K442" s="1" t="n"/>
      <c r="L442" s="1" t="n"/>
      <c r="M442" s="1" t="n"/>
      <c r="N442" s="1" t="n"/>
    </row>
    <row r="443" ht="15.75" customHeight="1" s="311">
      <c r="A443" s="1" t="n"/>
      <c r="B443" s="1" t="n"/>
      <c r="C443" s="1" t="n"/>
      <c r="D443" s="1" t="n"/>
      <c r="E443" s="1" t="n"/>
      <c r="F443" s="1" t="n"/>
      <c r="G443" s="1" t="n"/>
      <c r="H443" s="1" t="n"/>
      <c r="I443" s="1" t="n"/>
      <c r="J443" s="1" t="n"/>
      <c r="K443" s="1" t="n"/>
      <c r="L443" s="1" t="n"/>
      <c r="M443" s="1" t="n"/>
      <c r="N443" s="1" t="n"/>
    </row>
    <row r="444" ht="15.75" customHeight="1" s="311">
      <c r="A444" s="1" t="n"/>
      <c r="B444" s="1" t="n"/>
      <c r="C444" s="1" t="n"/>
      <c r="D444" s="1" t="n"/>
      <c r="E444" s="1" t="n"/>
      <c r="F444" s="1" t="n"/>
      <c r="G444" s="1" t="n"/>
      <c r="H444" s="1" t="n"/>
      <c r="I444" s="1" t="n"/>
      <c r="J444" s="1" t="n"/>
      <c r="K444" s="1" t="n"/>
      <c r="L444" s="1" t="n"/>
      <c r="M444" s="1" t="n"/>
      <c r="N444" s="1" t="n"/>
    </row>
    <row r="445" ht="15.75" customHeight="1" s="311">
      <c r="A445" s="1" t="n"/>
      <c r="B445" s="1" t="n"/>
      <c r="C445" s="1" t="n"/>
      <c r="D445" s="1" t="n"/>
      <c r="E445" s="1" t="n"/>
      <c r="F445" s="1" t="n"/>
      <c r="G445" s="1" t="n"/>
      <c r="H445" s="1" t="n"/>
      <c r="I445" s="1" t="n"/>
      <c r="J445" s="1" t="n"/>
      <c r="K445" s="1" t="n"/>
      <c r="L445" s="1" t="n"/>
      <c r="M445" s="1" t="n"/>
      <c r="N445" s="1" t="n"/>
    </row>
    <row r="446" ht="15.75" customHeight="1" s="311">
      <c r="A446" s="1" t="n"/>
      <c r="B446" s="1" t="n"/>
      <c r="C446" s="1" t="n"/>
      <c r="D446" s="1" t="n"/>
      <c r="E446" s="1" t="n"/>
      <c r="F446" s="1" t="n"/>
      <c r="G446" s="1" t="n"/>
      <c r="H446" s="1" t="n"/>
      <c r="I446" s="1" t="n"/>
      <c r="J446" s="1" t="n"/>
      <c r="K446" s="1" t="n"/>
      <c r="L446" s="1" t="n"/>
      <c r="M446" s="1" t="n"/>
      <c r="N446" s="1" t="n"/>
    </row>
    <row r="447" ht="15.75" customHeight="1" s="311">
      <c r="A447" s="1" t="n"/>
      <c r="B447" s="1" t="n"/>
      <c r="C447" s="1" t="n"/>
      <c r="D447" s="1" t="n"/>
      <c r="E447" s="1" t="n"/>
      <c r="F447" s="1" t="n"/>
      <c r="G447" s="1" t="n"/>
      <c r="H447" s="1" t="n"/>
      <c r="I447" s="1" t="n"/>
      <c r="J447" s="1" t="n"/>
      <c r="K447" s="1" t="n"/>
      <c r="L447" s="1" t="n"/>
      <c r="M447" s="1" t="n"/>
      <c r="N447" s="1" t="n"/>
    </row>
    <row r="448" ht="15.75" customHeight="1" s="311">
      <c r="A448" s="1" t="n"/>
      <c r="B448" s="1" t="n"/>
      <c r="C448" s="1" t="n"/>
      <c r="D448" s="1" t="n"/>
      <c r="E448" s="1" t="n"/>
      <c r="F448" s="1" t="n"/>
      <c r="G448" s="1" t="n"/>
      <c r="H448" s="1" t="n"/>
      <c r="I448" s="1" t="n"/>
      <c r="J448" s="1" t="n"/>
      <c r="K448" s="1" t="n"/>
      <c r="L448" s="1" t="n"/>
      <c r="M448" s="1" t="n"/>
      <c r="N448" s="1" t="n"/>
    </row>
    <row r="449" ht="15.75" customHeight="1" s="311">
      <c r="A449" s="1" t="n"/>
      <c r="B449" s="1" t="n"/>
      <c r="C449" s="1" t="n"/>
      <c r="D449" s="1" t="n"/>
      <c r="E449" s="1" t="n"/>
      <c r="F449" s="1" t="n"/>
      <c r="G449" s="1" t="n"/>
      <c r="H449" s="1" t="n"/>
      <c r="I449" s="1" t="n"/>
      <c r="J449" s="1" t="n"/>
      <c r="K449" s="1" t="n"/>
      <c r="L449" s="1" t="n"/>
      <c r="M449" s="1" t="n"/>
      <c r="N449" s="1" t="n"/>
    </row>
    <row r="450" ht="15.75" customHeight="1" s="311">
      <c r="A450" s="1" t="n"/>
      <c r="B450" s="1" t="n"/>
      <c r="C450" s="1" t="n"/>
      <c r="D450" s="1" t="n"/>
      <c r="E450" s="1" t="n"/>
      <c r="F450" s="1" t="n"/>
      <c r="G450" s="1" t="n"/>
      <c r="H450" s="1" t="n"/>
      <c r="I450" s="1" t="n"/>
      <c r="J450" s="1" t="n"/>
      <c r="K450" s="1" t="n"/>
      <c r="L450" s="1" t="n"/>
      <c r="M450" s="1" t="n"/>
      <c r="N450" s="1" t="n"/>
    </row>
    <row r="451" ht="15.75" customHeight="1" s="311">
      <c r="A451" s="1" t="n"/>
      <c r="B451" s="1" t="n"/>
      <c r="C451" s="1" t="n"/>
      <c r="D451" s="1" t="n"/>
      <c r="E451" s="1" t="n"/>
      <c r="F451" s="1" t="n"/>
      <c r="G451" s="1" t="n"/>
      <c r="H451" s="1" t="n"/>
      <c r="I451" s="1" t="n"/>
      <c r="J451" s="1" t="n"/>
      <c r="K451" s="1" t="n"/>
      <c r="L451" s="1" t="n"/>
      <c r="M451" s="1" t="n"/>
      <c r="N451" s="1" t="n"/>
    </row>
    <row r="452" ht="15.75" customHeight="1" s="311">
      <c r="A452" s="1" t="n"/>
      <c r="B452" s="1" t="n"/>
      <c r="C452" s="1" t="n"/>
      <c r="D452" s="1" t="n"/>
      <c r="E452" s="1" t="n"/>
      <c r="F452" s="1" t="n"/>
      <c r="G452" s="1" t="n"/>
      <c r="H452" s="1" t="n"/>
      <c r="I452" s="1" t="n"/>
      <c r="J452" s="1" t="n"/>
      <c r="K452" s="1" t="n"/>
      <c r="L452" s="1" t="n"/>
      <c r="M452" s="1" t="n"/>
      <c r="N452" s="1" t="n"/>
    </row>
    <row r="453" ht="15.75" customHeight="1" s="311">
      <c r="A453" s="1" t="n"/>
      <c r="B453" s="1" t="n"/>
      <c r="C453" s="1" t="n"/>
      <c r="D453" s="1" t="n"/>
      <c r="E453" s="1" t="n"/>
      <c r="F453" s="1" t="n"/>
      <c r="G453" s="1" t="n"/>
      <c r="H453" s="1" t="n"/>
      <c r="I453" s="1" t="n"/>
      <c r="J453" s="1" t="n"/>
      <c r="K453" s="1" t="n"/>
      <c r="L453" s="1" t="n"/>
      <c r="M453" s="1" t="n"/>
      <c r="N453" s="1" t="n"/>
    </row>
    <row r="454" ht="15.75" customHeight="1" s="311">
      <c r="A454" s="1" t="n"/>
      <c r="B454" s="1" t="n"/>
      <c r="C454" s="1" t="n"/>
      <c r="D454" s="1" t="n"/>
      <c r="E454" s="1" t="n"/>
      <c r="F454" s="1" t="n"/>
      <c r="G454" s="1" t="n"/>
      <c r="H454" s="1" t="n"/>
      <c r="I454" s="1" t="n"/>
      <c r="J454" s="1" t="n"/>
      <c r="K454" s="1" t="n"/>
      <c r="L454" s="1" t="n"/>
      <c r="M454" s="1" t="n"/>
      <c r="N454" s="1" t="n"/>
    </row>
    <row r="455" ht="15.75" customHeight="1" s="311">
      <c r="A455" s="1" t="n"/>
      <c r="B455" s="1" t="n"/>
      <c r="C455" s="1" t="n"/>
      <c r="D455" s="1" t="n"/>
      <c r="E455" s="1" t="n"/>
      <c r="F455" s="1" t="n"/>
      <c r="G455" s="1" t="n"/>
      <c r="H455" s="1" t="n"/>
      <c r="I455" s="1" t="n"/>
      <c r="J455" s="1" t="n"/>
      <c r="K455" s="1" t="n"/>
      <c r="L455" s="1" t="n"/>
      <c r="M455" s="1" t="n"/>
      <c r="N455" s="1" t="n"/>
    </row>
    <row r="456" ht="15.75" customHeight="1" s="311">
      <c r="A456" s="1" t="n"/>
      <c r="B456" s="1" t="n"/>
      <c r="C456" s="1" t="n"/>
      <c r="D456" s="1" t="n"/>
      <c r="E456" s="1" t="n"/>
      <c r="F456" s="1" t="n"/>
      <c r="G456" s="1" t="n"/>
      <c r="H456" s="1" t="n"/>
      <c r="I456" s="1" t="n"/>
      <c r="J456" s="1" t="n"/>
      <c r="K456" s="1" t="n"/>
      <c r="L456" s="1" t="n"/>
      <c r="M456" s="1" t="n"/>
      <c r="N456" s="1" t="n"/>
    </row>
    <row r="457" ht="15.75" customHeight="1" s="311">
      <c r="A457" s="1" t="n"/>
      <c r="B457" s="1" t="n"/>
      <c r="C457" s="1" t="n"/>
      <c r="D457" s="1" t="n"/>
      <c r="E457" s="1" t="n"/>
      <c r="F457" s="1" t="n"/>
      <c r="G457" s="1" t="n"/>
      <c r="H457" s="1" t="n"/>
      <c r="I457" s="1" t="n"/>
      <c r="J457" s="1" t="n"/>
      <c r="K457" s="1" t="n"/>
      <c r="L457" s="1" t="n"/>
      <c r="M457" s="1" t="n"/>
      <c r="N457" s="1" t="n"/>
    </row>
    <row r="458" ht="15.75" customHeight="1" s="311">
      <c r="A458" s="1" t="n"/>
      <c r="B458" s="1" t="n"/>
      <c r="C458" s="1" t="n"/>
      <c r="D458" s="1" t="n"/>
      <c r="E458" s="1" t="n"/>
      <c r="F458" s="1" t="n"/>
      <c r="G458" s="1" t="n"/>
      <c r="H458" s="1" t="n"/>
      <c r="I458" s="1" t="n"/>
      <c r="J458" s="1" t="n"/>
      <c r="K458" s="1" t="n"/>
      <c r="L458" s="1" t="n"/>
      <c r="M458" s="1" t="n"/>
      <c r="N458" s="1" t="n"/>
    </row>
    <row r="459" ht="15.75" customHeight="1" s="311">
      <c r="A459" s="1" t="n"/>
      <c r="B459" s="1" t="n"/>
      <c r="C459" s="1" t="n"/>
      <c r="D459" s="1" t="n"/>
      <c r="E459" s="1" t="n"/>
      <c r="F459" s="1" t="n"/>
      <c r="G459" s="1" t="n"/>
      <c r="H459" s="1" t="n"/>
      <c r="I459" s="1" t="n"/>
      <c r="J459" s="1" t="n"/>
      <c r="K459" s="1" t="n"/>
      <c r="L459" s="1" t="n"/>
      <c r="M459" s="1" t="n"/>
      <c r="N459" s="1" t="n"/>
    </row>
    <row r="460" ht="15.75" customHeight="1" s="311">
      <c r="A460" s="1" t="n"/>
      <c r="B460" s="1" t="n"/>
      <c r="C460" s="1" t="n"/>
      <c r="D460" s="1" t="n"/>
      <c r="E460" s="1" t="n"/>
      <c r="F460" s="1" t="n"/>
      <c r="G460" s="1" t="n"/>
      <c r="H460" s="1" t="n"/>
      <c r="I460" s="1" t="n"/>
      <c r="J460" s="1" t="n"/>
      <c r="K460" s="1" t="n"/>
      <c r="L460" s="1" t="n"/>
      <c r="M460" s="1" t="n"/>
      <c r="N460" s="1" t="n"/>
    </row>
    <row r="461" ht="15.75" customHeight="1" s="311">
      <c r="A461" s="1" t="n"/>
      <c r="B461" s="1" t="n"/>
      <c r="C461" s="1" t="n"/>
      <c r="D461" s="1" t="n"/>
      <c r="E461" s="1" t="n"/>
      <c r="F461" s="1" t="n"/>
      <c r="G461" s="1" t="n"/>
      <c r="H461" s="1" t="n"/>
      <c r="I461" s="1" t="n"/>
      <c r="J461" s="1" t="n"/>
      <c r="K461" s="1" t="n"/>
      <c r="L461" s="1" t="n"/>
      <c r="M461" s="1" t="n"/>
      <c r="N461" s="1" t="n"/>
    </row>
    <row r="462" ht="15.75" customHeight="1" s="311">
      <c r="A462" s="1" t="n"/>
      <c r="B462" s="1" t="n"/>
      <c r="C462" s="1" t="n"/>
      <c r="D462" s="1" t="n"/>
      <c r="E462" s="1" t="n"/>
      <c r="F462" s="1" t="n"/>
      <c r="G462" s="1" t="n"/>
      <c r="H462" s="1" t="n"/>
      <c r="I462" s="1" t="n"/>
      <c r="J462" s="1" t="n"/>
      <c r="K462" s="1" t="n"/>
      <c r="L462" s="1" t="n"/>
      <c r="M462" s="1" t="n"/>
      <c r="N462" s="1" t="n"/>
    </row>
    <row r="463" ht="15.75" customHeight="1" s="311">
      <c r="A463" s="1" t="n"/>
      <c r="B463" s="1" t="n"/>
      <c r="C463" s="1" t="n"/>
      <c r="D463" s="1" t="n"/>
      <c r="E463" s="1" t="n"/>
      <c r="F463" s="1" t="n"/>
      <c r="G463" s="1" t="n"/>
      <c r="H463" s="1" t="n"/>
      <c r="I463" s="1" t="n"/>
      <c r="J463" s="1" t="n"/>
      <c r="K463" s="1" t="n"/>
      <c r="L463" s="1" t="n"/>
      <c r="M463" s="1" t="n"/>
      <c r="N463" s="1" t="n"/>
    </row>
    <row r="464" ht="15.75" customHeight="1" s="311">
      <c r="A464" s="1" t="n"/>
      <c r="B464" s="1" t="n"/>
      <c r="C464" s="1" t="n"/>
      <c r="D464" s="1" t="n"/>
      <c r="E464" s="1" t="n"/>
      <c r="F464" s="1" t="n"/>
      <c r="G464" s="1" t="n"/>
      <c r="H464" s="1" t="n"/>
      <c r="I464" s="1" t="n"/>
      <c r="J464" s="1" t="n"/>
      <c r="K464" s="1" t="n"/>
      <c r="L464" s="1" t="n"/>
      <c r="M464" s="1" t="n"/>
      <c r="N464" s="1" t="n"/>
    </row>
    <row r="465" ht="15.75" customHeight="1" s="311">
      <c r="A465" s="1" t="n"/>
      <c r="B465" s="1" t="n"/>
      <c r="C465" s="1" t="n"/>
      <c r="D465" s="1" t="n"/>
      <c r="E465" s="1" t="n"/>
      <c r="F465" s="1" t="n"/>
      <c r="G465" s="1" t="n"/>
      <c r="H465" s="1" t="n"/>
      <c r="I465" s="1" t="n"/>
      <c r="J465" s="1" t="n"/>
      <c r="K465" s="1" t="n"/>
      <c r="L465" s="1" t="n"/>
      <c r="M465" s="1" t="n"/>
      <c r="N465" s="1" t="n"/>
    </row>
    <row r="466" ht="15.75" customHeight="1" s="311">
      <c r="A466" s="1" t="n"/>
      <c r="B466" s="1" t="n"/>
      <c r="C466" s="1" t="n"/>
      <c r="D466" s="1" t="n"/>
      <c r="E466" s="1" t="n"/>
      <c r="F466" s="1" t="n"/>
      <c r="G466" s="1" t="n"/>
      <c r="H466" s="1" t="n"/>
      <c r="I466" s="1" t="n"/>
      <c r="J466" s="1" t="n"/>
      <c r="K466" s="1" t="n"/>
      <c r="L466" s="1" t="n"/>
      <c r="M466" s="1" t="n"/>
      <c r="N466" s="1" t="n"/>
    </row>
    <row r="467" ht="15.75" customHeight="1" s="311">
      <c r="A467" s="1" t="n"/>
      <c r="B467" s="1" t="n"/>
      <c r="C467" s="1" t="n"/>
      <c r="D467" s="1" t="n"/>
      <c r="E467" s="1" t="n"/>
      <c r="F467" s="1" t="n"/>
      <c r="G467" s="1" t="n"/>
      <c r="H467" s="1" t="n"/>
      <c r="I467" s="1" t="n"/>
      <c r="J467" s="1" t="n"/>
      <c r="K467" s="1" t="n"/>
      <c r="L467" s="1" t="n"/>
      <c r="M467" s="1" t="n"/>
      <c r="N467" s="1" t="n"/>
    </row>
    <row r="468" ht="15.75" customHeight="1" s="311">
      <c r="A468" s="1" t="n"/>
      <c r="B468" s="1" t="n"/>
      <c r="C468" s="1" t="n"/>
      <c r="D468" s="1" t="n"/>
      <c r="E468" s="1" t="n"/>
      <c r="F468" s="1" t="n"/>
      <c r="G468" s="1" t="n"/>
      <c r="H468" s="1" t="n"/>
      <c r="I468" s="1" t="n"/>
      <c r="J468" s="1" t="n"/>
      <c r="K468" s="1" t="n"/>
      <c r="L468" s="1" t="n"/>
      <c r="M468" s="1" t="n"/>
      <c r="N468" s="1" t="n"/>
    </row>
    <row r="469" ht="15.75" customHeight="1" s="311">
      <c r="A469" s="1" t="n"/>
      <c r="B469" s="1" t="n"/>
      <c r="C469" s="1" t="n"/>
      <c r="D469" s="1" t="n"/>
      <c r="E469" s="1" t="n"/>
      <c r="F469" s="1" t="n"/>
      <c r="G469" s="1" t="n"/>
      <c r="H469" s="1" t="n"/>
      <c r="I469" s="1" t="n"/>
      <c r="J469" s="1" t="n"/>
      <c r="K469" s="1" t="n"/>
      <c r="L469" s="1" t="n"/>
      <c r="M469" s="1" t="n"/>
      <c r="N469" s="1" t="n"/>
    </row>
    <row r="470" ht="15.75" customHeight="1" s="311">
      <c r="A470" s="1" t="n"/>
      <c r="B470" s="1" t="n"/>
      <c r="C470" s="1" t="n"/>
      <c r="D470" s="1" t="n"/>
      <c r="E470" s="1" t="n"/>
      <c r="F470" s="1" t="n"/>
      <c r="G470" s="1" t="n"/>
      <c r="H470" s="1" t="n"/>
      <c r="I470" s="1" t="n"/>
      <c r="J470" s="1" t="n"/>
      <c r="K470" s="1" t="n"/>
      <c r="L470" s="1" t="n"/>
      <c r="M470" s="1" t="n"/>
      <c r="N470" s="1" t="n"/>
    </row>
    <row r="471" ht="15.75" customHeight="1" s="311">
      <c r="A471" s="1" t="n"/>
      <c r="B471" s="1" t="n"/>
      <c r="C471" s="1" t="n"/>
      <c r="D471" s="1" t="n"/>
      <c r="E471" s="1" t="n"/>
      <c r="F471" s="1" t="n"/>
      <c r="G471" s="1" t="n"/>
      <c r="H471" s="1" t="n"/>
      <c r="I471" s="1" t="n"/>
      <c r="J471" s="1" t="n"/>
      <c r="K471" s="1" t="n"/>
      <c r="L471" s="1" t="n"/>
      <c r="M471" s="1" t="n"/>
      <c r="N471" s="1" t="n"/>
    </row>
    <row r="472" ht="15.75" customHeight="1" s="311">
      <c r="A472" s="1" t="n"/>
      <c r="B472" s="1" t="n"/>
      <c r="C472" s="1" t="n"/>
      <c r="D472" s="1" t="n"/>
      <c r="E472" s="1" t="n"/>
      <c r="F472" s="1" t="n"/>
      <c r="G472" s="1" t="n"/>
      <c r="H472" s="1" t="n"/>
      <c r="I472" s="1" t="n"/>
      <c r="J472" s="1" t="n"/>
      <c r="K472" s="1" t="n"/>
      <c r="L472" s="1" t="n"/>
      <c r="M472" s="1" t="n"/>
      <c r="N472" s="1" t="n"/>
    </row>
    <row r="473" ht="15.75" customHeight="1" s="311">
      <c r="A473" s="1" t="n"/>
      <c r="B473" s="1" t="n"/>
      <c r="C473" s="1" t="n"/>
      <c r="D473" s="1" t="n"/>
      <c r="E473" s="1" t="n"/>
      <c r="F473" s="1" t="n"/>
      <c r="G473" s="1" t="n"/>
      <c r="H473" s="1" t="n"/>
      <c r="I473" s="1" t="n"/>
      <c r="J473" s="1" t="n"/>
      <c r="K473" s="1" t="n"/>
      <c r="L473" s="1" t="n"/>
      <c r="M473" s="1" t="n"/>
      <c r="N473" s="1" t="n"/>
    </row>
    <row r="474" ht="15.75" customHeight="1" s="311">
      <c r="A474" s="1" t="n"/>
      <c r="B474" s="1" t="n"/>
      <c r="C474" s="1" t="n"/>
      <c r="D474" s="1" t="n"/>
      <c r="E474" s="1" t="n"/>
      <c r="F474" s="1" t="n"/>
      <c r="G474" s="1" t="n"/>
      <c r="H474" s="1" t="n"/>
      <c r="I474" s="1" t="n"/>
      <c r="J474" s="1" t="n"/>
      <c r="K474" s="1" t="n"/>
      <c r="L474" s="1" t="n"/>
      <c r="M474" s="1" t="n"/>
      <c r="N474" s="1" t="n"/>
    </row>
    <row r="475" ht="15.75" customHeight="1" s="311">
      <c r="A475" s="1" t="n"/>
      <c r="B475" s="1" t="n"/>
      <c r="C475" s="1" t="n"/>
      <c r="D475" s="1" t="n"/>
      <c r="E475" s="1" t="n"/>
      <c r="F475" s="1" t="n"/>
      <c r="G475" s="1" t="n"/>
      <c r="H475" s="1" t="n"/>
      <c r="I475" s="1" t="n"/>
      <c r="J475" s="1" t="n"/>
      <c r="K475" s="1" t="n"/>
      <c r="L475" s="1" t="n"/>
      <c r="M475" s="1" t="n"/>
      <c r="N475" s="1" t="n"/>
    </row>
    <row r="476" ht="15.75" customHeight="1" s="311">
      <c r="A476" s="1" t="n"/>
      <c r="B476" s="1" t="n"/>
      <c r="C476" s="1" t="n"/>
      <c r="D476" s="1" t="n"/>
      <c r="E476" s="1" t="n"/>
      <c r="F476" s="1" t="n"/>
      <c r="G476" s="1" t="n"/>
      <c r="H476" s="1" t="n"/>
      <c r="I476" s="1" t="n"/>
      <c r="J476" s="1" t="n"/>
      <c r="K476" s="1" t="n"/>
      <c r="L476" s="1" t="n"/>
      <c r="M476" s="1" t="n"/>
      <c r="N476" s="1" t="n"/>
    </row>
    <row r="477" ht="15.75" customHeight="1" s="311">
      <c r="A477" s="1" t="n"/>
      <c r="B477" s="1" t="n"/>
      <c r="C477" s="1" t="n"/>
      <c r="D477" s="1" t="n"/>
      <c r="E477" s="1" t="n"/>
      <c r="F477" s="1" t="n"/>
      <c r="G477" s="1" t="n"/>
      <c r="H477" s="1" t="n"/>
      <c r="I477" s="1" t="n"/>
      <c r="J477" s="1" t="n"/>
      <c r="K477" s="1" t="n"/>
      <c r="L477" s="1" t="n"/>
      <c r="M477" s="1" t="n"/>
      <c r="N477" s="1" t="n"/>
    </row>
    <row r="478" ht="15.75" customHeight="1" s="311">
      <c r="A478" s="1" t="n"/>
      <c r="B478" s="1" t="n"/>
      <c r="C478" s="1" t="n"/>
      <c r="D478" s="1" t="n"/>
      <c r="E478" s="1" t="n"/>
      <c r="F478" s="1" t="n"/>
      <c r="G478" s="1" t="n"/>
      <c r="H478" s="1" t="n"/>
      <c r="I478" s="1" t="n"/>
      <c r="J478" s="1" t="n"/>
      <c r="K478" s="1" t="n"/>
      <c r="L478" s="1" t="n"/>
      <c r="M478" s="1" t="n"/>
      <c r="N478" s="1" t="n"/>
    </row>
    <row r="479" ht="15.75" customHeight="1" s="311">
      <c r="A479" s="1" t="n"/>
      <c r="B479" s="1" t="n"/>
      <c r="C479" s="1" t="n"/>
      <c r="D479" s="1" t="n"/>
      <c r="E479" s="1" t="n"/>
      <c r="F479" s="1" t="n"/>
      <c r="G479" s="1" t="n"/>
      <c r="H479" s="1" t="n"/>
      <c r="I479" s="1" t="n"/>
      <c r="J479" s="1" t="n"/>
      <c r="K479" s="1" t="n"/>
      <c r="L479" s="1" t="n"/>
      <c r="M479" s="1" t="n"/>
      <c r="N479" s="1" t="n"/>
    </row>
    <row r="480" ht="15.75" customHeight="1" s="311">
      <c r="A480" s="1" t="n"/>
      <c r="B480" s="1" t="n"/>
      <c r="C480" s="1" t="n"/>
      <c r="D480" s="1" t="n"/>
      <c r="E480" s="1" t="n"/>
      <c r="F480" s="1" t="n"/>
      <c r="G480" s="1" t="n"/>
      <c r="H480" s="1" t="n"/>
      <c r="I480" s="1" t="n"/>
      <c r="J480" s="1" t="n"/>
      <c r="K480" s="1" t="n"/>
      <c r="L480" s="1" t="n"/>
      <c r="M480" s="1" t="n"/>
      <c r="N480" s="1" t="n"/>
    </row>
    <row r="481" ht="15.75" customHeight="1" s="311">
      <c r="A481" s="1" t="n"/>
      <c r="B481" s="1" t="n"/>
      <c r="C481" s="1" t="n"/>
      <c r="D481" s="1" t="n"/>
      <c r="E481" s="1" t="n"/>
      <c r="F481" s="1" t="n"/>
      <c r="G481" s="1" t="n"/>
      <c r="H481" s="1" t="n"/>
      <c r="I481" s="1" t="n"/>
      <c r="J481" s="1" t="n"/>
      <c r="K481" s="1" t="n"/>
      <c r="L481" s="1" t="n"/>
      <c r="M481" s="1" t="n"/>
      <c r="N481" s="1" t="n"/>
    </row>
    <row r="482" ht="15.75" customHeight="1" s="311">
      <c r="A482" s="1" t="n"/>
      <c r="B482" s="1" t="n"/>
      <c r="C482" s="1" t="n"/>
      <c r="D482" s="1" t="n"/>
      <c r="E482" s="1" t="n"/>
      <c r="F482" s="1" t="n"/>
      <c r="G482" s="1" t="n"/>
      <c r="H482" s="1" t="n"/>
      <c r="I482" s="1" t="n"/>
      <c r="J482" s="1" t="n"/>
      <c r="K482" s="1" t="n"/>
      <c r="L482" s="1" t="n"/>
      <c r="M482" s="1" t="n"/>
      <c r="N482" s="1" t="n"/>
    </row>
    <row r="483" ht="15.75" customHeight="1" s="311">
      <c r="A483" s="1" t="n"/>
      <c r="B483" s="1" t="n"/>
      <c r="C483" s="1" t="n"/>
      <c r="D483" s="1" t="n"/>
      <c r="E483" s="1" t="n"/>
      <c r="F483" s="1" t="n"/>
      <c r="G483" s="1" t="n"/>
      <c r="H483" s="1" t="n"/>
      <c r="I483" s="1" t="n"/>
      <c r="J483" s="1" t="n"/>
      <c r="K483" s="1" t="n"/>
      <c r="L483" s="1" t="n"/>
      <c r="M483" s="1" t="n"/>
      <c r="N483" s="1" t="n"/>
    </row>
    <row r="484" ht="15.75" customHeight="1" s="311">
      <c r="A484" s="1" t="n"/>
      <c r="B484" s="1" t="n"/>
      <c r="C484" s="1" t="n"/>
      <c r="D484" s="1" t="n"/>
      <c r="E484" s="1" t="n"/>
      <c r="F484" s="1" t="n"/>
      <c r="G484" s="1" t="n"/>
      <c r="H484" s="1" t="n"/>
      <c r="I484" s="1" t="n"/>
      <c r="J484" s="1" t="n"/>
      <c r="K484" s="1" t="n"/>
      <c r="L484" s="1" t="n"/>
      <c r="M484" s="1" t="n"/>
      <c r="N484" s="1" t="n"/>
    </row>
    <row r="485" ht="15.75" customHeight="1" s="311">
      <c r="A485" s="1" t="n"/>
      <c r="B485" s="1" t="n"/>
      <c r="C485" s="1" t="n"/>
      <c r="D485" s="1" t="n"/>
      <c r="E485" s="1" t="n"/>
      <c r="F485" s="1" t="n"/>
      <c r="G485" s="1" t="n"/>
      <c r="H485" s="1" t="n"/>
      <c r="I485" s="1" t="n"/>
      <c r="J485" s="1" t="n"/>
      <c r="K485" s="1" t="n"/>
      <c r="L485" s="1" t="n"/>
      <c r="M485" s="1" t="n"/>
      <c r="N485" s="1" t="n"/>
    </row>
    <row r="486" ht="15.75" customHeight="1" s="311">
      <c r="A486" s="1" t="n"/>
      <c r="B486" s="1" t="n"/>
      <c r="C486" s="1" t="n"/>
      <c r="D486" s="1" t="n"/>
      <c r="E486" s="1" t="n"/>
      <c r="F486" s="1" t="n"/>
      <c r="G486" s="1" t="n"/>
      <c r="H486" s="1" t="n"/>
      <c r="I486" s="1" t="n"/>
      <c r="J486" s="1" t="n"/>
      <c r="K486" s="1" t="n"/>
      <c r="L486" s="1" t="n"/>
      <c r="M486" s="1" t="n"/>
      <c r="N486" s="1" t="n"/>
    </row>
    <row r="487" ht="15.75" customHeight="1" s="311">
      <c r="A487" s="1" t="n"/>
      <c r="B487" s="1" t="n"/>
      <c r="C487" s="1" t="n"/>
      <c r="D487" s="1" t="n"/>
      <c r="E487" s="1" t="n"/>
      <c r="F487" s="1" t="n"/>
      <c r="G487" s="1" t="n"/>
      <c r="H487" s="1" t="n"/>
      <c r="I487" s="1" t="n"/>
      <c r="J487" s="1" t="n"/>
      <c r="K487" s="1" t="n"/>
      <c r="L487" s="1" t="n"/>
      <c r="M487" s="1" t="n"/>
      <c r="N487" s="1" t="n"/>
    </row>
    <row r="488" ht="15.75" customHeight="1" s="311">
      <c r="A488" s="1" t="n"/>
      <c r="B488" s="1" t="n"/>
      <c r="C488" s="1" t="n"/>
      <c r="D488" s="1" t="n"/>
      <c r="E488" s="1" t="n"/>
      <c r="F488" s="1" t="n"/>
      <c r="G488" s="1" t="n"/>
      <c r="H488" s="1" t="n"/>
      <c r="I488" s="1" t="n"/>
      <c r="J488" s="1" t="n"/>
      <c r="K488" s="1" t="n"/>
      <c r="L488" s="1" t="n"/>
      <c r="M488" s="1" t="n"/>
      <c r="N488" s="1" t="n"/>
    </row>
    <row r="489" ht="15.75" customHeight="1" s="311">
      <c r="A489" s="1" t="n"/>
      <c r="B489" s="1" t="n"/>
      <c r="C489" s="1" t="n"/>
      <c r="D489" s="1" t="n"/>
      <c r="E489" s="1" t="n"/>
      <c r="F489" s="1" t="n"/>
      <c r="G489" s="1" t="n"/>
      <c r="H489" s="1" t="n"/>
      <c r="I489" s="1" t="n"/>
      <c r="J489" s="1" t="n"/>
      <c r="K489" s="1" t="n"/>
      <c r="L489" s="1" t="n"/>
      <c r="M489" s="1" t="n"/>
      <c r="N489" s="1" t="n"/>
    </row>
    <row r="490" ht="15.75" customHeight="1" s="311">
      <c r="A490" s="1" t="n"/>
      <c r="B490" s="1" t="n"/>
      <c r="C490" s="1" t="n"/>
      <c r="D490" s="1" t="n"/>
      <c r="E490" s="1" t="n"/>
      <c r="F490" s="1" t="n"/>
      <c r="G490" s="1" t="n"/>
      <c r="H490" s="1" t="n"/>
      <c r="I490" s="1" t="n"/>
      <c r="J490" s="1" t="n"/>
      <c r="K490" s="1" t="n"/>
      <c r="L490" s="1" t="n"/>
      <c r="M490" s="1" t="n"/>
      <c r="N490" s="1" t="n"/>
    </row>
    <row r="491" ht="15.75" customHeight="1" s="311">
      <c r="A491" s="1" t="n"/>
      <c r="B491" s="1" t="n"/>
      <c r="C491" s="1" t="n"/>
      <c r="D491" s="1" t="n"/>
      <c r="E491" s="1" t="n"/>
      <c r="F491" s="1" t="n"/>
      <c r="G491" s="1" t="n"/>
      <c r="H491" s="1" t="n"/>
      <c r="I491" s="1" t="n"/>
      <c r="J491" s="1" t="n"/>
      <c r="K491" s="1" t="n"/>
      <c r="L491" s="1" t="n"/>
      <c r="M491" s="1" t="n"/>
      <c r="N491" s="1" t="n"/>
    </row>
    <row r="492" ht="15.75" customHeight="1" s="311">
      <c r="A492" s="1" t="n"/>
      <c r="B492" s="1" t="n"/>
      <c r="C492" s="1" t="n"/>
      <c r="D492" s="1" t="n"/>
      <c r="E492" s="1" t="n"/>
      <c r="F492" s="1" t="n"/>
      <c r="G492" s="1" t="n"/>
      <c r="H492" s="1" t="n"/>
      <c r="I492" s="1" t="n"/>
      <c r="J492" s="1" t="n"/>
      <c r="K492" s="1" t="n"/>
      <c r="L492" s="1" t="n"/>
      <c r="M492" s="1" t="n"/>
      <c r="N492" s="1" t="n"/>
    </row>
    <row r="493" ht="15.75" customHeight="1" s="311">
      <c r="A493" s="1" t="n"/>
      <c r="B493" s="1" t="n"/>
      <c r="C493" s="1" t="n"/>
      <c r="D493" s="1" t="n"/>
      <c r="E493" s="1" t="n"/>
      <c r="F493" s="1" t="n"/>
      <c r="G493" s="1" t="n"/>
      <c r="H493" s="1" t="n"/>
      <c r="I493" s="1" t="n"/>
      <c r="J493" s="1" t="n"/>
      <c r="K493" s="1" t="n"/>
      <c r="L493" s="1" t="n"/>
      <c r="M493" s="1" t="n"/>
      <c r="N493" s="1" t="n"/>
    </row>
    <row r="494" ht="15.75" customHeight="1" s="311">
      <c r="A494" s="1" t="n"/>
      <c r="B494" s="1" t="n"/>
      <c r="C494" s="1" t="n"/>
      <c r="D494" s="1" t="n"/>
      <c r="E494" s="1" t="n"/>
      <c r="F494" s="1" t="n"/>
      <c r="G494" s="1" t="n"/>
      <c r="H494" s="1" t="n"/>
      <c r="I494" s="1" t="n"/>
      <c r="J494" s="1" t="n"/>
      <c r="K494" s="1" t="n"/>
      <c r="L494" s="1" t="n"/>
      <c r="M494" s="1" t="n"/>
      <c r="N494" s="1" t="n"/>
    </row>
    <row r="495" ht="15.75" customHeight="1" s="311">
      <c r="A495" s="1" t="n"/>
      <c r="B495" s="1" t="n"/>
      <c r="C495" s="1" t="n"/>
      <c r="D495" s="1" t="n"/>
      <c r="E495" s="1" t="n"/>
      <c r="F495" s="1" t="n"/>
      <c r="G495" s="1" t="n"/>
      <c r="H495" s="1" t="n"/>
      <c r="I495" s="1" t="n"/>
      <c r="J495" s="1" t="n"/>
      <c r="K495" s="1" t="n"/>
      <c r="L495" s="1" t="n"/>
      <c r="M495" s="1" t="n"/>
      <c r="N495" s="1" t="n"/>
    </row>
    <row r="496" ht="15.75" customHeight="1" s="311">
      <c r="A496" s="1" t="n"/>
      <c r="B496" s="1" t="n"/>
      <c r="C496" s="1" t="n"/>
      <c r="D496" s="1" t="n"/>
      <c r="E496" s="1" t="n"/>
      <c r="F496" s="1" t="n"/>
      <c r="G496" s="1" t="n"/>
      <c r="H496" s="1" t="n"/>
      <c r="I496" s="1" t="n"/>
      <c r="J496" s="1" t="n"/>
      <c r="K496" s="1" t="n"/>
      <c r="L496" s="1" t="n"/>
      <c r="M496" s="1" t="n"/>
      <c r="N496" s="1" t="n"/>
    </row>
    <row r="497" ht="15.75" customHeight="1" s="311">
      <c r="A497" s="1" t="n"/>
      <c r="B497" s="1" t="n"/>
      <c r="C497" s="1" t="n"/>
      <c r="D497" s="1" t="n"/>
      <c r="E497" s="1" t="n"/>
      <c r="F497" s="1" t="n"/>
      <c r="G497" s="1" t="n"/>
      <c r="H497" s="1" t="n"/>
      <c r="I497" s="1" t="n"/>
      <c r="J497" s="1" t="n"/>
      <c r="K497" s="1" t="n"/>
      <c r="L497" s="1" t="n"/>
      <c r="M497" s="1" t="n"/>
      <c r="N497" s="1" t="n"/>
    </row>
    <row r="498" ht="15.75" customHeight="1" s="311">
      <c r="A498" s="1" t="n"/>
      <c r="B498" s="1" t="n"/>
      <c r="C498" s="1" t="n"/>
      <c r="D498" s="1" t="n"/>
      <c r="E498" s="1" t="n"/>
      <c r="F498" s="1" t="n"/>
      <c r="G498" s="1" t="n"/>
      <c r="H498" s="1" t="n"/>
      <c r="I498" s="1" t="n"/>
      <c r="J498" s="1" t="n"/>
      <c r="K498" s="1" t="n"/>
      <c r="L498" s="1" t="n"/>
      <c r="M498" s="1" t="n"/>
      <c r="N498" s="1" t="n"/>
    </row>
    <row r="499" ht="15.75" customHeight="1" s="311">
      <c r="A499" s="1" t="n"/>
      <c r="B499" s="1" t="n"/>
      <c r="C499" s="1" t="n"/>
      <c r="D499" s="1" t="n"/>
      <c r="E499" s="1" t="n"/>
      <c r="F499" s="1" t="n"/>
      <c r="G499" s="1" t="n"/>
      <c r="H499" s="1" t="n"/>
      <c r="I499" s="1" t="n"/>
      <c r="J499" s="1" t="n"/>
      <c r="K499" s="1" t="n"/>
      <c r="L499" s="1" t="n"/>
      <c r="M499" s="1" t="n"/>
      <c r="N499" s="1" t="n"/>
    </row>
    <row r="500" ht="15.75" customHeight="1" s="311">
      <c r="A500" s="1" t="n"/>
      <c r="B500" s="1" t="n"/>
      <c r="C500" s="1" t="n"/>
      <c r="D500" s="1" t="n"/>
      <c r="E500" s="1" t="n"/>
      <c r="F500" s="1" t="n"/>
      <c r="G500" s="1" t="n"/>
      <c r="H500" s="1" t="n"/>
      <c r="I500" s="1" t="n"/>
      <c r="J500" s="1" t="n"/>
      <c r="K500" s="1" t="n"/>
      <c r="L500" s="1" t="n"/>
      <c r="M500" s="1" t="n"/>
      <c r="N500" s="1" t="n"/>
    </row>
    <row r="501" ht="15.75" customHeight="1" s="311">
      <c r="A501" s="1" t="n"/>
      <c r="B501" s="1" t="n"/>
      <c r="C501" s="1" t="n"/>
      <c r="D501" s="1" t="n"/>
      <c r="E501" s="1" t="n"/>
      <c r="F501" s="1" t="n"/>
      <c r="G501" s="1" t="n"/>
      <c r="H501" s="1" t="n"/>
      <c r="I501" s="1" t="n"/>
      <c r="J501" s="1" t="n"/>
      <c r="K501" s="1" t="n"/>
      <c r="L501" s="1" t="n"/>
      <c r="M501" s="1" t="n"/>
      <c r="N501" s="1" t="n"/>
    </row>
    <row r="502" ht="15.75" customHeight="1" s="311">
      <c r="A502" s="1" t="n"/>
      <c r="B502" s="1" t="n"/>
      <c r="C502" s="1" t="n"/>
      <c r="D502" s="1" t="n"/>
      <c r="E502" s="1" t="n"/>
      <c r="F502" s="1" t="n"/>
      <c r="G502" s="1" t="n"/>
      <c r="H502" s="1" t="n"/>
      <c r="I502" s="1" t="n"/>
      <c r="J502" s="1" t="n"/>
      <c r="K502" s="1" t="n"/>
      <c r="L502" s="1" t="n"/>
      <c r="M502" s="1" t="n"/>
      <c r="N502" s="1" t="n"/>
    </row>
    <row r="503" ht="15.75" customHeight="1" s="311">
      <c r="A503" s="1" t="n"/>
      <c r="B503" s="1" t="n"/>
      <c r="C503" s="1" t="n"/>
      <c r="D503" s="1" t="n"/>
      <c r="E503" s="1" t="n"/>
      <c r="F503" s="1" t="n"/>
      <c r="G503" s="1" t="n"/>
      <c r="H503" s="1" t="n"/>
      <c r="I503" s="1" t="n"/>
      <c r="J503" s="1" t="n"/>
      <c r="K503" s="1" t="n"/>
      <c r="L503" s="1" t="n"/>
      <c r="M503" s="1" t="n"/>
      <c r="N503" s="1" t="n"/>
    </row>
    <row r="504" ht="15.75" customHeight="1" s="311">
      <c r="A504" s="1" t="n"/>
      <c r="B504" s="1" t="n"/>
      <c r="C504" s="1" t="n"/>
      <c r="D504" s="1" t="n"/>
      <c r="E504" s="1" t="n"/>
      <c r="F504" s="1" t="n"/>
      <c r="G504" s="1" t="n"/>
      <c r="H504" s="1" t="n"/>
      <c r="I504" s="1" t="n"/>
      <c r="J504" s="1" t="n"/>
      <c r="K504" s="1" t="n"/>
      <c r="L504" s="1" t="n"/>
      <c r="M504" s="1" t="n"/>
      <c r="N504" s="1" t="n"/>
    </row>
    <row r="505" ht="15.75" customHeight="1" s="311">
      <c r="A505" s="1" t="n"/>
      <c r="B505" s="1" t="n"/>
      <c r="C505" s="1" t="n"/>
      <c r="D505" s="1" t="n"/>
      <c r="E505" s="1" t="n"/>
      <c r="F505" s="1" t="n"/>
      <c r="G505" s="1" t="n"/>
      <c r="H505" s="1" t="n"/>
      <c r="I505" s="1" t="n"/>
      <c r="J505" s="1" t="n"/>
      <c r="K505" s="1" t="n"/>
      <c r="L505" s="1" t="n"/>
      <c r="M505" s="1" t="n"/>
      <c r="N505" s="1" t="n"/>
    </row>
    <row r="506" ht="15.75" customHeight="1" s="311">
      <c r="A506" s="1" t="n"/>
      <c r="B506" s="1" t="n"/>
      <c r="C506" s="1" t="n"/>
      <c r="D506" s="1" t="n"/>
      <c r="E506" s="1" t="n"/>
      <c r="F506" s="1" t="n"/>
      <c r="G506" s="1" t="n"/>
      <c r="H506" s="1" t="n"/>
      <c r="I506" s="1" t="n"/>
      <c r="J506" s="1" t="n"/>
      <c r="K506" s="1" t="n"/>
      <c r="L506" s="1" t="n"/>
      <c r="M506" s="1" t="n"/>
      <c r="N506" s="1" t="n"/>
    </row>
    <row r="507" ht="15.75" customHeight="1" s="311">
      <c r="A507" s="1" t="n"/>
      <c r="B507" s="1" t="n"/>
      <c r="C507" s="1" t="n"/>
      <c r="D507" s="1" t="n"/>
      <c r="E507" s="1" t="n"/>
      <c r="F507" s="1" t="n"/>
      <c r="G507" s="1" t="n"/>
      <c r="H507" s="1" t="n"/>
      <c r="I507" s="1" t="n"/>
      <c r="J507" s="1" t="n"/>
      <c r="K507" s="1" t="n"/>
      <c r="L507" s="1" t="n"/>
      <c r="M507" s="1" t="n"/>
      <c r="N507" s="1" t="n"/>
    </row>
    <row r="508" ht="15.75" customHeight="1" s="311">
      <c r="A508" s="1" t="n"/>
      <c r="B508" s="1" t="n"/>
      <c r="C508" s="1" t="n"/>
      <c r="D508" s="1" t="n"/>
      <c r="E508" s="1" t="n"/>
      <c r="F508" s="1" t="n"/>
      <c r="G508" s="1" t="n"/>
      <c r="H508" s="1" t="n"/>
      <c r="I508" s="1" t="n"/>
      <c r="J508" s="1" t="n"/>
      <c r="K508" s="1" t="n"/>
      <c r="L508" s="1" t="n"/>
      <c r="M508" s="1" t="n"/>
      <c r="N508" s="1" t="n"/>
    </row>
    <row r="509" ht="15.75" customHeight="1" s="311">
      <c r="A509" s="1" t="n"/>
      <c r="B509" s="1" t="n"/>
      <c r="C509" s="1" t="n"/>
      <c r="D509" s="1" t="n"/>
      <c r="E509" s="1" t="n"/>
      <c r="F509" s="1" t="n"/>
      <c r="G509" s="1" t="n"/>
      <c r="H509" s="1" t="n"/>
      <c r="I509" s="1" t="n"/>
      <c r="J509" s="1" t="n"/>
      <c r="K509" s="1" t="n"/>
      <c r="L509" s="1" t="n"/>
      <c r="M509" s="1" t="n"/>
      <c r="N509" s="1" t="n"/>
    </row>
    <row r="510" ht="15.75" customHeight="1" s="311">
      <c r="A510" s="1" t="n"/>
      <c r="B510" s="1" t="n"/>
      <c r="C510" s="1" t="n"/>
      <c r="D510" s="1" t="n"/>
      <c r="E510" s="1" t="n"/>
      <c r="F510" s="1" t="n"/>
      <c r="G510" s="1" t="n"/>
      <c r="H510" s="1" t="n"/>
      <c r="I510" s="1" t="n"/>
      <c r="J510" s="1" t="n"/>
      <c r="K510" s="1" t="n"/>
      <c r="L510" s="1" t="n"/>
      <c r="M510" s="1" t="n"/>
      <c r="N510" s="1" t="n"/>
    </row>
    <row r="511" ht="15.75" customHeight="1" s="311">
      <c r="A511" s="1" t="n"/>
      <c r="B511" s="1" t="n"/>
      <c r="C511" s="1" t="n"/>
      <c r="D511" s="1" t="n"/>
      <c r="E511" s="1" t="n"/>
      <c r="F511" s="1" t="n"/>
      <c r="G511" s="1" t="n"/>
      <c r="H511" s="1" t="n"/>
      <c r="I511" s="1" t="n"/>
      <c r="J511" s="1" t="n"/>
      <c r="K511" s="1" t="n"/>
      <c r="L511" s="1" t="n"/>
      <c r="M511" s="1" t="n"/>
      <c r="N511" s="1" t="n"/>
    </row>
    <row r="512" ht="15.75" customHeight="1" s="311">
      <c r="A512" s="1" t="n"/>
      <c r="B512" s="1" t="n"/>
      <c r="C512" s="1" t="n"/>
      <c r="D512" s="1" t="n"/>
      <c r="E512" s="1" t="n"/>
      <c r="F512" s="1" t="n"/>
      <c r="G512" s="1" t="n"/>
      <c r="H512" s="1" t="n"/>
      <c r="I512" s="1" t="n"/>
      <c r="J512" s="1" t="n"/>
      <c r="K512" s="1" t="n"/>
      <c r="L512" s="1" t="n"/>
      <c r="M512" s="1" t="n"/>
      <c r="N512" s="1" t="n"/>
    </row>
    <row r="513" ht="15.75" customHeight="1" s="311">
      <c r="A513" s="1" t="n"/>
      <c r="B513" s="1" t="n"/>
      <c r="C513" s="1" t="n"/>
      <c r="D513" s="1" t="n"/>
      <c r="E513" s="1" t="n"/>
      <c r="F513" s="1" t="n"/>
      <c r="G513" s="1" t="n"/>
      <c r="H513" s="1" t="n"/>
      <c r="I513" s="1" t="n"/>
      <c r="J513" s="1" t="n"/>
      <c r="K513" s="1" t="n"/>
      <c r="L513" s="1" t="n"/>
      <c r="M513" s="1" t="n"/>
      <c r="N513" s="1" t="n"/>
    </row>
    <row r="514" ht="15.75" customHeight="1" s="311">
      <c r="A514" s="1" t="n"/>
      <c r="B514" s="1" t="n"/>
      <c r="C514" s="1" t="n"/>
      <c r="D514" s="1" t="n"/>
      <c r="E514" s="1" t="n"/>
      <c r="F514" s="1" t="n"/>
      <c r="G514" s="1" t="n"/>
      <c r="H514" s="1" t="n"/>
      <c r="I514" s="1" t="n"/>
      <c r="J514" s="1" t="n"/>
      <c r="K514" s="1" t="n"/>
      <c r="L514" s="1" t="n"/>
      <c r="M514" s="1" t="n"/>
      <c r="N514" s="1" t="n"/>
    </row>
    <row r="515" ht="15.75" customHeight="1" s="311">
      <c r="A515" s="1" t="n"/>
      <c r="B515" s="1" t="n"/>
      <c r="C515" s="1" t="n"/>
      <c r="D515" s="1" t="n"/>
      <c r="E515" s="1" t="n"/>
      <c r="F515" s="1" t="n"/>
      <c r="G515" s="1" t="n"/>
      <c r="H515" s="1" t="n"/>
      <c r="I515" s="1" t="n"/>
      <c r="J515" s="1" t="n"/>
      <c r="K515" s="1" t="n"/>
      <c r="L515" s="1" t="n"/>
      <c r="M515" s="1" t="n"/>
      <c r="N515" s="1" t="n"/>
    </row>
    <row r="516" ht="15.75" customHeight="1" s="311">
      <c r="A516" s="1" t="n"/>
      <c r="B516" s="1" t="n"/>
      <c r="C516" s="1" t="n"/>
      <c r="D516" s="1" t="n"/>
      <c r="E516" s="1" t="n"/>
      <c r="F516" s="1" t="n"/>
      <c r="G516" s="1" t="n"/>
      <c r="H516" s="1" t="n"/>
      <c r="I516" s="1" t="n"/>
      <c r="J516" s="1" t="n"/>
      <c r="K516" s="1" t="n"/>
      <c r="L516" s="1" t="n"/>
      <c r="M516" s="1" t="n"/>
      <c r="N516" s="1" t="n"/>
    </row>
    <row r="517" ht="15.75" customHeight="1" s="311">
      <c r="A517" s="1" t="n"/>
      <c r="B517" s="1" t="n"/>
      <c r="C517" s="1" t="n"/>
      <c r="D517" s="1" t="n"/>
      <c r="E517" s="1" t="n"/>
      <c r="F517" s="1" t="n"/>
      <c r="G517" s="1" t="n"/>
      <c r="H517" s="1" t="n"/>
      <c r="I517" s="1" t="n"/>
      <c r="J517" s="1" t="n"/>
      <c r="K517" s="1" t="n"/>
      <c r="L517" s="1" t="n"/>
      <c r="M517" s="1" t="n"/>
      <c r="N517" s="1" t="n"/>
    </row>
    <row r="518" ht="15.75" customHeight="1" s="311">
      <c r="A518" s="1" t="n"/>
      <c r="B518" s="1" t="n"/>
      <c r="C518" s="1" t="n"/>
      <c r="D518" s="1" t="n"/>
      <c r="E518" s="1" t="n"/>
      <c r="F518" s="1" t="n"/>
      <c r="G518" s="1" t="n"/>
      <c r="H518" s="1" t="n"/>
      <c r="I518" s="1" t="n"/>
      <c r="J518" s="1" t="n"/>
      <c r="K518" s="1" t="n"/>
      <c r="L518" s="1" t="n"/>
      <c r="M518" s="1" t="n"/>
      <c r="N518" s="1" t="n"/>
    </row>
    <row r="519" ht="15.75" customHeight="1" s="311">
      <c r="A519" s="1" t="n"/>
      <c r="B519" s="1" t="n"/>
      <c r="C519" s="1" t="n"/>
      <c r="D519" s="1" t="n"/>
      <c r="E519" s="1" t="n"/>
      <c r="F519" s="1" t="n"/>
      <c r="G519" s="1" t="n"/>
      <c r="H519" s="1" t="n"/>
      <c r="I519" s="1" t="n"/>
      <c r="J519" s="1" t="n"/>
      <c r="K519" s="1" t="n"/>
      <c r="L519" s="1" t="n"/>
      <c r="M519" s="1" t="n"/>
      <c r="N519" s="1" t="n"/>
    </row>
    <row r="520" ht="15.75" customHeight="1" s="311">
      <c r="A520" s="1" t="n"/>
      <c r="B520" s="1" t="n"/>
      <c r="C520" s="1" t="n"/>
      <c r="D520" s="1" t="n"/>
      <c r="E520" s="1" t="n"/>
      <c r="F520" s="1" t="n"/>
      <c r="G520" s="1" t="n"/>
      <c r="H520" s="1" t="n"/>
      <c r="I520" s="1" t="n"/>
      <c r="J520" s="1" t="n"/>
      <c r="K520" s="1" t="n"/>
      <c r="L520" s="1" t="n"/>
      <c r="M520" s="1" t="n"/>
      <c r="N520" s="1" t="n"/>
    </row>
    <row r="521" ht="15.75" customHeight="1" s="311">
      <c r="A521" s="1" t="n"/>
      <c r="B521" s="1" t="n"/>
      <c r="C521" s="1" t="n"/>
      <c r="D521" s="1" t="n"/>
      <c r="E521" s="1" t="n"/>
      <c r="F521" s="1" t="n"/>
      <c r="G521" s="1" t="n"/>
      <c r="H521" s="1" t="n"/>
      <c r="I521" s="1" t="n"/>
      <c r="J521" s="1" t="n"/>
      <c r="K521" s="1" t="n"/>
      <c r="L521" s="1" t="n"/>
      <c r="M521" s="1" t="n"/>
      <c r="N521" s="1" t="n"/>
    </row>
    <row r="522" ht="15.75" customHeight="1" s="311">
      <c r="A522" s="1" t="n"/>
      <c r="B522" s="1" t="n"/>
      <c r="C522" s="1" t="n"/>
      <c r="D522" s="1" t="n"/>
      <c r="E522" s="1" t="n"/>
      <c r="F522" s="1" t="n"/>
      <c r="G522" s="1" t="n"/>
      <c r="H522" s="1" t="n"/>
      <c r="I522" s="1" t="n"/>
      <c r="J522" s="1" t="n"/>
      <c r="K522" s="1" t="n"/>
      <c r="L522" s="1" t="n"/>
      <c r="M522" s="1" t="n"/>
      <c r="N522" s="1" t="n"/>
    </row>
    <row r="523" ht="15.75" customHeight="1" s="311">
      <c r="A523" s="1" t="n"/>
      <c r="B523" s="1" t="n"/>
      <c r="C523" s="1" t="n"/>
      <c r="D523" s="1" t="n"/>
      <c r="E523" s="1" t="n"/>
      <c r="F523" s="1" t="n"/>
      <c r="G523" s="1" t="n"/>
      <c r="H523" s="1" t="n"/>
      <c r="I523" s="1" t="n"/>
      <c r="J523" s="1" t="n"/>
      <c r="K523" s="1" t="n"/>
      <c r="L523" s="1" t="n"/>
      <c r="M523" s="1" t="n"/>
      <c r="N523" s="1" t="n"/>
    </row>
    <row r="524" ht="15.75" customHeight="1" s="311">
      <c r="A524" s="1" t="n"/>
      <c r="B524" s="1" t="n"/>
      <c r="C524" s="1" t="n"/>
      <c r="D524" s="1" t="n"/>
      <c r="E524" s="1" t="n"/>
      <c r="F524" s="1" t="n"/>
      <c r="G524" s="1" t="n"/>
      <c r="H524" s="1" t="n"/>
      <c r="I524" s="1" t="n"/>
      <c r="J524" s="1" t="n"/>
      <c r="K524" s="1" t="n"/>
      <c r="L524" s="1" t="n"/>
      <c r="M524" s="1" t="n"/>
      <c r="N524" s="1" t="n"/>
    </row>
    <row r="525" ht="15.75" customHeight="1" s="311">
      <c r="A525" s="1" t="n"/>
      <c r="B525" s="1" t="n"/>
      <c r="C525" s="1" t="n"/>
      <c r="D525" s="1" t="n"/>
      <c r="E525" s="1" t="n"/>
      <c r="F525" s="1" t="n"/>
      <c r="G525" s="1" t="n"/>
      <c r="H525" s="1" t="n"/>
      <c r="I525" s="1" t="n"/>
      <c r="J525" s="1" t="n"/>
      <c r="K525" s="1" t="n"/>
      <c r="L525" s="1" t="n"/>
      <c r="M525" s="1" t="n"/>
      <c r="N525" s="1" t="n"/>
    </row>
    <row r="526" ht="15.75" customHeight="1" s="311">
      <c r="A526" s="1" t="n"/>
      <c r="B526" s="1" t="n"/>
      <c r="C526" s="1" t="n"/>
      <c r="D526" s="1" t="n"/>
      <c r="E526" s="1" t="n"/>
      <c r="F526" s="1" t="n"/>
      <c r="G526" s="1" t="n"/>
      <c r="H526" s="1" t="n"/>
      <c r="I526" s="1" t="n"/>
      <c r="J526" s="1" t="n"/>
      <c r="K526" s="1" t="n"/>
      <c r="L526" s="1" t="n"/>
      <c r="M526" s="1" t="n"/>
      <c r="N526" s="1" t="n"/>
    </row>
    <row r="527" ht="15.75" customHeight="1" s="311">
      <c r="A527" s="1" t="n"/>
      <c r="B527" s="1" t="n"/>
      <c r="C527" s="1" t="n"/>
      <c r="D527" s="1" t="n"/>
      <c r="E527" s="1" t="n"/>
      <c r="F527" s="1" t="n"/>
      <c r="G527" s="1" t="n"/>
      <c r="H527" s="1" t="n"/>
      <c r="I527" s="1" t="n"/>
      <c r="J527" s="1" t="n"/>
      <c r="K527" s="1" t="n"/>
      <c r="L527" s="1" t="n"/>
      <c r="M527" s="1" t="n"/>
      <c r="N527" s="1" t="n"/>
    </row>
    <row r="528" ht="15.75" customHeight="1" s="311">
      <c r="A528" s="1" t="n"/>
      <c r="B528" s="1" t="n"/>
      <c r="C528" s="1" t="n"/>
      <c r="D528" s="1" t="n"/>
      <c r="E528" s="1" t="n"/>
      <c r="F528" s="1" t="n"/>
      <c r="G528" s="1" t="n"/>
      <c r="H528" s="1" t="n"/>
      <c r="I528" s="1" t="n"/>
      <c r="J528" s="1" t="n"/>
      <c r="K528" s="1" t="n"/>
      <c r="L528" s="1" t="n"/>
      <c r="M528" s="1" t="n"/>
      <c r="N528" s="1" t="n"/>
    </row>
    <row r="529" ht="15.75" customHeight="1" s="311">
      <c r="A529" s="1" t="n"/>
      <c r="B529" s="1" t="n"/>
      <c r="C529" s="1" t="n"/>
      <c r="D529" s="1" t="n"/>
      <c r="E529" s="1" t="n"/>
      <c r="F529" s="1" t="n"/>
      <c r="G529" s="1" t="n"/>
      <c r="H529" s="1" t="n"/>
      <c r="I529" s="1" t="n"/>
      <c r="J529" s="1" t="n"/>
      <c r="K529" s="1" t="n"/>
      <c r="L529" s="1" t="n"/>
      <c r="M529" s="1" t="n"/>
      <c r="N529" s="1" t="n"/>
    </row>
    <row r="530" ht="15.75" customHeight="1" s="311">
      <c r="A530" s="1" t="n"/>
      <c r="B530" s="1" t="n"/>
      <c r="C530" s="1" t="n"/>
      <c r="D530" s="1" t="n"/>
      <c r="E530" s="1" t="n"/>
      <c r="F530" s="1" t="n"/>
      <c r="G530" s="1" t="n"/>
      <c r="H530" s="1" t="n"/>
      <c r="I530" s="1" t="n"/>
      <c r="J530" s="1" t="n"/>
      <c r="K530" s="1" t="n"/>
      <c r="L530" s="1" t="n"/>
      <c r="M530" s="1" t="n"/>
      <c r="N530" s="1" t="n"/>
    </row>
    <row r="531" ht="15.75" customHeight="1" s="311">
      <c r="A531" s="1" t="n"/>
      <c r="B531" s="1" t="n"/>
      <c r="C531" s="1" t="n"/>
      <c r="D531" s="1" t="n"/>
      <c r="E531" s="1" t="n"/>
      <c r="F531" s="1" t="n"/>
      <c r="G531" s="1" t="n"/>
      <c r="H531" s="1" t="n"/>
      <c r="I531" s="1" t="n"/>
      <c r="J531" s="1" t="n"/>
      <c r="K531" s="1" t="n"/>
      <c r="L531" s="1" t="n"/>
      <c r="M531" s="1" t="n"/>
      <c r="N531" s="1" t="n"/>
    </row>
    <row r="532" ht="15.75" customHeight="1" s="311">
      <c r="A532" s="1" t="n"/>
      <c r="B532" s="1" t="n"/>
      <c r="C532" s="1" t="n"/>
      <c r="D532" s="1" t="n"/>
      <c r="E532" s="1" t="n"/>
      <c r="F532" s="1" t="n"/>
      <c r="G532" s="1" t="n"/>
      <c r="H532" s="1" t="n"/>
      <c r="I532" s="1" t="n"/>
      <c r="J532" s="1" t="n"/>
      <c r="K532" s="1" t="n"/>
      <c r="L532" s="1" t="n"/>
      <c r="M532" s="1" t="n"/>
      <c r="N532" s="1" t="n"/>
    </row>
    <row r="533" ht="15.75" customHeight="1" s="311">
      <c r="A533" s="1" t="n"/>
      <c r="B533" s="1" t="n"/>
      <c r="C533" s="1" t="n"/>
      <c r="D533" s="1" t="n"/>
      <c r="E533" s="1" t="n"/>
      <c r="F533" s="1" t="n"/>
      <c r="G533" s="1" t="n"/>
      <c r="H533" s="1" t="n"/>
      <c r="I533" s="1" t="n"/>
      <c r="J533" s="1" t="n"/>
      <c r="K533" s="1" t="n"/>
      <c r="L533" s="1" t="n"/>
      <c r="M533" s="1" t="n"/>
      <c r="N533" s="1" t="n"/>
    </row>
    <row r="534" ht="15.75" customHeight="1" s="311">
      <c r="A534" s="1" t="n"/>
      <c r="B534" s="1" t="n"/>
      <c r="C534" s="1" t="n"/>
      <c r="D534" s="1" t="n"/>
      <c r="E534" s="1" t="n"/>
      <c r="F534" s="1" t="n"/>
      <c r="G534" s="1" t="n"/>
      <c r="H534" s="1" t="n"/>
      <c r="I534" s="1" t="n"/>
      <c r="J534" s="1" t="n"/>
      <c r="K534" s="1" t="n"/>
      <c r="L534" s="1" t="n"/>
      <c r="M534" s="1" t="n"/>
      <c r="N534" s="1" t="n"/>
    </row>
    <row r="535" ht="15.75" customHeight="1" s="311">
      <c r="A535" s="1" t="n"/>
      <c r="B535" s="1" t="n"/>
      <c r="C535" s="1" t="n"/>
      <c r="D535" s="1" t="n"/>
      <c r="E535" s="1" t="n"/>
      <c r="F535" s="1" t="n"/>
      <c r="G535" s="1" t="n"/>
      <c r="H535" s="1" t="n"/>
      <c r="I535" s="1" t="n"/>
      <c r="J535" s="1" t="n"/>
      <c r="K535" s="1" t="n"/>
      <c r="L535" s="1" t="n"/>
      <c r="M535" s="1" t="n"/>
      <c r="N535" s="1" t="n"/>
    </row>
    <row r="536" ht="15.75" customHeight="1" s="311">
      <c r="A536" s="1" t="n"/>
      <c r="B536" s="1" t="n"/>
      <c r="C536" s="1" t="n"/>
      <c r="D536" s="1" t="n"/>
      <c r="E536" s="1" t="n"/>
      <c r="F536" s="1" t="n"/>
      <c r="G536" s="1" t="n"/>
      <c r="H536" s="1" t="n"/>
      <c r="I536" s="1" t="n"/>
      <c r="J536" s="1" t="n"/>
      <c r="K536" s="1" t="n"/>
      <c r="L536" s="1" t="n"/>
      <c r="M536" s="1" t="n"/>
      <c r="N536" s="1" t="n"/>
    </row>
    <row r="537" ht="15.75" customHeight="1" s="311">
      <c r="A537" s="1" t="n"/>
      <c r="B537" s="1" t="n"/>
      <c r="C537" s="1" t="n"/>
      <c r="D537" s="1" t="n"/>
      <c r="E537" s="1" t="n"/>
      <c r="F537" s="1" t="n"/>
      <c r="G537" s="1" t="n"/>
      <c r="H537" s="1" t="n"/>
      <c r="I537" s="1" t="n"/>
      <c r="J537" s="1" t="n"/>
      <c r="K537" s="1" t="n"/>
      <c r="L537" s="1" t="n"/>
      <c r="M537" s="1" t="n"/>
      <c r="N537" s="1" t="n"/>
    </row>
    <row r="538" ht="15.75" customHeight="1" s="311">
      <c r="A538" s="1" t="n"/>
      <c r="B538" s="1" t="n"/>
      <c r="C538" s="1" t="n"/>
      <c r="D538" s="1" t="n"/>
      <c r="E538" s="1" t="n"/>
      <c r="F538" s="1" t="n"/>
      <c r="G538" s="1" t="n"/>
      <c r="H538" s="1" t="n"/>
      <c r="I538" s="1" t="n"/>
      <c r="J538" s="1" t="n"/>
      <c r="K538" s="1" t="n"/>
      <c r="L538" s="1" t="n"/>
      <c r="M538" s="1" t="n"/>
      <c r="N538" s="1" t="n"/>
    </row>
    <row r="539" ht="15.75" customHeight="1" s="311">
      <c r="A539" s="1" t="n"/>
      <c r="B539" s="1" t="n"/>
      <c r="C539" s="1" t="n"/>
      <c r="D539" s="1" t="n"/>
      <c r="E539" s="1" t="n"/>
      <c r="F539" s="1" t="n"/>
      <c r="G539" s="1" t="n"/>
      <c r="H539" s="1" t="n"/>
      <c r="I539" s="1" t="n"/>
      <c r="J539" s="1" t="n"/>
      <c r="K539" s="1" t="n"/>
      <c r="L539" s="1" t="n"/>
      <c r="M539" s="1" t="n"/>
      <c r="N539" s="1" t="n"/>
    </row>
    <row r="540" ht="15.75" customHeight="1" s="311">
      <c r="A540" s="1" t="n"/>
      <c r="B540" s="1" t="n"/>
      <c r="C540" s="1" t="n"/>
      <c r="D540" s="1" t="n"/>
      <c r="E540" s="1" t="n"/>
      <c r="F540" s="1" t="n"/>
      <c r="G540" s="1" t="n"/>
      <c r="H540" s="1" t="n"/>
      <c r="I540" s="1" t="n"/>
      <c r="J540" s="1" t="n"/>
      <c r="K540" s="1" t="n"/>
      <c r="L540" s="1" t="n"/>
      <c r="M540" s="1" t="n"/>
      <c r="N540" s="1" t="n"/>
    </row>
    <row r="541" ht="15.75" customHeight="1" s="311">
      <c r="A541" s="1" t="n"/>
      <c r="B541" s="1" t="n"/>
      <c r="C541" s="1" t="n"/>
      <c r="D541" s="1" t="n"/>
      <c r="E541" s="1" t="n"/>
      <c r="F541" s="1" t="n"/>
      <c r="G541" s="1" t="n"/>
      <c r="H541" s="1" t="n"/>
      <c r="I541" s="1" t="n"/>
      <c r="J541" s="1" t="n"/>
      <c r="K541" s="1" t="n"/>
      <c r="L541" s="1" t="n"/>
      <c r="M541" s="1" t="n"/>
      <c r="N541" s="1" t="n"/>
    </row>
    <row r="542" ht="15.75" customHeight="1" s="311">
      <c r="A542" s="1" t="n"/>
      <c r="B542" s="1" t="n"/>
      <c r="C542" s="1" t="n"/>
      <c r="D542" s="1" t="n"/>
      <c r="E542" s="1" t="n"/>
      <c r="F542" s="1" t="n"/>
      <c r="G542" s="1" t="n"/>
      <c r="H542" s="1" t="n"/>
      <c r="I542" s="1" t="n"/>
      <c r="J542" s="1" t="n"/>
      <c r="K542" s="1" t="n"/>
      <c r="L542" s="1" t="n"/>
      <c r="M542" s="1" t="n"/>
      <c r="N542" s="1" t="n"/>
    </row>
    <row r="543" ht="15.75" customHeight="1" s="311">
      <c r="A543" s="1" t="n"/>
      <c r="B543" s="1" t="n"/>
      <c r="C543" s="1" t="n"/>
      <c r="D543" s="1" t="n"/>
      <c r="E543" s="1" t="n"/>
      <c r="F543" s="1" t="n"/>
      <c r="G543" s="1" t="n"/>
      <c r="H543" s="1" t="n"/>
      <c r="I543" s="1" t="n"/>
      <c r="J543" s="1" t="n"/>
      <c r="K543" s="1" t="n"/>
      <c r="L543" s="1" t="n"/>
      <c r="M543" s="1" t="n"/>
      <c r="N543" s="1" t="n"/>
    </row>
    <row r="544" ht="15.75" customHeight="1" s="311">
      <c r="A544" s="1" t="n"/>
      <c r="B544" s="1" t="n"/>
      <c r="C544" s="1" t="n"/>
      <c r="D544" s="1" t="n"/>
      <c r="E544" s="1" t="n"/>
      <c r="F544" s="1" t="n"/>
      <c r="G544" s="1" t="n"/>
      <c r="H544" s="1" t="n"/>
      <c r="I544" s="1" t="n"/>
      <c r="J544" s="1" t="n"/>
      <c r="K544" s="1" t="n"/>
      <c r="L544" s="1" t="n"/>
      <c r="M544" s="1" t="n"/>
      <c r="N544" s="1" t="n"/>
    </row>
    <row r="545" ht="15.75" customHeight="1" s="311">
      <c r="A545" s="1" t="n"/>
      <c r="B545" s="1" t="n"/>
      <c r="C545" s="1" t="n"/>
      <c r="D545" s="1" t="n"/>
      <c r="E545" s="1" t="n"/>
      <c r="F545" s="1" t="n"/>
      <c r="G545" s="1" t="n"/>
      <c r="H545" s="1" t="n"/>
      <c r="I545" s="1" t="n"/>
      <c r="J545" s="1" t="n"/>
      <c r="K545" s="1" t="n"/>
      <c r="L545" s="1" t="n"/>
      <c r="M545" s="1" t="n"/>
      <c r="N545" s="1" t="n"/>
    </row>
    <row r="546" ht="15.75" customHeight="1" s="311">
      <c r="A546" s="1" t="n"/>
      <c r="B546" s="1" t="n"/>
      <c r="C546" s="1" t="n"/>
      <c r="D546" s="1" t="n"/>
      <c r="E546" s="1" t="n"/>
      <c r="F546" s="1" t="n"/>
      <c r="G546" s="1" t="n"/>
      <c r="H546" s="1" t="n"/>
      <c r="I546" s="1" t="n"/>
      <c r="J546" s="1" t="n"/>
      <c r="K546" s="1" t="n"/>
      <c r="L546" s="1" t="n"/>
      <c r="M546" s="1" t="n"/>
      <c r="N546" s="1" t="n"/>
    </row>
    <row r="547" ht="15.75" customHeight="1" s="311">
      <c r="A547" s="1" t="n"/>
      <c r="B547" s="1" t="n"/>
      <c r="C547" s="1" t="n"/>
      <c r="D547" s="1" t="n"/>
      <c r="E547" s="1" t="n"/>
      <c r="F547" s="1" t="n"/>
      <c r="G547" s="1" t="n"/>
      <c r="H547" s="1" t="n"/>
      <c r="I547" s="1" t="n"/>
      <c r="J547" s="1" t="n"/>
      <c r="K547" s="1" t="n"/>
      <c r="L547" s="1" t="n"/>
      <c r="M547" s="1" t="n"/>
      <c r="N547" s="1" t="n"/>
    </row>
    <row r="548" ht="15.75" customHeight="1" s="311">
      <c r="A548" s="1" t="n"/>
      <c r="B548" s="1" t="n"/>
      <c r="C548" s="1" t="n"/>
      <c r="D548" s="1" t="n"/>
      <c r="E548" s="1" t="n"/>
      <c r="F548" s="1" t="n"/>
      <c r="G548" s="1" t="n"/>
      <c r="H548" s="1" t="n"/>
      <c r="I548" s="1" t="n"/>
      <c r="J548" s="1" t="n"/>
      <c r="K548" s="1" t="n"/>
      <c r="L548" s="1" t="n"/>
      <c r="M548" s="1" t="n"/>
      <c r="N548" s="1" t="n"/>
    </row>
    <row r="549" ht="15.75" customHeight="1" s="311">
      <c r="A549" s="1" t="n"/>
      <c r="B549" s="1" t="n"/>
      <c r="C549" s="1" t="n"/>
      <c r="D549" s="1" t="n"/>
      <c r="E549" s="1" t="n"/>
      <c r="F549" s="1" t="n"/>
      <c r="G549" s="1" t="n"/>
      <c r="H549" s="1" t="n"/>
      <c r="I549" s="1" t="n"/>
      <c r="J549" s="1" t="n"/>
      <c r="K549" s="1" t="n"/>
      <c r="L549" s="1" t="n"/>
      <c r="M549" s="1" t="n"/>
      <c r="N549" s="1" t="n"/>
    </row>
    <row r="550" ht="15.75" customHeight="1" s="311">
      <c r="A550" s="1" t="n"/>
      <c r="B550" s="1" t="n"/>
      <c r="C550" s="1" t="n"/>
      <c r="D550" s="1" t="n"/>
      <c r="E550" s="1" t="n"/>
      <c r="F550" s="1" t="n"/>
      <c r="G550" s="1" t="n"/>
      <c r="H550" s="1" t="n"/>
      <c r="I550" s="1" t="n"/>
      <c r="J550" s="1" t="n"/>
      <c r="K550" s="1" t="n"/>
      <c r="L550" s="1" t="n"/>
      <c r="M550" s="1" t="n"/>
      <c r="N550" s="1" t="n"/>
    </row>
    <row r="551" ht="15.75" customHeight="1" s="311">
      <c r="A551" s="1" t="n"/>
      <c r="B551" s="1" t="n"/>
      <c r="C551" s="1" t="n"/>
      <c r="D551" s="1" t="n"/>
      <c r="E551" s="1" t="n"/>
      <c r="F551" s="1" t="n"/>
      <c r="G551" s="1" t="n"/>
      <c r="H551" s="1" t="n"/>
      <c r="I551" s="1" t="n"/>
      <c r="J551" s="1" t="n"/>
      <c r="K551" s="1" t="n"/>
      <c r="L551" s="1" t="n"/>
      <c r="M551" s="1" t="n"/>
      <c r="N551" s="1" t="n"/>
    </row>
    <row r="552" ht="15.75" customHeight="1" s="311">
      <c r="A552" s="1" t="n"/>
      <c r="B552" s="1" t="n"/>
      <c r="C552" s="1" t="n"/>
      <c r="D552" s="1" t="n"/>
      <c r="E552" s="1" t="n"/>
      <c r="F552" s="1" t="n"/>
      <c r="G552" s="1" t="n"/>
      <c r="H552" s="1" t="n"/>
      <c r="I552" s="1" t="n"/>
      <c r="J552" s="1" t="n"/>
      <c r="K552" s="1" t="n"/>
      <c r="L552" s="1" t="n"/>
      <c r="M552" s="1" t="n"/>
      <c r="N552" s="1" t="n"/>
    </row>
    <row r="553" ht="15.75" customHeight="1" s="311">
      <c r="A553" s="1" t="n"/>
      <c r="B553" s="1" t="n"/>
      <c r="C553" s="1" t="n"/>
      <c r="D553" s="1" t="n"/>
      <c r="E553" s="1" t="n"/>
      <c r="F553" s="1" t="n"/>
      <c r="G553" s="1" t="n"/>
      <c r="H553" s="1" t="n"/>
      <c r="I553" s="1" t="n"/>
      <c r="J553" s="1" t="n"/>
      <c r="K553" s="1" t="n"/>
      <c r="L553" s="1" t="n"/>
      <c r="M553" s="1" t="n"/>
      <c r="N553" s="1" t="n"/>
    </row>
    <row r="554" ht="15.75" customHeight="1" s="311">
      <c r="A554" s="1" t="n"/>
      <c r="B554" s="1" t="n"/>
      <c r="C554" s="1" t="n"/>
      <c r="D554" s="1" t="n"/>
      <c r="E554" s="1" t="n"/>
      <c r="F554" s="1" t="n"/>
      <c r="G554" s="1" t="n"/>
      <c r="H554" s="1" t="n"/>
      <c r="I554" s="1" t="n"/>
      <c r="J554" s="1" t="n"/>
      <c r="K554" s="1" t="n"/>
      <c r="L554" s="1" t="n"/>
      <c r="M554" s="1" t="n"/>
      <c r="N554" s="1" t="n"/>
    </row>
    <row r="555" ht="15.75" customHeight="1" s="311">
      <c r="A555" s="1" t="n"/>
      <c r="B555" s="1" t="n"/>
      <c r="C555" s="1" t="n"/>
      <c r="D555" s="1" t="n"/>
      <c r="E555" s="1" t="n"/>
      <c r="F555" s="1" t="n"/>
      <c r="G555" s="1" t="n"/>
      <c r="H555" s="1" t="n"/>
      <c r="I555" s="1" t="n"/>
      <c r="J555" s="1" t="n"/>
      <c r="K555" s="1" t="n"/>
      <c r="L555" s="1" t="n"/>
      <c r="M555" s="1" t="n"/>
      <c r="N555" s="1" t="n"/>
    </row>
    <row r="556" ht="15.75" customHeight="1" s="311">
      <c r="A556" s="1" t="n"/>
      <c r="B556" s="1" t="n"/>
      <c r="C556" s="1" t="n"/>
      <c r="D556" s="1" t="n"/>
      <c r="E556" s="1" t="n"/>
      <c r="F556" s="1" t="n"/>
      <c r="G556" s="1" t="n"/>
      <c r="H556" s="1" t="n"/>
      <c r="I556" s="1" t="n"/>
      <c r="J556" s="1" t="n"/>
      <c r="K556" s="1" t="n"/>
      <c r="L556" s="1" t="n"/>
      <c r="M556" s="1" t="n"/>
      <c r="N556" s="1" t="n"/>
    </row>
    <row r="557" ht="15.75" customHeight="1" s="311">
      <c r="A557" s="1" t="n"/>
      <c r="B557" s="1" t="n"/>
      <c r="C557" s="1" t="n"/>
      <c r="D557" s="1" t="n"/>
      <c r="E557" s="1" t="n"/>
      <c r="F557" s="1" t="n"/>
      <c r="G557" s="1" t="n"/>
      <c r="H557" s="1" t="n"/>
      <c r="I557" s="1" t="n"/>
      <c r="J557" s="1" t="n"/>
      <c r="K557" s="1" t="n"/>
      <c r="L557" s="1" t="n"/>
      <c r="M557" s="1" t="n"/>
      <c r="N557" s="1" t="n"/>
    </row>
    <row r="558" ht="15.75" customHeight="1" s="311">
      <c r="A558" s="1" t="n"/>
      <c r="B558" s="1" t="n"/>
      <c r="C558" s="1" t="n"/>
      <c r="D558" s="1" t="n"/>
      <c r="E558" s="1" t="n"/>
      <c r="F558" s="1" t="n"/>
      <c r="G558" s="1" t="n"/>
      <c r="H558" s="1" t="n"/>
      <c r="I558" s="1" t="n"/>
      <c r="J558" s="1" t="n"/>
      <c r="K558" s="1" t="n"/>
      <c r="L558" s="1" t="n"/>
      <c r="M558" s="1" t="n"/>
      <c r="N558" s="1" t="n"/>
    </row>
    <row r="559" ht="15.75" customHeight="1" s="311">
      <c r="A559" s="1" t="n"/>
      <c r="B559" s="1" t="n"/>
      <c r="C559" s="1" t="n"/>
      <c r="D559" s="1" t="n"/>
      <c r="E559" s="1" t="n"/>
      <c r="F559" s="1" t="n"/>
      <c r="G559" s="1" t="n"/>
      <c r="H559" s="1" t="n"/>
      <c r="I559" s="1" t="n"/>
      <c r="J559" s="1" t="n"/>
      <c r="K559" s="1" t="n"/>
      <c r="L559" s="1" t="n"/>
      <c r="M559" s="1" t="n"/>
      <c r="N559" s="1" t="n"/>
    </row>
    <row r="560" ht="15.75" customHeight="1" s="311">
      <c r="A560" s="1" t="n"/>
      <c r="B560" s="1" t="n"/>
      <c r="C560" s="1" t="n"/>
      <c r="D560" s="1" t="n"/>
      <c r="E560" s="1" t="n"/>
      <c r="F560" s="1" t="n"/>
      <c r="G560" s="1" t="n"/>
      <c r="H560" s="1" t="n"/>
      <c r="I560" s="1" t="n"/>
      <c r="J560" s="1" t="n"/>
      <c r="K560" s="1" t="n"/>
      <c r="L560" s="1" t="n"/>
      <c r="M560" s="1" t="n"/>
      <c r="N560" s="1" t="n"/>
    </row>
    <row r="561" ht="15.75" customHeight="1" s="311">
      <c r="A561" s="1" t="n"/>
      <c r="B561" s="1" t="n"/>
      <c r="C561" s="1" t="n"/>
      <c r="D561" s="1" t="n"/>
      <c r="E561" s="1" t="n"/>
      <c r="F561" s="1" t="n"/>
      <c r="G561" s="1" t="n"/>
      <c r="H561" s="1" t="n"/>
      <c r="I561" s="1" t="n"/>
      <c r="J561" s="1" t="n"/>
      <c r="K561" s="1" t="n"/>
      <c r="L561" s="1" t="n"/>
      <c r="M561" s="1" t="n"/>
      <c r="N561" s="1" t="n"/>
    </row>
    <row r="562" ht="15.75" customHeight="1" s="311">
      <c r="A562" s="1" t="n"/>
      <c r="B562" s="1" t="n"/>
      <c r="C562" s="1" t="n"/>
      <c r="D562" s="1" t="n"/>
      <c r="E562" s="1" t="n"/>
      <c r="F562" s="1" t="n"/>
      <c r="G562" s="1" t="n"/>
      <c r="H562" s="1" t="n"/>
      <c r="I562" s="1" t="n"/>
      <c r="J562" s="1" t="n"/>
      <c r="K562" s="1" t="n"/>
      <c r="L562" s="1" t="n"/>
      <c r="M562" s="1" t="n"/>
      <c r="N562" s="1" t="n"/>
    </row>
    <row r="563" ht="15.75" customHeight="1" s="311">
      <c r="A563" s="1" t="n"/>
      <c r="B563" s="1" t="n"/>
      <c r="C563" s="1" t="n"/>
      <c r="D563" s="1" t="n"/>
      <c r="E563" s="1" t="n"/>
      <c r="F563" s="1" t="n"/>
      <c r="G563" s="1" t="n"/>
      <c r="H563" s="1" t="n"/>
      <c r="I563" s="1" t="n"/>
      <c r="J563" s="1" t="n"/>
      <c r="K563" s="1" t="n"/>
      <c r="L563" s="1" t="n"/>
      <c r="M563" s="1" t="n"/>
      <c r="N563" s="1" t="n"/>
    </row>
    <row r="564" ht="15.75" customHeight="1" s="311">
      <c r="A564" s="1" t="n"/>
      <c r="B564" s="1" t="n"/>
      <c r="C564" s="1" t="n"/>
      <c r="D564" s="1" t="n"/>
      <c r="E564" s="1" t="n"/>
      <c r="F564" s="1" t="n"/>
      <c r="G564" s="1" t="n"/>
      <c r="H564" s="1" t="n"/>
      <c r="I564" s="1" t="n"/>
      <c r="J564" s="1" t="n"/>
      <c r="K564" s="1" t="n"/>
      <c r="L564" s="1" t="n"/>
      <c r="M564" s="1" t="n"/>
      <c r="N564" s="1" t="n"/>
    </row>
    <row r="565" ht="15.75" customHeight="1" s="311">
      <c r="A565" s="1" t="n"/>
      <c r="B565" s="1" t="n"/>
      <c r="C565" s="1" t="n"/>
      <c r="D565" s="1" t="n"/>
      <c r="E565" s="1" t="n"/>
      <c r="F565" s="1" t="n"/>
      <c r="G565" s="1" t="n"/>
      <c r="H565" s="1" t="n"/>
      <c r="I565" s="1" t="n"/>
      <c r="J565" s="1" t="n"/>
      <c r="K565" s="1" t="n"/>
      <c r="L565" s="1" t="n"/>
      <c r="M565" s="1" t="n"/>
      <c r="N565" s="1" t="n"/>
    </row>
    <row r="566" ht="15.75" customHeight="1" s="311">
      <c r="A566" s="1" t="n"/>
      <c r="B566" s="1" t="n"/>
      <c r="C566" s="1" t="n"/>
      <c r="D566" s="1" t="n"/>
      <c r="E566" s="1" t="n"/>
      <c r="F566" s="1" t="n"/>
      <c r="G566" s="1" t="n"/>
      <c r="H566" s="1" t="n"/>
      <c r="I566" s="1" t="n"/>
      <c r="J566" s="1" t="n"/>
      <c r="K566" s="1" t="n"/>
      <c r="L566" s="1" t="n"/>
      <c r="M566" s="1" t="n"/>
      <c r="N566" s="1" t="n"/>
    </row>
    <row r="567" ht="15.75" customHeight="1" s="311">
      <c r="A567" s="1" t="n"/>
      <c r="B567" s="1" t="n"/>
      <c r="C567" s="1" t="n"/>
      <c r="D567" s="1" t="n"/>
      <c r="E567" s="1" t="n"/>
      <c r="F567" s="1" t="n"/>
      <c r="G567" s="1" t="n"/>
      <c r="H567" s="1" t="n"/>
      <c r="I567" s="1" t="n"/>
      <c r="J567" s="1" t="n"/>
      <c r="K567" s="1" t="n"/>
      <c r="L567" s="1" t="n"/>
      <c r="M567" s="1" t="n"/>
      <c r="N567" s="1" t="n"/>
    </row>
    <row r="568" ht="15.75" customHeight="1" s="311">
      <c r="A568" s="1" t="n"/>
      <c r="B568" s="1" t="n"/>
      <c r="C568" s="1" t="n"/>
      <c r="D568" s="1" t="n"/>
      <c r="E568" s="1" t="n"/>
      <c r="F568" s="1" t="n"/>
      <c r="G568" s="1" t="n"/>
      <c r="H568" s="1" t="n"/>
      <c r="I568" s="1" t="n"/>
      <c r="J568" s="1" t="n"/>
      <c r="K568" s="1" t="n"/>
      <c r="L568" s="1" t="n"/>
      <c r="M568" s="1" t="n"/>
      <c r="N568" s="1" t="n"/>
    </row>
    <row r="569" ht="15.75" customHeight="1" s="311">
      <c r="A569" s="1" t="n"/>
      <c r="B569" s="1" t="n"/>
      <c r="C569" s="1" t="n"/>
      <c r="D569" s="1" t="n"/>
      <c r="E569" s="1" t="n"/>
      <c r="F569" s="1" t="n"/>
      <c r="G569" s="1" t="n"/>
      <c r="H569" s="1" t="n"/>
      <c r="I569" s="1" t="n"/>
      <c r="J569" s="1" t="n"/>
      <c r="K569" s="1" t="n"/>
      <c r="L569" s="1" t="n"/>
      <c r="M569" s="1" t="n"/>
      <c r="N569" s="1" t="n"/>
    </row>
    <row r="570" ht="15.75" customHeight="1" s="311">
      <c r="A570" s="1" t="n"/>
      <c r="B570" s="1" t="n"/>
      <c r="C570" s="1" t="n"/>
      <c r="D570" s="1" t="n"/>
      <c r="E570" s="1" t="n"/>
      <c r="F570" s="1" t="n"/>
      <c r="G570" s="1" t="n"/>
      <c r="H570" s="1" t="n"/>
      <c r="I570" s="1" t="n"/>
      <c r="J570" s="1" t="n"/>
      <c r="K570" s="1" t="n"/>
      <c r="L570" s="1" t="n"/>
      <c r="M570" s="1" t="n"/>
      <c r="N570" s="1" t="n"/>
    </row>
    <row r="571" ht="15.75" customHeight="1" s="311">
      <c r="A571" s="1" t="n"/>
      <c r="B571" s="1" t="n"/>
      <c r="C571" s="1" t="n"/>
      <c r="D571" s="1" t="n"/>
      <c r="E571" s="1" t="n"/>
      <c r="F571" s="1" t="n"/>
      <c r="G571" s="1" t="n"/>
      <c r="H571" s="1" t="n"/>
      <c r="I571" s="1" t="n"/>
      <c r="J571" s="1" t="n"/>
      <c r="K571" s="1" t="n"/>
      <c r="L571" s="1" t="n"/>
      <c r="M571" s="1" t="n"/>
      <c r="N571" s="1" t="n"/>
    </row>
    <row r="572" ht="15.75" customHeight="1" s="311">
      <c r="A572" s="1" t="n"/>
      <c r="B572" s="1" t="n"/>
      <c r="C572" s="1" t="n"/>
      <c r="D572" s="1" t="n"/>
      <c r="E572" s="1" t="n"/>
      <c r="F572" s="1" t="n"/>
      <c r="G572" s="1" t="n"/>
      <c r="H572" s="1" t="n"/>
      <c r="I572" s="1" t="n"/>
      <c r="J572" s="1" t="n"/>
      <c r="K572" s="1" t="n"/>
      <c r="L572" s="1" t="n"/>
      <c r="M572" s="1" t="n"/>
      <c r="N572" s="1" t="n"/>
    </row>
    <row r="573" ht="15.75" customHeight="1" s="311">
      <c r="A573" s="1" t="n"/>
      <c r="B573" s="1" t="n"/>
      <c r="C573" s="1" t="n"/>
      <c r="D573" s="1" t="n"/>
      <c r="E573" s="1" t="n"/>
      <c r="F573" s="1" t="n"/>
      <c r="G573" s="1" t="n"/>
      <c r="H573" s="1" t="n"/>
      <c r="I573" s="1" t="n"/>
      <c r="J573" s="1" t="n"/>
      <c r="K573" s="1" t="n"/>
      <c r="L573" s="1" t="n"/>
      <c r="M573" s="1" t="n"/>
      <c r="N573" s="1" t="n"/>
    </row>
    <row r="574" ht="15.75" customHeight="1" s="311">
      <c r="A574" s="1" t="n"/>
      <c r="B574" s="1" t="n"/>
      <c r="C574" s="1" t="n"/>
      <c r="D574" s="1" t="n"/>
      <c r="E574" s="1" t="n"/>
      <c r="F574" s="1" t="n"/>
      <c r="G574" s="1" t="n"/>
      <c r="H574" s="1" t="n"/>
      <c r="I574" s="1" t="n"/>
      <c r="J574" s="1" t="n"/>
      <c r="K574" s="1" t="n"/>
      <c r="L574" s="1" t="n"/>
      <c r="M574" s="1" t="n"/>
      <c r="N574" s="1" t="n"/>
    </row>
    <row r="575" ht="15.75" customHeight="1" s="311">
      <c r="A575" s="1" t="n"/>
      <c r="B575" s="1" t="n"/>
      <c r="C575" s="1" t="n"/>
      <c r="D575" s="1" t="n"/>
      <c r="E575" s="1" t="n"/>
      <c r="F575" s="1" t="n"/>
      <c r="G575" s="1" t="n"/>
      <c r="H575" s="1" t="n"/>
      <c r="I575" s="1" t="n"/>
      <c r="J575" s="1" t="n"/>
      <c r="K575" s="1" t="n"/>
      <c r="L575" s="1" t="n"/>
      <c r="M575" s="1" t="n"/>
      <c r="N575" s="1" t="n"/>
    </row>
    <row r="576" ht="15.75" customHeight="1" s="311">
      <c r="A576" s="1" t="n"/>
      <c r="B576" s="1" t="n"/>
      <c r="C576" s="1" t="n"/>
      <c r="D576" s="1" t="n"/>
      <c r="E576" s="1" t="n"/>
      <c r="F576" s="1" t="n"/>
      <c r="G576" s="1" t="n"/>
      <c r="H576" s="1" t="n"/>
      <c r="I576" s="1" t="n"/>
      <c r="J576" s="1" t="n"/>
      <c r="K576" s="1" t="n"/>
      <c r="L576" s="1" t="n"/>
      <c r="M576" s="1" t="n"/>
      <c r="N576" s="1" t="n"/>
    </row>
    <row r="577" ht="15.75" customHeight="1" s="311">
      <c r="A577" s="1" t="n"/>
      <c r="B577" s="1" t="n"/>
      <c r="C577" s="1" t="n"/>
      <c r="D577" s="1" t="n"/>
      <c r="E577" s="1" t="n"/>
      <c r="F577" s="1" t="n"/>
      <c r="G577" s="1" t="n"/>
      <c r="H577" s="1" t="n"/>
      <c r="I577" s="1" t="n"/>
      <c r="J577" s="1" t="n"/>
      <c r="K577" s="1" t="n"/>
      <c r="L577" s="1" t="n"/>
      <c r="M577" s="1" t="n"/>
      <c r="N577" s="1" t="n"/>
    </row>
    <row r="578" ht="15.75" customHeight="1" s="311">
      <c r="A578" s="1" t="n"/>
      <c r="B578" s="1" t="n"/>
      <c r="C578" s="1" t="n"/>
      <c r="D578" s="1" t="n"/>
      <c r="E578" s="1" t="n"/>
      <c r="F578" s="1" t="n"/>
      <c r="G578" s="1" t="n"/>
      <c r="H578" s="1" t="n"/>
      <c r="I578" s="1" t="n"/>
      <c r="J578" s="1" t="n"/>
      <c r="K578" s="1" t="n"/>
      <c r="L578" s="1" t="n"/>
      <c r="M578" s="1" t="n"/>
      <c r="N578" s="1" t="n"/>
    </row>
    <row r="579" ht="15.75" customHeight="1" s="311">
      <c r="A579" s="1" t="n"/>
      <c r="B579" s="1" t="n"/>
      <c r="C579" s="1" t="n"/>
      <c r="D579" s="1" t="n"/>
      <c r="E579" s="1" t="n"/>
      <c r="F579" s="1" t="n"/>
      <c r="G579" s="1" t="n"/>
      <c r="H579" s="1" t="n"/>
      <c r="I579" s="1" t="n"/>
      <c r="J579" s="1" t="n"/>
      <c r="K579" s="1" t="n"/>
      <c r="L579" s="1" t="n"/>
      <c r="M579" s="1" t="n"/>
      <c r="N579" s="1" t="n"/>
    </row>
    <row r="580" ht="15.75" customHeight="1" s="311">
      <c r="A580" s="1" t="n"/>
      <c r="B580" s="1" t="n"/>
      <c r="C580" s="1" t="n"/>
      <c r="D580" s="1" t="n"/>
      <c r="E580" s="1" t="n"/>
      <c r="F580" s="1" t="n"/>
      <c r="G580" s="1" t="n"/>
      <c r="H580" s="1" t="n"/>
      <c r="I580" s="1" t="n"/>
      <c r="J580" s="1" t="n"/>
      <c r="K580" s="1" t="n"/>
      <c r="L580" s="1" t="n"/>
      <c r="M580" s="1" t="n"/>
      <c r="N580" s="1" t="n"/>
    </row>
    <row r="581" ht="15.75" customHeight="1" s="311">
      <c r="A581" s="1" t="n"/>
      <c r="B581" s="1" t="n"/>
      <c r="C581" s="1" t="n"/>
      <c r="D581" s="1" t="n"/>
      <c r="E581" s="1" t="n"/>
      <c r="F581" s="1" t="n"/>
      <c r="G581" s="1" t="n"/>
      <c r="H581" s="1" t="n"/>
      <c r="I581" s="1" t="n"/>
      <c r="J581" s="1" t="n"/>
      <c r="K581" s="1" t="n"/>
      <c r="L581" s="1" t="n"/>
      <c r="M581" s="1" t="n"/>
      <c r="N581" s="1" t="n"/>
    </row>
    <row r="582" ht="15.75" customHeight="1" s="311">
      <c r="A582" s="1" t="n"/>
      <c r="B582" s="1" t="n"/>
      <c r="C582" s="1" t="n"/>
      <c r="D582" s="1" t="n"/>
      <c r="E582" s="1" t="n"/>
      <c r="F582" s="1" t="n"/>
      <c r="G582" s="1" t="n"/>
      <c r="H582" s="1" t="n"/>
      <c r="I582" s="1" t="n"/>
      <c r="J582" s="1" t="n"/>
      <c r="K582" s="1" t="n"/>
      <c r="L582" s="1" t="n"/>
      <c r="M582" s="1" t="n"/>
      <c r="N582" s="1" t="n"/>
    </row>
    <row r="583" ht="15.75" customHeight="1" s="311">
      <c r="A583" s="1" t="n"/>
      <c r="B583" s="1" t="n"/>
      <c r="C583" s="1" t="n"/>
      <c r="D583" s="1" t="n"/>
      <c r="E583" s="1" t="n"/>
      <c r="F583" s="1" t="n"/>
      <c r="G583" s="1" t="n"/>
      <c r="H583" s="1" t="n"/>
      <c r="I583" s="1" t="n"/>
      <c r="J583" s="1" t="n"/>
      <c r="K583" s="1" t="n"/>
      <c r="L583" s="1" t="n"/>
      <c r="M583" s="1" t="n"/>
      <c r="N583" s="1" t="n"/>
    </row>
    <row r="584" ht="15.75" customHeight="1" s="311">
      <c r="A584" s="1" t="n"/>
      <c r="B584" s="1" t="n"/>
      <c r="C584" s="1" t="n"/>
      <c r="D584" s="1" t="n"/>
      <c r="E584" s="1" t="n"/>
      <c r="F584" s="1" t="n"/>
      <c r="G584" s="1" t="n"/>
      <c r="H584" s="1" t="n"/>
      <c r="I584" s="1" t="n"/>
      <c r="J584" s="1" t="n"/>
      <c r="K584" s="1" t="n"/>
      <c r="L584" s="1" t="n"/>
      <c r="M584" s="1" t="n"/>
      <c r="N584" s="1" t="n"/>
    </row>
    <row r="585" ht="15.75" customHeight="1" s="311">
      <c r="A585" s="1" t="n"/>
      <c r="B585" s="1" t="n"/>
      <c r="C585" s="1" t="n"/>
      <c r="D585" s="1" t="n"/>
      <c r="E585" s="1" t="n"/>
      <c r="F585" s="1" t="n"/>
      <c r="G585" s="1" t="n"/>
      <c r="H585" s="1" t="n"/>
      <c r="I585" s="1" t="n"/>
      <c r="J585" s="1" t="n"/>
      <c r="K585" s="1" t="n"/>
      <c r="L585" s="1" t="n"/>
      <c r="M585" s="1" t="n"/>
      <c r="N585" s="1" t="n"/>
    </row>
    <row r="586" ht="15.75" customHeight="1" s="311">
      <c r="A586" s="1" t="n"/>
      <c r="B586" s="1" t="n"/>
      <c r="C586" s="1" t="n"/>
      <c r="D586" s="1" t="n"/>
      <c r="E586" s="1" t="n"/>
      <c r="F586" s="1" t="n"/>
      <c r="G586" s="1" t="n"/>
      <c r="H586" s="1" t="n"/>
      <c r="I586" s="1" t="n"/>
      <c r="J586" s="1" t="n"/>
      <c r="K586" s="1" t="n"/>
      <c r="L586" s="1" t="n"/>
      <c r="M586" s="1" t="n"/>
      <c r="N586" s="1" t="n"/>
    </row>
    <row r="587" ht="15.75" customHeight="1" s="311">
      <c r="A587" s="1" t="n"/>
      <c r="B587" s="1" t="n"/>
      <c r="C587" s="1" t="n"/>
      <c r="D587" s="1" t="n"/>
      <c r="E587" s="1" t="n"/>
      <c r="F587" s="1" t="n"/>
      <c r="G587" s="1" t="n"/>
      <c r="H587" s="1" t="n"/>
      <c r="I587" s="1" t="n"/>
      <c r="J587" s="1" t="n"/>
      <c r="K587" s="1" t="n"/>
      <c r="L587" s="1" t="n"/>
      <c r="M587" s="1" t="n"/>
      <c r="N587" s="1" t="n"/>
    </row>
    <row r="588" ht="15.75" customHeight="1" s="311">
      <c r="A588" s="1" t="n"/>
      <c r="B588" s="1" t="n"/>
      <c r="C588" s="1" t="n"/>
      <c r="D588" s="1" t="n"/>
      <c r="E588" s="1" t="n"/>
      <c r="F588" s="1" t="n"/>
      <c r="G588" s="1" t="n"/>
      <c r="H588" s="1" t="n"/>
      <c r="I588" s="1" t="n"/>
      <c r="J588" s="1" t="n"/>
      <c r="K588" s="1" t="n"/>
      <c r="L588" s="1" t="n"/>
      <c r="M588" s="1" t="n"/>
      <c r="N588" s="1" t="n"/>
    </row>
    <row r="589" ht="15.75" customHeight="1" s="311">
      <c r="A589" s="1" t="n"/>
      <c r="B589" s="1" t="n"/>
      <c r="C589" s="1" t="n"/>
      <c r="D589" s="1" t="n"/>
      <c r="E589" s="1" t="n"/>
      <c r="F589" s="1" t="n"/>
      <c r="G589" s="1" t="n"/>
      <c r="H589" s="1" t="n"/>
      <c r="I589" s="1" t="n"/>
      <c r="J589" s="1" t="n"/>
      <c r="K589" s="1" t="n"/>
      <c r="L589" s="1" t="n"/>
      <c r="M589" s="1" t="n"/>
      <c r="N589" s="1" t="n"/>
    </row>
    <row r="590" ht="15.75" customHeight="1" s="311">
      <c r="A590" s="1" t="n"/>
      <c r="B590" s="1" t="n"/>
      <c r="C590" s="1" t="n"/>
      <c r="D590" s="1" t="n"/>
      <c r="E590" s="1" t="n"/>
      <c r="F590" s="1" t="n"/>
      <c r="G590" s="1" t="n"/>
      <c r="H590" s="1" t="n"/>
      <c r="I590" s="1" t="n"/>
      <c r="J590" s="1" t="n"/>
      <c r="K590" s="1" t="n"/>
      <c r="L590" s="1" t="n"/>
      <c r="M590" s="1" t="n"/>
      <c r="N590" s="1" t="n"/>
    </row>
    <row r="591" ht="15.75" customHeight="1" s="311">
      <c r="A591" s="1" t="n"/>
      <c r="B591" s="1" t="n"/>
      <c r="C591" s="1" t="n"/>
      <c r="D591" s="1" t="n"/>
      <c r="E591" s="1" t="n"/>
      <c r="F591" s="1" t="n"/>
      <c r="G591" s="1" t="n"/>
      <c r="H591" s="1" t="n"/>
      <c r="I591" s="1" t="n"/>
      <c r="J591" s="1" t="n"/>
      <c r="K591" s="1" t="n"/>
      <c r="L591" s="1" t="n"/>
      <c r="M591" s="1" t="n"/>
      <c r="N591" s="1" t="n"/>
    </row>
    <row r="592" ht="15.75" customHeight="1" s="311">
      <c r="A592" s="1" t="n"/>
      <c r="B592" s="1" t="n"/>
      <c r="C592" s="1" t="n"/>
      <c r="D592" s="1" t="n"/>
      <c r="E592" s="1" t="n"/>
      <c r="F592" s="1" t="n"/>
      <c r="G592" s="1" t="n"/>
      <c r="H592" s="1" t="n"/>
      <c r="I592" s="1" t="n"/>
      <c r="J592" s="1" t="n"/>
      <c r="K592" s="1" t="n"/>
      <c r="L592" s="1" t="n"/>
      <c r="M592" s="1" t="n"/>
      <c r="N592" s="1" t="n"/>
    </row>
    <row r="593" ht="15.75" customHeight="1" s="311">
      <c r="A593" s="1" t="n"/>
      <c r="B593" s="1" t="n"/>
      <c r="C593" s="1" t="n"/>
      <c r="D593" s="1" t="n"/>
      <c r="E593" s="1" t="n"/>
      <c r="F593" s="1" t="n"/>
      <c r="G593" s="1" t="n"/>
      <c r="H593" s="1" t="n"/>
      <c r="I593" s="1" t="n"/>
      <c r="J593" s="1" t="n"/>
      <c r="K593" s="1" t="n"/>
      <c r="L593" s="1" t="n"/>
      <c r="M593" s="1" t="n"/>
      <c r="N593" s="1" t="n"/>
    </row>
    <row r="594" ht="15.75" customHeight="1" s="311">
      <c r="A594" s="1" t="n"/>
      <c r="B594" s="1" t="n"/>
      <c r="C594" s="1" t="n"/>
      <c r="D594" s="1" t="n"/>
      <c r="E594" s="1" t="n"/>
      <c r="F594" s="1" t="n"/>
      <c r="G594" s="1" t="n"/>
      <c r="H594" s="1" t="n"/>
      <c r="I594" s="1" t="n"/>
      <c r="J594" s="1" t="n"/>
      <c r="K594" s="1" t="n"/>
      <c r="L594" s="1" t="n"/>
      <c r="M594" s="1" t="n"/>
      <c r="N594" s="1" t="n"/>
    </row>
    <row r="595" ht="15.75" customHeight="1" s="311">
      <c r="A595" s="1" t="n"/>
      <c r="B595" s="1" t="n"/>
      <c r="C595" s="1" t="n"/>
      <c r="D595" s="1" t="n"/>
      <c r="E595" s="1" t="n"/>
      <c r="F595" s="1" t="n"/>
      <c r="G595" s="1" t="n"/>
      <c r="H595" s="1" t="n"/>
      <c r="I595" s="1" t="n"/>
      <c r="J595" s="1" t="n"/>
      <c r="K595" s="1" t="n"/>
      <c r="L595" s="1" t="n"/>
      <c r="M595" s="1" t="n"/>
      <c r="N595" s="1" t="n"/>
    </row>
    <row r="596" ht="15.75" customHeight="1" s="311">
      <c r="A596" s="1" t="n"/>
      <c r="B596" s="1" t="n"/>
      <c r="C596" s="1" t="n"/>
      <c r="D596" s="1" t="n"/>
      <c r="E596" s="1" t="n"/>
      <c r="F596" s="1" t="n"/>
      <c r="G596" s="1" t="n"/>
      <c r="H596" s="1" t="n"/>
      <c r="I596" s="1" t="n"/>
      <c r="J596" s="1" t="n"/>
      <c r="K596" s="1" t="n"/>
      <c r="L596" s="1" t="n"/>
      <c r="M596" s="1" t="n"/>
      <c r="N596" s="1" t="n"/>
    </row>
    <row r="597" ht="15.75" customHeight="1" s="311">
      <c r="A597" s="1" t="n"/>
      <c r="B597" s="1" t="n"/>
      <c r="C597" s="1" t="n"/>
      <c r="D597" s="1" t="n"/>
      <c r="E597" s="1" t="n"/>
      <c r="F597" s="1" t="n"/>
      <c r="G597" s="1" t="n"/>
      <c r="H597" s="1" t="n"/>
      <c r="I597" s="1" t="n"/>
      <c r="J597" s="1" t="n"/>
      <c r="K597" s="1" t="n"/>
      <c r="L597" s="1" t="n"/>
      <c r="M597" s="1" t="n"/>
      <c r="N597" s="1" t="n"/>
    </row>
    <row r="598" ht="15.75" customHeight="1" s="311">
      <c r="A598" s="1" t="n"/>
      <c r="B598" s="1" t="n"/>
      <c r="C598" s="1" t="n"/>
      <c r="D598" s="1" t="n"/>
      <c r="E598" s="1" t="n"/>
      <c r="F598" s="1" t="n"/>
      <c r="G598" s="1" t="n"/>
      <c r="H598" s="1" t="n"/>
      <c r="I598" s="1" t="n"/>
      <c r="J598" s="1" t="n"/>
      <c r="K598" s="1" t="n"/>
      <c r="L598" s="1" t="n"/>
      <c r="M598" s="1" t="n"/>
      <c r="N598" s="1" t="n"/>
    </row>
    <row r="599" ht="15.75" customHeight="1" s="311">
      <c r="A599" s="1" t="n"/>
      <c r="B599" s="1" t="n"/>
      <c r="C599" s="1" t="n"/>
      <c r="D599" s="1" t="n"/>
      <c r="E599" s="1" t="n"/>
      <c r="F599" s="1" t="n"/>
      <c r="G599" s="1" t="n"/>
      <c r="H599" s="1" t="n"/>
      <c r="I599" s="1" t="n"/>
      <c r="J599" s="1" t="n"/>
      <c r="K599" s="1" t="n"/>
      <c r="L599" s="1" t="n"/>
      <c r="M599" s="1" t="n"/>
      <c r="N599" s="1" t="n"/>
    </row>
    <row r="600" ht="15.75" customHeight="1" s="311">
      <c r="A600" s="1" t="n"/>
      <c r="B600" s="1" t="n"/>
      <c r="C600" s="1" t="n"/>
      <c r="D600" s="1" t="n"/>
      <c r="E600" s="1" t="n"/>
      <c r="F600" s="1" t="n"/>
      <c r="G600" s="1" t="n"/>
      <c r="H600" s="1" t="n"/>
      <c r="I600" s="1" t="n"/>
      <c r="J600" s="1" t="n"/>
      <c r="K600" s="1" t="n"/>
      <c r="L600" s="1" t="n"/>
      <c r="M600" s="1" t="n"/>
      <c r="N600" s="1" t="n"/>
    </row>
    <row r="601" ht="15.75" customHeight="1" s="311">
      <c r="A601" s="1" t="n"/>
      <c r="B601" s="1" t="n"/>
      <c r="C601" s="1" t="n"/>
      <c r="D601" s="1" t="n"/>
      <c r="E601" s="1" t="n"/>
      <c r="F601" s="1" t="n"/>
      <c r="G601" s="1" t="n"/>
      <c r="H601" s="1" t="n"/>
      <c r="I601" s="1" t="n"/>
      <c r="J601" s="1" t="n"/>
      <c r="K601" s="1" t="n"/>
      <c r="L601" s="1" t="n"/>
      <c r="M601" s="1" t="n"/>
      <c r="N601" s="1" t="n"/>
    </row>
    <row r="602" ht="15.75" customHeight="1" s="311">
      <c r="A602" s="1" t="n"/>
      <c r="B602" s="1" t="n"/>
      <c r="C602" s="1" t="n"/>
      <c r="D602" s="1" t="n"/>
      <c r="E602" s="1" t="n"/>
      <c r="F602" s="1" t="n"/>
      <c r="G602" s="1" t="n"/>
      <c r="H602" s="1" t="n"/>
      <c r="I602" s="1" t="n"/>
      <c r="J602" s="1" t="n"/>
      <c r="K602" s="1" t="n"/>
      <c r="L602" s="1" t="n"/>
      <c r="M602" s="1" t="n"/>
      <c r="N602" s="1" t="n"/>
    </row>
    <row r="603" ht="15.75" customHeight="1" s="311">
      <c r="A603" s="1" t="n"/>
      <c r="B603" s="1" t="n"/>
      <c r="C603" s="1" t="n"/>
      <c r="D603" s="1" t="n"/>
      <c r="E603" s="1" t="n"/>
      <c r="F603" s="1" t="n"/>
      <c r="G603" s="1" t="n"/>
      <c r="H603" s="1" t="n"/>
      <c r="I603" s="1" t="n"/>
      <c r="J603" s="1" t="n"/>
      <c r="K603" s="1" t="n"/>
      <c r="L603" s="1" t="n"/>
      <c r="M603" s="1" t="n"/>
      <c r="N603" s="1" t="n"/>
    </row>
    <row r="604" ht="15.75" customHeight="1" s="311">
      <c r="A604" s="1" t="n"/>
      <c r="B604" s="1" t="n"/>
      <c r="C604" s="1" t="n"/>
      <c r="D604" s="1" t="n"/>
      <c r="E604" s="1" t="n"/>
      <c r="F604" s="1" t="n"/>
      <c r="G604" s="1" t="n"/>
      <c r="H604" s="1" t="n"/>
      <c r="I604" s="1" t="n"/>
      <c r="J604" s="1" t="n"/>
      <c r="K604" s="1" t="n"/>
      <c r="L604" s="1" t="n"/>
      <c r="M604" s="1" t="n"/>
      <c r="N604" s="1" t="n"/>
    </row>
    <row r="605" ht="15.75" customHeight="1" s="311">
      <c r="A605" s="1" t="n"/>
      <c r="B605" s="1" t="n"/>
      <c r="C605" s="1" t="n"/>
      <c r="D605" s="1" t="n"/>
      <c r="E605" s="1" t="n"/>
      <c r="F605" s="1" t="n"/>
      <c r="G605" s="1" t="n"/>
      <c r="H605" s="1" t="n"/>
      <c r="I605" s="1" t="n"/>
      <c r="J605" s="1" t="n"/>
      <c r="K605" s="1" t="n"/>
      <c r="L605" s="1" t="n"/>
      <c r="M605" s="1" t="n"/>
      <c r="N605" s="1" t="n"/>
    </row>
    <row r="606" ht="15.75" customHeight="1" s="311">
      <c r="A606" s="1" t="n"/>
      <c r="B606" s="1" t="n"/>
      <c r="C606" s="1" t="n"/>
      <c r="D606" s="1" t="n"/>
      <c r="E606" s="1" t="n"/>
      <c r="F606" s="1" t="n"/>
      <c r="G606" s="1" t="n"/>
      <c r="H606" s="1" t="n"/>
      <c r="I606" s="1" t="n"/>
      <c r="J606" s="1" t="n"/>
      <c r="K606" s="1" t="n"/>
      <c r="L606" s="1" t="n"/>
      <c r="M606" s="1" t="n"/>
      <c r="N606" s="1" t="n"/>
    </row>
    <row r="607" ht="15.75" customHeight="1" s="311">
      <c r="A607" s="1" t="n"/>
      <c r="B607" s="1" t="n"/>
      <c r="C607" s="1" t="n"/>
      <c r="D607" s="1" t="n"/>
      <c r="E607" s="1" t="n"/>
      <c r="F607" s="1" t="n"/>
      <c r="G607" s="1" t="n"/>
      <c r="H607" s="1" t="n"/>
      <c r="I607" s="1" t="n"/>
      <c r="J607" s="1" t="n"/>
      <c r="K607" s="1" t="n"/>
      <c r="L607" s="1" t="n"/>
      <c r="M607" s="1" t="n"/>
      <c r="N607" s="1" t="n"/>
    </row>
    <row r="608" ht="15.75" customHeight="1" s="311">
      <c r="A608" s="1" t="n"/>
      <c r="B608" s="1" t="n"/>
      <c r="C608" s="1" t="n"/>
      <c r="D608" s="1" t="n"/>
      <c r="E608" s="1" t="n"/>
      <c r="F608" s="1" t="n"/>
      <c r="G608" s="1" t="n"/>
      <c r="H608" s="1" t="n"/>
      <c r="I608" s="1" t="n"/>
      <c r="J608" s="1" t="n"/>
      <c r="K608" s="1" t="n"/>
      <c r="L608" s="1" t="n"/>
      <c r="M608" s="1" t="n"/>
      <c r="N608" s="1" t="n"/>
    </row>
    <row r="609" ht="15.75" customHeight="1" s="311">
      <c r="A609" s="1" t="n"/>
      <c r="B609" s="1" t="n"/>
      <c r="C609" s="1" t="n"/>
      <c r="D609" s="1" t="n"/>
      <c r="E609" s="1" t="n"/>
      <c r="F609" s="1" t="n"/>
      <c r="G609" s="1" t="n"/>
      <c r="H609" s="1" t="n"/>
      <c r="I609" s="1" t="n"/>
      <c r="J609" s="1" t="n"/>
      <c r="K609" s="1" t="n"/>
      <c r="L609" s="1" t="n"/>
      <c r="M609" s="1" t="n"/>
      <c r="N609" s="1" t="n"/>
    </row>
    <row r="610" ht="15.75" customHeight="1" s="311">
      <c r="A610" s="1" t="n"/>
      <c r="B610" s="1" t="n"/>
      <c r="C610" s="1" t="n"/>
      <c r="D610" s="1" t="n"/>
      <c r="E610" s="1" t="n"/>
      <c r="F610" s="1" t="n"/>
      <c r="G610" s="1" t="n"/>
      <c r="H610" s="1" t="n"/>
      <c r="I610" s="1" t="n"/>
      <c r="J610" s="1" t="n"/>
      <c r="K610" s="1" t="n"/>
      <c r="L610" s="1" t="n"/>
      <c r="M610" s="1" t="n"/>
      <c r="N610" s="1" t="n"/>
    </row>
    <row r="611" ht="15.75" customHeight="1" s="311">
      <c r="A611" s="1" t="n"/>
      <c r="B611" s="1" t="n"/>
      <c r="C611" s="1" t="n"/>
      <c r="D611" s="1" t="n"/>
      <c r="E611" s="1" t="n"/>
      <c r="F611" s="1" t="n"/>
      <c r="G611" s="1" t="n"/>
      <c r="H611" s="1" t="n"/>
      <c r="I611" s="1" t="n"/>
      <c r="J611" s="1" t="n"/>
      <c r="K611" s="1" t="n"/>
      <c r="L611" s="1" t="n"/>
      <c r="M611" s="1" t="n"/>
      <c r="N611" s="1" t="n"/>
    </row>
    <row r="612" ht="15.75" customHeight="1" s="311">
      <c r="A612" s="1" t="n"/>
      <c r="B612" s="1" t="n"/>
      <c r="C612" s="1" t="n"/>
      <c r="D612" s="1" t="n"/>
      <c r="E612" s="1" t="n"/>
      <c r="F612" s="1" t="n"/>
      <c r="G612" s="1" t="n"/>
      <c r="H612" s="1" t="n"/>
      <c r="I612" s="1" t="n"/>
      <c r="J612" s="1" t="n"/>
      <c r="K612" s="1" t="n"/>
      <c r="L612" s="1" t="n"/>
      <c r="M612" s="1" t="n"/>
      <c r="N612" s="1" t="n"/>
    </row>
    <row r="613" ht="15.75" customHeight="1" s="311">
      <c r="A613" s="1" t="n"/>
      <c r="B613" s="1" t="n"/>
      <c r="C613" s="1" t="n"/>
      <c r="D613" s="1" t="n"/>
      <c r="E613" s="1" t="n"/>
      <c r="F613" s="1" t="n"/>
      <c r="G613" s="1" t="n"/>
      <c r="H613" s="1" t="n"/>
      <c r="I613" s="1" t="n"/>
      <c r="J613" s="1" t="n"/>
      <c r="K613" s="1" t="n"/>
      <c r="L613" s="1" t="n"/>
      <c r="M613" s="1" t="n"/>
      <c r="N613" s="1" t="n"/>
    </row>
    <row r="614" ht="15.75" customHeight="1" s="311">
      <c r="A614" s="1" t="n"/>
      <c r="B614" s="1" t="n"/>
      <c r="C614" s="1" t="n"/>
      <c r="D614" s="1" t="n"/>
      <c r="E614" s="1" t="n"/>
      <c r="F614" s="1" t="n"/>
      <c r="G614" s="1" t="n"/>
      <c r="H614" s="1" t="n"/>
      <c r="I614" s="1" t="n"/>
      <c r="J614" s="1" t="n"/>
      <c r="K614" s="1" t="n"/>
      <c r="L614" s="1" t="n"/>
      <c r="M614" s="1" t="n"/>
      <c r="N614" s="1" t="n"/>
    </row>
    <row r="615" ht="15.75" customHeight="1" s="311">
      <c r="A615" s="1" t="n"/>
      <c r="B615" s="1" t="n"/>
      <c r="C615" s="1" t="n"/>
      <c r="D615" s="1" t="n"/>
      <c r="E615" s="1" t="n"/>
      <c r="F615" s="1" t="n"/>
      <c r="G615" s="1" t="n"/>
      <c r="H615" s="1" t="n"/>
      <c r="I615" s="1" t="n"/>
      <c r="J615" s="1" t="n"/>
      <c r="K615" s="1" t="n"/>
      <c r="L615" s="1" t="n"/>
      <c r="M615" s="1" t="n"/>
      <c r="N615" s="1" t="n"/>
    </row>
    <row r="616" ht="15.75" customHeight="1" s="311">
      <c r="A616" s="1" t="n"/>
      <c r="B616" s="1" t="n"/>
      <c r="C616" s="1" t="n"/>
      <c r="D616" s="1" t="n"/>
      <c r="E616" s="1" t="n"/>
      <c r="F616" s="1" t="n"/>
      <c r="G616" s="1" t="n"/>
      <c r="H616" s="1" t="n"/>
      <c r="I616" s="1" t="n"/>
      <c r="J616" s="1" t="n"/>
      <c r="K616" s="1" t="n"/>
      <c r="L616" s="1" t="n"/>
      <c r="M616" s="1" t="n"/>
      <c r="N616" s="1" t="n"/>
    </row>
    <row r="617" ht="15.75" customHeight="1" s="311">
      <c r="A617" s="1" t="n"/>
      <c r="B617" s="1" t="n"/>
      <c r="C617" s="1" t="n"/>
      <c r="D617" s="1" t="n"/>
      <c r="E617" s="1" t="n"/>
      <c r="F617" s="1" t="n"/>
      <c r="G617" s="1" t="n"/>
      <c r="H617" s="1" t="n"/>
      <c r="I617" s="1" t="n"/>
      <c r="J617" s="1" t="n"/>
      <c r="K617" s="1" t="n"/>
      <c r="L617" s="1" t="n"/>
      <c r="M617" s="1" t="n"/>
      <c r="N617" s="1" t="n"/>
    </row>
    <row r="618" ht="15.75" customHeight="1" s="311">
      <c r="A618" s="1" t="n"/>
      <c r="B618" s="1" t="n"/>
      <c r="C618" s="1" t="n"/>
      <c r="D618" s="1" t="n"/>
      <c r="E618" s="1" t="n"/>
      <c r="F618" s="1" t="n"/>
      <c r="G618" s="1" t="n"/>
      <c r="H618" s="1" t="n"/>
      <c r="I618" s="1" t="n"/>
      <c r="J618" s="1" t="n"/>
      <c r="K618" s="1" t="n"/>
      <c r="L618" s="1" t="n"/>
      <c r="M618" s="1" t="n"/>
      <c r="N618" s="1" t="n"/>
    </row>
    <row r="619" ht="15.75" customHeight="1" s="311">
      <c r="A619" s="1" t="n"/>
      <c r="B619" s="1" t="n"/>
      <c r="C619" s="1" t="n"/>
      <c r="D619" s="1" t="n"/>
      <c r="E619" s="1" t="n"/>
      <c r="F619" s="1" t="n"/>
      <c r="G619" s="1" t="n"/>
      <c r="H619" s="1" t="n"/>
      <c r="I619" s="1" t="n"/>
      <c r="J619" s="1" t="n"/>
      <c r="K619" s="1" t="n"/>
      <c r="L619" s="1" t="n"/>
      <c r="M619" s="1" t="n"/>
      <c r="N619" s="1" t="n"/>
    </row>
    <row r="620" ht="15.75" customHeight="1" s="311">
      <c r="A620" s="1" t="n"/>
      <c r="B620" s="1" t="n"/>
      <c r="C620" s="1" t="n"/>
      <c r="D620" s="1" t="n"/>
      <c r="E620" s="1" t="n"/>
      <c r="F620" s="1" t="n"/>
      <c r="G620" s="1" t="n"/>
      <c r="H620" s="1" t="n"/>
      <c r="I620" s="1" t="n"/>
      <c r="J620" s="1" t="n"/>
      <c r="K620" s="1" t="n"/>
      <c r="L620" s="1" t="n"/>
      <c r="M620" s="1" t="n"/>
      <c r="N620" s="1" t="n"/>
    </row>
    <row r="621" ht="15.75" customHeight="1" s="311">
      <c r="A621" s="1" t="n"/>
      <c r="B621" s="1" t="n"/>
      <c r="C621" s="1" t="n"/>
      <c r="D621" s="1" t="n"/>
      <c r="E621" s="1" t="n"/>
      <c r="F621" s="1" t="n"/>
      <c r="G621" s="1" t="n"/>
      <c r="H621" s="1" t="n"/>
      <c r="I621" s="1" t="n"/>
      <c r="J621" s="1" t="n"/>
      <c r="K621" s="1" t="n"/>
      <c r="L621" s="1" t="n"/>
      <c r="M621" s="1" t="n"/>
      <c r="N621" s="1" t="n"/>
    </row>
    <row r="622" ht="15.75" customHeight="1" s="311">
      <c r="A622" s="1" t="n"/>
      <c r="B622" s="1" t="n"/>
      <c r="C622" s="1" t="n"/>
      <c r="D622" s="1" t="n"/>
      <c r="E622" s="1" t="n"/>
      <c r="F622" s="1" t="n"/>
      <c r="G622" s="1" t="n"/>
      <c r="H622" s="1" t="n"/>
      <c r="I622" s="1" t="n"/>
      <c r="J622" s="1" t="n"/>
      <c r="K622" s="1" t="n"/>
      <c r="L622" s="1" t="n"/>
      <c r="M622" s="1" t="n"/>
      <c r="N622" s="1" t="n"/>
    </row>
    <row r="623" ht="15.75" customHeight="1" s="311">
      <c r="A623" s="1" t="n"/>
      <c r="B623" s="1" t="n"/>
      <c r="C623" s="1" t="n"/>
      <c r="D623" s="1" t="n"/>
      <c r="E623" s="1" t="n"/>
      <c r="F623" s="1" t="n"/>
      <c r="G623" s="1" t="n"/>
      <c r="H623" s="1" t="n"/>
      <c r="I623" s="1" t="n"/>
      <c r="J623" s="1" t="n"/>
      <c r="K623" s="1" t="n"/>
      <c r="L623" s="1" t="n"/>
      <c r="M623" s="1" t="n"/>
      <c r="N623" s="1" t="n"/>
    </row>
    <row r="624" ht="15.75" customHeight="1" s="311">
      <c r="A624" s="1" t="n"/>
      <c r="B624" s="1" t="n"/>
      <c r="C624" s="1" t="n"/>
      <c r="D624" s="1" t="n"/>
      <c r="E624" s="1" t="n"/>
      <c r="F624" s="1" t="n"/>
      <c r="G624" s="1" t="n"/>
      <c r="H624" s="1" t="n"/>
      <c r="I624" s="1" t="n"/>
      <c r="J624" s="1" t="n"/>
      <c r="K624" s="1" t="n"/>
      <c r="L624" s="1" t="n"/>
      <c r="M624" s="1" t="n"/>
      <c r="N624" s="1" t="n"/>
    </row>
    <row r="625" ht="15.75" customHeight="1" s="311">
      <c r="A625" s="1" t="n"/>
      <c r="B625" s="1" t="n"/>
      <c r="C625" s="1" t="n"/>
      <c r="D625" s="1" t="n"/>
      <c r="E625" s="1" t="n"/>
      <c r="F625" s="1" t="n"/>
      <c r="G625" s="1" t="n"/>
      <c r="H625" s="1" t="n"/>
      <c r="I625" s="1" t="n"/>
      <c r="J625" s="1" t="n"/>
      <c r="K625" s="1" t="n"/>
      <c r="L625" s="1" t="n"/>
      <c r="M625" s="1" t="n"/>
      <c r="N625" s="1" t="n"/>
    </row>
    <row r="626" ht="15.75" customHeight="1" s="311">
      <c r="A626" s="1" t="n"/>
      <c r="B626" s="1" t="n"/>
      <c r="C626" s="1" t="n"/>
      <c r="D626" s="1" t="n"/>
      <c r="E626" s="1" t="n"/>
      <c r="F626" s="1" t="n"/>
      <c r="G626" s="1" t="n"/>
      <c r="H626" s="1" t="n"/>
      <c r="I626" s="1" t="n"/>
      <c r="J626" s="1" t="n"/>
      <c r="K626" s="1" t="n"/>
      <c r="L626" s="1" t="n"/>
      <c r="M626" s="1" t="n"/>
      <c r="N626" s="1" t="n"/>
    </row>
    <row r="627" ht="15.75" customHeight="1" s="311">
      <c r="A627" s="1" t="n"/>
      <c r="B627" s="1" t="n"/>
      <c r="C627" s="1" t="n"/>
      <c r="D627" s="1" t="n"/>
      <c r="E627" s="1" t="n"/>
      <c r="F627" s="1" t="n"/>
      <c r="G627" s="1" t="n"/>
      <c r="H627" s="1" t="n"/>
      <c r="I627" s="1" t="n"/>
      <c r="J627" s="1" t="n"/>
      <c r="K627" s="1" t="n"/>
      <c r="L627" s="1" t="n"/>
      <c r="M627" s="1" t="n"/>
      <c r="N627" s="1" t="n"/>
    </row>
    <row r="628" ht="15.75" customHeight="1" s="311">
      <c r="A628" s="1" t="n"/>
      <c r="B628" s="1" t="n"/>
      <c r="C628" s="1" t="n"/>
      <c r="D628" s="1" t="n"/>
      <c r="E628" s="1" t="n"/>
      <c r="F628" s="1" t="n"/>
      <c r="G628" s="1" t="n"/>
      <c r="H628" s="1" t="n"/>
      <c r="I628" s="1" t="n"/>
      <c r="J628" s="1" t="n"/>
      <c r="K628" s="1" t="n"/>
      <c r="L628" s="1" t="n"/>
      <c r="M628" s="1" t="n"/>
      <c r="N628" s="1" t="n"/>
    </row>
    <row r="629" ht="15.75" customHeight="1" s="311">
      <c r="A629" s="1" t="n"/>
      <c r="B629" s="1" t="n"/>
      <c r="C629" s="1" t="n"/>
      <c r="D629" s="1" t="n"/>
      <c r="E629" s="1" t="n"/>
      <c r="F629" s="1" t="n"/>
      <c r="G629" s="1" t="n"/>
      <c r="H629" s="1" t="n"/>
      <c r="I629" s="1" t="n"/>
      <c r="J629" s="1" t="n"/>
      <c r="K629" s="1" t="n"/>
      <c r="L629" s="1" t="n"/>
      <c r="M629" s="1" t="n"/>
      <c r="N629" s="1" t="n"/>
    </row>
    <row r="630" ht="15.75" customHeight="1" s="311">
      <c r="A630" s="1" t="n"/>
      <c r="B630" s="1" t="n"/>
      <c r="C630" s="1" t="n"/>
      <c r="D630" s="1" t="n"/>
      <c r="E630" s="1" t="n"/>
      <c r="F630" s="1" t="n"/>
      <c r="G630" s="1" t="n"/>
      <c r="H630" s="1" t="n"/>
      <c r="I630" s="1" t="n"/>
      <c r="J630" s="1" t="n"/>
      <c r="K630" s="1" t="n"/>
      <c r="L630" s="1" t="n"/>
      <c r="M630" s="1" t="n"/>
      <c r="N630" s="1" t="n"/>
    </row>
    <row r="631" ht="15.75" customHeight="1" s="311">
      <c r="A631" s="1" t="n"/>
      <c r="B631" s="1" t="n"/>
      <c r="C631" s="1" t="n"/>
      <c r="D631" s="1" t="n"/>
      <c r="E631" s="1" t="n"/>
      <c r="F631" s="1" t="n"/>
      <c r="G631" s="1" t="n"/>
      <c r="H631" s="1" t="n"/>
      <c r="I631" s="1" t="n"/>
      <c r="J631" s="1" t="n"/>
      <c r="K631" s="1" t="n"/>
      <c r="L631" s="1" t="n"/>
      <c r="M631" s="1" t="n"/>
      <c r="N631" s="1" t="n"/>
    </row>
    <row r="632" ht="15.75" customHeight="1" s="311">
      <c r="A632" s="1" t="n"/>
      <c r="B632" s="1" t="n"/>
      <c r="C632" s="1" t="n"/>
      <c r="D632" s="1" t="n"/>
      <c r="E632" s="1" t="n"/>
      <c r="F632" s="1" t="n"/>
      <c r="G632" s="1" t="n"/>
      <c r="H632" s="1" t="n"/>
      <c r="I632" s="1" t="n"/>
      <c r="J632" s="1" t="n"/>
      <c r="K632" s="1" t="n"/>
      <c r="L632" s="1" t="n"/>
      <c r="M632" s="1" t="n"/>
      <c r="N632" s="1" t="n"/>
    </row>
    <row r="633" ht="15.75" customHeight="1" s="311">
      <c r="A633" s="1" t="n"/>
      <c r="B633" s="1" t="n"/>
      <c r="C633" s="1" t="n"/>
      <c r="D633" s="1" t="n"/>
      <c r="E633" s="1" t="n"/>
      <c r="F633" s="1" t="n"/>
      <c r="G633" s="1" t="n"/>
      <c r="H633" s="1" t="n"/>
      <c r="I633" s="1" t="n"/>
      <c r="J633" s="1" t="n"/>
      <c r="K633" s="1" t="n"/>
      <c r="L633" s="1" t="n"/>
      <c r="M633" s="1" t="n"/>
      <c r="N633" s="1" t="n"/>
    </row>
    <row r="634" ht="15.75" customHeight="1" s="311">
      <c r="A634" s="1" t="n"/>
      <c r="B634" s="1" t="n"/>
      <c r="C634" s="1" t="n"/>
      <c r="D634" s="1" t="n"/>
      <c r="E634" s="1" t="n"/>
      <c r="F634" s="1" t="n"/>
      <c r="G634" s="1" t="n"/>
      <c r="H634" s="1" t="n"/>
      <c r="I634" s="1" t="n"/>
      <c r="J634" s="1" t="n"/>
      <c r="K634" s="1" t="n"/>
      <c r="L634" s="1" t="n"/>
      <c r="M634" s="1" t="n"/>
      <c r="N634" s="1" t="n"/>
    </row>
    <row r="635" ht="15.75" customHeight="1" s="311">
      <c r="A635" s="1" t="n"/>
      <c r="B635" s="1" t="n"/>
      <c r="C635" s="1" t="n"/>
      <c r="D635" s="1" t="n"/>
      <c r="E635" s="1" t="n"/>
      <c r="F635" s="1" t="n"/>
      <c r="G635" s="1" t="n"/>
      <c r="H635" s="1" t="n"/>
      <c r="I635" s="1" t="n"/>
      <c r="J635" s="1" t="n"/>
      <c r="K635" s="1" t="n"/>
      <c r="L635" s="1" t="n"/>
      <c r="M635" s="1" t="n"/>
      <c r="N635" s="1" t="n"/>
    </row>
    <row r="636" ht="15.75" customHeight="1" s="311">
      <c r="A636" s="1" t="n"/>
      <c r="B636" s="1" t="n"/>
      <c r="C636" s="1" t="n"/>
      <c r="D636" s="1" t="n"/>
      <c r="E636" s="1" t="n"/>
      <c r="F636" s="1" t="n"/>
      <c r="G636" s="1" t="n"/>
      <c r="H636" s="1" t="n"/>
      <c r="I636" s="1" t="n"/>
      <c r="J636" s="1" t="n"/>
      <c r="K636" s="1" t="n"/>
      <c r="L636" s="1" t="n"/>
      <c r="M636" s="1" t="n"/>
      <c r="N636" s="1" t="n"/>
    </row>
    <row r="637" ht="15.75" customHeight="1" s="311">
      <c r="A637" s="1" t="n"/>
      <c r="B637" s="1" t="n"/>
      <c r="C637" s="1" t="n"/>
      <c r="D637" s="1" t="n"/>
      <c r="E637" s="1" t="n"/>
      <c r="F637" s="1" t="n"/>
      <c r="G637" s="1" t="n"/>
      <c r="H637" s="1" t="n"/>
      <c r="I637" s="1" t="n"/>
      <c r="J637" s="1" t="n"/>
      <c r="K637" s="1" t="n"/>
      <c r="L637" s="1" t="n"/>
      <c r="M637" s="1" t="n"/>
      <c r="N637" s="1" t="n"/>
    </row>
    <row r="638" ht="15.75" customHeight="1" s="311">
      <c r="A638" s="1" t="n"/>
      <c r="B638" s="1" t="n"/>
      <c r="C638" s="1" t="n"/>
      <c r="D638" s="1" t="n"/>
      <c r="E638" s="1" t="n"/>
      <c r="F638" s="1" t="n"/>
      <c r="G638" s="1" t="n"/>
      <c r="H638" s="1" t="n"/>
      <c r="I638" s="1" t="n"/>
      <c r="J638" s="1" t="n"/>
      <c r="K638" s="1" t="n"/>
      <c r="L638" s="1" t="n"/>
      <c r="M638" s="1" t="n"/>
      <c r="N638" s="1" t="n"/>
    </row>
    <row r="639" ht="15.75" customHeight="1" s="311">
      <c r="A639" s="1" t="n"/>
      <c r="B639" s="1" t="n"/>
      <c r="C639" s="1" t="n"/>
      <c r="D639" s="1" t="n"/>
      <c r="E639" s="1" t="n"/>
      <c r="F639" s="1" t="n"/>
      <c r="G639" s="1" t="n"/>
      <c r="H639" s="1" t="n"/>
      <c r="I639" s="1" t="n"/>
      <c r="J639" s="1" t="n"/>
      <c r="K639" s="1" t="n"/>
      <c r="L639" s="1" t="n"/>
      <c r="M639" s="1" t="n"/>
      <c r="N639" s="1" t="n"/>
    </row>
    <row r="640" ht="15.75" customHeight="1" s="311">
      <c r="A640" s="1" t="n"/>
      <c r="B640" s="1" t="n"/>
      <c r="C640" s="1" t="n"/>
      <c r="D640" s="1" t="n"/>
      <c r="E640" s="1" t="n"/>
      <c r="F640" s="1" t="n"/>
      <c r="G640" s="1" t="n"/>
      <c r="H640" s="1" t="n"/>
      <c r="I640" s="1" t="n"/>
      <c r="J640" s="1" t="n"/>
      <c r="K640" s="1" t="n"/>
      <c r="L640" s="1" t="n"/>
      <c r="M640" s="1" t="n"/>
      <c r="N640" s="1" t="n"/>
    </row>
    <row r="641" ht="15.75" customHeight="1" s="311">
      <c r="A641" s="1" t="n"/>
      <c r="B641" s="1" t="n"/>
      <c r="C641" s="1" t="n"/>
      <c r="D641" s="1" t="n"/>
      <c r="E641" s="1" t="n"/>
      <c r="F641" s="1" t="n"/>
      <c r="G641" s="1" t="n"/>
      <c r="H641" s="1" t="n"/>
      <c r="I641" s="1" t="n"/>
      <c r="J641" s="1" t="n"/>
      <c r="K641" s="1" t="n"/>
      <c r="L641" s="1" t="n"/>
      <c r="M641" s="1" t="n"/>
      <c r="N641" s="1" t="n"/>
    </row>
    <row r="642" ht="15.75" customHeight="1" s="311">
      <c r="A642" s="1" t="n"/>
      <c r="B642" s="1" t="n"/>
      <c r="C642" s="1" t="n"/>
      <c r="D642" s="1" t="n"/>
      <c r="E642" s="1" t="n"/>
      <c r="F642" s="1" t="n"/>
      <c r="G642" s="1" t="n"/>
      <c r="H642" s="1" t="n"/>
      <c r="I642" s="1" t="n"/>
      <c r="J642" s="1" t="n"/>
      <c r="K642" s="1" t="n"/>
      <c r="L642" s="1" t="n"/>
      <c r="M642" s="1" t="n"/>
      <c r="N642" s="1" t="n"/>
    </row>
    <row r="643" ht="15.75" customHeight="1" s="311">
      <c r="A643" s="1" t="n"/>
      <c r="B643" s="1" t="n"/>
      <c r="C643" s="1" t="n"/>
      <c r="D643" s="1" t="n"/>
      <c r="E643" s="1" t="n"/>
      <c r="F643" s="1" t="n"/>
      <c r="G643" s="1" t="n"/>
      <c r="H643" s="1" t="n"/>
      <c r="I643" s="1" t="n"/>
      <c r="J643" s="1" t="n"/>
      <c r="K643" s="1" t="n"/>
      <c r="L643" s="1" t="n"/>
      <c r="M643" s="1" t="n"/>
      <c r="N643" s="1" t="n"/>
    </row>
    <row r="644" ht="15.75" customHeight="1" s="311">
      <c r="A644" s="1" t="n"/>
      <c r="B644" s="1" t="n"/>
      <c r="C644" s="1" t="n"/>
      <c r="D644" s="1" t="n"/>
      <c r="E644" s="1" t="n"/>
      <c r="F644" s="1" t="n"/>
      <c r="G644" s="1" t="n"/>
      <c r="H644" s="1" t="n"/>
      <c r="I644" s="1" t="n"/>
      <c r="J644" s="1" t="n"/>
      <c r="K644" s="1" t="n"/>
      <c r="L644" s="1" t="n"/>
      <c r="M644" s="1" t="n"/>
      <c r="N644" s="1" t="n"/>
    </row>
    <row r="645" ht="15.75" customHeight="1" s="311">
      <c r="A645" s="1" t="n"/>
      <c r="B645" s="1" t="n"/>
      <c r="C645" s="1" t="n"/>
      <c r="D645" s="1" t="n"/>
      <c r="E645" s="1" t="n"/>
      <c r="F645" s="1" t="n"/>
      <c r="G645" s="1" t="n"/>
      <c r="H645" s="1" t="n"/>
      <c r="I645" s="1" t="n"/>
      <c r="J645" s="1" t="n"/>
      <c r="K645" s="1" t="n"/>
      <c r="L645" s="1" t="n"/>
      <c r="M645" s="1" t="n"/>
      <c r="N645" s="1" t="n"/>
    </row>
    <row r="646" ht="15.75" customHeight="1" s="311">
      <c r="A646" s="1" t="n"/>
      <c r="B646" s="1" t="n"/>
      <c r="C646" s="1" t="n"/>
      <c r="D646" s="1" t="n"/>
      <c r="E646" s="1" t="n"/>
      <c r="F646" s="1" t="n"/>
      <c r="G646" s="1" t="n"/>
      <c r="H646" s="1" t="n"/>
      <c r="I646" s="1" t="n"/>
      <c r="J646" s="1" t="n"/>
      <c r="K646" s="1" t="n"/>
      <c r="L646" s="1" t="n"/>
      <c r="M646" s="1" t="n"/>
      <c r="N646" s="1" t="n"/>
    </row>
    <row r="647" ht="15.75" customHeight="1" s="311">
      <c r="A647" s="1" t="n"/>
      <c r="B647" s="1" t="n"/>
      <c r="C647" s="1" t="n"/>
      <c r="D647" s="1" t="n"/>
      <c r="E647" s="1" t="n"/>
      <c r="F647" s="1" t="n"/>
      <c r="G647" s="1" t="n"/>
      <c r="H647" s="1" t="n"/>
      <c r="I647" s="1" t="n"/>
      <c r="J647" s="1" t="n"/>
      <c r="K647" s="1" t="n"/>
      <c r="L647" s="1" t="n"/>
      <c r="M647" s="1" t="n"/>
      <c r="N647" s="1" t="n"/>
    </row>
    <row r="648" ht="15.75" customHeight="1" s="311">
      <c r="A648" s="1" t="n"/>
      <c r="B648" s="1" t="n"/>
      <c r="C648" s="1" t="n"/>
      <c r="D648" s="1" t="n"/>
      <c r="E648" s="1" t="n"/>
      <c r="F648" s="1" t="n"/>
      <c r="G648" s="1" t="n"/>
      <c r="H648" s="1" t="n"/>
      <c r="I648" s="1" t="n"/>
      <c r="J648" s="1" t="n"/>
      <c r="K648" s="1" t="n"/>
      <c r="L648" s="1" t="n"/>
      <c r="M648" s="1" t="n"/>
      <c r="N648" s="1" t="n"/>
    </row>
    <row r="649" ht="15.75" customHeight="1" s="311">
      <c r="A649" s="1" t="n"/>
      <c r="B649" s="1" t="n"/>
      <c r="C649" s="1" t="n"/>
      <c r="D649" s="1" t="n"/>
      <c r="E649" s="1" t="n"/>
      <c r="F649" s="1" t="n"/>
      <c r="G649" s="1" t="n"/>
      <c r="H649" s="1" t="n"/>
      <c r="I649" s="1" t="n"/>
      <c r="J649" s="1" t="n"/>
      <c r="K649" s="1" t="n"/>
      <c r="L649" s="1" t="n"/>
      <c r="M649" s="1" t="n"/>
      <c r="N649" s="1" t="n"/>
    </row>
    <row r="650" ht="15.75" customHeight="1" s="311">
      <c r="A650" s="1" t="n"/>
      <c r="B650" s="1" t="n"/>
      <c r="C650" s="1" t="n"/>
      <c r="D650" s="1" t="n"/>
      <c r="E650" s="1" t="n"/>
      <c r="F650" s="1" t="n"/>
      <c r="G650" s="1" t="n"/>
      <c r="H650" s="1" t="n"/>
      <c r="I650" s="1" t="n"/>
      <c r="J650" s="1" t="n"/>
      <c r="K650" s="1" t="n"/>
      <c r="L650" s="1" t="n"/>
      <c r="M650" s="1" t="n"/>
      <c r="N650" s="1" t="n"/>
    </row>
    <row r="651" ht="15.75" customHeight="1" s="311">
      <c r="A651" s="1" t="n"/>
      <c r="B651" s="1" t="n"/>
      <c r="C651" s="1" t="n"/>
      <c r="D651" s="1" t="n"/>
      <c r="E651" s="1" t="n"/>
      <c r="F651" s="1" t="n"/>
      <c r="G651" s="1" t="n"/>
      <c r="H651" s="1" t="n"/>
      <c r="I651" s="1" t="n"/>
      <c r="J651" s="1" t="n"/>
      <c r="K651" s="1" t="n"/>
      <c r="L651" s="1" t="n"/>
      <c r="M651" s="1" t="n"/>
      <c r="N651" s="1" t="n"/>
    </row>
    <row r="652" ht="15.75" customHeight="1" s="311">
      <c r="A652" s="1" t="n"/>
      <c r="B652" s="1" t="n"/>
      <c r="C652" s="1" t="n"/>
      <c r="D652" s="1" t="n"/>
      <c r="E652" s="1" t="n"/>
      <c r="F652" s="1" t="n"/>
      <c r="G652" s="1" t="n"/>
      <c r="H652" s="1" t="n"/>
      <c r="I652" s="1" t="n"/>
      <c r="J652" s="1" t="n"/>
      <c r="K652" s="1" t="n"/>
      <c r="L652" s="1" t="n"/>
      <c r="M652" s="1" t="n"/>
      <c r="N652" s="1" t="n"/>
    </row>
    <row r="653" ht="15.75" customHeight="1" s="311">
      <c r="A653" s="1" t="n"/>
      <c r="B653" s="1" t="n"/>
      <c r="C653" s="1" t="n"/>
      <c r="D653" s="1" t="n"/>
      <c r="E653" s="1" t="n"/>
      <c r="F653" s="1" t="n"/>
      <c r="G653" s="1" t="n"/>
      <c r="H653" s="1" t="n"/>
      <c r="I653" s="1" t="n"/>
      <c r="J653" s="1" t="n"/>
      <c r="K653" s="1" t="n"/>
      <c r="L653" s="1" t="n"/>
      <c r="M653" s="1" t="n"/>
      <c r="N653" s="1" t="n"/>
    </row>
    <row r="654" ht="15.75" customHeight="1" s="311">
      <c r="A654" s="1" t="n"/>
      <c r="B654" s="1" t="n"/>
      <c r="C654" s="1" t="n"/>
      <c r="D654" s="1" t="n"/>
      <c r="E654" s="1" t="n"/>
      <c r="F654" s="1" t="n"/>
      <c r="G654" s="1" t="n"/>
      <c r="H654" s="1" t="n"/>
      <c r="I654" s="1" t="n"/>
      <c r="J654" s="1" t="n"/>
      <c r="K654" s="1" t="n"/>
      <c r="L654" s="1" t="n"/>
      <c r="M654" s="1" t="n"/>
      <c r="N654" s="1" t="n"/>
    </row>
    <row r="655" ht="15.75" customHeight="1" s="311">
      <c r="A655" s="1" t="n"/>
      <c r="B655" s="1" t="n"/>
      <c r="C655" s="1" t="n"/>
      <c r="D655" s="1" t="n"/>
      <c r="E655" s="1" t="n"/>
      <c r="F655" s="1" t="n"/>
      <c r="G655" s="1" t="n"/>
      <c r="H655" s="1" t="n"/>
      <c r="I655" s="1" t="n"/>
      <c r="J655" s="1" t="n"/>
      <c r="K655" s="1" t="n"/>
      <c r="L655" s="1" t="n"/>
      <c r="M655" s="1" t="n"/>
      <c r="N655" s="1" t="n"/>
    </row>
    <row r="656" ht="15.75" customHeight="1" s="311">
      <c r="A656" s="1" t="n"/>
      <c r="B656" s="1" t="n"/>
      <c r="C656" s="1" t="n"/>
      <c r="D656" s="1" t="n"/>
      <c r="E656" s="1" t="n"/>
      <c r="F656" s="1" t="n"/>
      <c r="G656" s="1" t="n"/>
      <c r="H656" s="1" t="n"/>
      <c r="I656" s="1" t="n"/>
      <c r="J656" s="1" t="n"/>
      <c r="K656" s="1" t="n"/>
      <c r="L656" s="1" t="n"/>
      <c r="M656" s="1" t="n"/>
      <c r="N656" s="1" t="n"/>
    </row>
    <row r="657" ht="15.75" customHeight="1" s="311">
      <c r="A657" s="1" t="n"/>
      <c r="B657" s="1" t="n"/>
      <c r="C657" s="1" t="n"/>
      <c r="D657" s="1" t="n"/>
      <c r="E657" s="1" t="n"/>
      <c r="F657" s="1" t="n"/>
      <c r="G657" s="1" t="n"/>
      <c r="H657" s="1" t="n"/>
      <c r="I657" s="1" t="n"/>
      <c r="J657" s="1" t="n"/>
      <c r="K657" s="1" t="n"/>
      <c r="L657" s="1" t="n"/>
      <c r="M657" s="1" t="n"/>
      <c r="N657" s="1" t="n"/>
    </row>
    <row r="658" ht="15.75" customHeight="1" s="311">
      <c r="A658" s="1" t="n"/>
      <c r="B658" s="1" t="n"/>
      <c r="C658" s="1" t="n"/>
      <c r="D658" s="1" t="n"/>
      <c r="E658" s="1" t="n"/>
      <c r="F658" s="1" t="n"/>
      <c r="G658" s="1" t="n"/>
      <c r="H658" s="1" t="n"/>
      <c r="I658" s="1" t="n"/>
      <c r="J658" s="1" t="n"/>
      <c r="K658" s="1" t="n"/>
      <c r="L658" s="1" t="n"/>
      <c r="M658" s="1" t="n"/>
      <c r="N658" s="1" t="n"/>
    </row>
    <row r="659" ht="15.75" customHeight="1" s="311">
      <c r="A659" s="1" t="n"/>
      <c r="B659" s="1" t="n"/>
      <c r="C659" s="1" t="n"/>
      <c r="D659" s="1" t="n"/>
      <c r="E659" s="1" t="n"/>
      <c r="F659" s="1" t="n"/>
      <c r="G659" s="1" t="n"/>
      <c r="H659" s="1" t="n"/>
      <c r="I659" s="1" t="n"/>
      <c r="J659" s="1" t="n"/>
      <c r="K659" s="1" t="n"/>
      <c r="L659" s="1" t="n"/>
      <c r="M659" s="1" t="n"/>
      <c r="N659" s="1" t="n"/>
    </row>
    <row r="660" ht="15.75" customHeight="1" s="311">
      <c r="A660" s="1" t="n"/>
      <c r="B660" s="1" t="n"/>
      <c r="C660" s="1" t="n"/>
      <c r="D660" s="1" t="n"/>
      <c r="E660" s="1" t="n"/>
      <c r="F660" s="1" t="n"/>
      <c r="G660" s="1" t="n"/>
      <c r="H660" s="1" t="n"/>
      <c r="I660" s="1" t="n"/>
      <c r="J660" s="1" t="n"/>
      <c r="K660" s="1" t="n"/>
      <c r="L660" s="1" t="n"/>
      <c r="M660" s="1" t="n"/>
      <c r="N660" s="1" t="n"/>
    </row>
    <row r="661" ht="15.75" customHeight="1" s="311">
      <c r="A661" s="1" t="n"/>
      <c r="B661" s="1" t="n"/>
      <c r="C661" s="1" t="n"/>
      <c r="D661" s="1" t="n"/>
      <c r="E661" s="1" t="n"/>
      <c r="F661" s="1" t="n"/>
      <c r="G661" s="1" t="n"/>
      <c r="H661" s="1" t="n"/>
      <c r="I661" s="1" t="n"/>
      <c r="J661" s="1" t="n"/>
      <c r="K661" s="1" t="n"/>
      <c r="L661" s="1" t="n"/>
      <c r="M661" s="1" t="n"/>
      <c r="N661" s="1" t="n"/>
    </row>
    <row r="662" ht="15.75" customHeight="1" s="311">
      <c r="A662" s="1" t="n"/>
      <c r="B662" s="1" t="n"/>
      <c r="C662" s="1" t="n"/>
      <c r="D662" s="1" t="n"/>
      <c r="E662" s="1" t="n"/>
      <c r="F662" s="1" t="n"/>
      <c r="G662" s="1" t="n"/>
      <c r="H662" s="1" t="n"/>
      <c r="I662" s="1" t="n"/>
      <c r="J662" s="1" t="n"/>
      <c r="K662" s="1" t="n"/>
      <c r="L662" s="1" t="n"/>
      <c r="M662" s="1" t="n"/>
      <c r="N662" s="1" t="n"/>
    </row>
    <row r="663" ht="15.75" customHeight="1" s="311">
      <c r="A663" s="1" t="n"/>
      <c r="B663" s="1" t="n"/>
      <c r="C663" s="1" t="n"/>
      <c r="D663" s="1" t="n"/>
      <c r="E663" s="1" t="n"/>
      <c r="F663" s="1" t="n"/>
      <c r="G663" s="1" t="n"/>
      <c r="H663" s="1" t="n"/>
      <c r="I663" s="1" t="n"/>
      <c r="J663" s="1" t="n"/>
      <c r="K663" s="1" t="n"/>
      <c r="L663" s="1" t="n"/>
      <c r="M663" s="1" t="n"/>
      <c r="N663" s="1" t="n"/>
    </row>
    <row r="664" ht="15.75" customHeight="1" s="311">
      <c r="A664" s="1" t="n"/>
      <c r="B664" s="1" t="n"/>
      <c r="C664" s="1" t="n"/>
      <c r="D664" s="1" t="n"/>
      <c r="E664" s="1" t="n"/>
      <c r="F664" s="1" t="n"/>
      <c r="G664" s="1" t="n"/>
      <c r="H664" s="1" t="n"/>
      <c r="I664" s="1" t="n"/>
      <c r="J664" s="1" t="n"/>
      <c r="K664" s="1" t="n"/>
      <c r="L664" s="1" t="n"/>
      <c r="M664" s="1" t="n"/>
      <c r="N664" s="1" t="n"/>
    </row>
    <row r="665" ht="15.75" customHeight="1" s="311">
      <c r="A665" s="1" t="n"/>
      <c r="B665" s="1" t="n"/>
      <c r="C665" s="1" t="n"/>
      <c r="D665" s="1" t="n"/>
      <c r="E665" s="1" t="n"/>
      <c r="F665" s="1" t="n"/>
      <c r="G665" s="1" t="n"/>
      <c r="H665" s="1" t="n"/>
      <c r="I665" s="1" t="n"/>
      <c r="J665" s="1" t="n"/>
      <c r="K665" s="1" t="n"/>
      <c r="L665" s="1" t="n"/>
      <c r="M665" s="1" t="n"/>
      <c r="N665" s="1" t="n"/>
    </row>
    <row r="666" ht="15.75" customHeight="1" s="311">
      <c r="A666" s="1" t="n"/>
      <c r="B666" s="1" t="n"/>
      <c r="C666" s="1" t="n"/>
      <c r="D666" s="1" t="n"/>
      <c r="E666" s="1" t="n"/>
      <c r="F666" s="1" t="n"/>
      <c r="G666" s="1" t="n"/>
      <c r="H666" s="1" t="n"/>
      <c r="I666" s="1" t="n"/>
      <c r="J666" s="1" t="n"/>
      <c r="K666" s="1" t="n"/>
      <c r="L666" s="1" t="n"/>
      <c r="M666" s="1" t="n"/>
      <c r="N666" s="1" t="n"/>
    </row>
    <row r="667" ht="15.75" customHeight="1" s="311">
      <c r="A667" s="1" t="n"/>
      <c r="B667" s="1" t="n"/>
      <c r="C667" s="1" t="n"/>
      <c r="D667" s="1" t="n"/>
      <c r="E667" s="1" t="n"/>
      <c r="F667" s="1" t="n"/>
      <c r="G667" s="1" t="n"/>
      <c r="H667" s="1" t="n"/>
      <c r="I667" s="1" t="n"/>
      <c r="J667" s="1" t="n"/>
      <c r="K667" s="1" t="n"/>
      <c r="L667" s="1" t="n"/>
      <c r="M667" s="1" t="n"/>
      <c r="N667" s="1" t="n"/>
    </row>
    <row r="668" ht="15.75" customHeight="1" s="311">
      <c r="A668" s="1" t="n"/>
      <c r="B668" s="1" t="n"/>
      <c r="C668" s="1" t="n"/>
      <c r="D668" s="1" t="n"/>
      <c r="E668" s="1" t="n"/>
      <c r="F668" s="1" t="n"/>
      <c r="G668" s="1" t="n"/>
      <c r="H668" s="1" t="n"/>
      <c r="I668" s="1" t="n"/>
      <c r="J668" s="1" t="n"/>
      <c r="K668" s="1" t="n"/>
      <c r="L668" s="1" t="n"/>
      <c r="M668" s="1" t="n"/>
      <c r="N668" s="1" t="n"/>
    </row>
    <row r="669" ht="15.75" customHeight="1" s="311">
      <c r="A669" s="1" t="n"/>
      <c r="B669" s="1" t="n"/>
      <c r="C669" s="1" t="n"/>
      <c r="D669" s="1" t="n"/>
      <c r="E669" s="1" t="n"/>
      <c r="F669" s="1" t="n"/>
      <c r="G669" s="1" t="n"/>
      <c r="H669" s="1" t="n"/>
      <c r="I669" s="1" t="n"/>
      <c r="J669" s="1" t="n"/>
      <c r="K669" s="1" t="n"/>
      <c r="L669" s="1" t="n"/>
      <c r="M669" s="1" t="n"/>
      <c r="N669" s="1" t="n"/>
    </row>
    <row r="670" ht="15.75" customHeight="1" s="311">
      <c r="A670" s="1" t="n"/>
      <c r="B670" s="1" t="n"/>
      <c r="C670" s="1" t="n"/>
      <c r="D670" s="1" t="n"/>
      <c r="E670" s="1" t="n"/>
      <c r="F670" s="1" t="n"/>
      <c r="G670" s="1" t="n"/>
      <c r="H670" s="1" t="n"/>
      <c r="I670" s="1" t="n"/>
      <c r="J670" s="1" t="n"/>
      <c r="K670" s="1" t="n"/>
      <c r="L670" s="1" t="n"/>
      <c r="M670" s="1" t="n"/>
      <c r="N670" s="1" t="n"/>
    </row>
    <row r="671" ht="15.75" customHeight="1" s="311">
      <c r="A671" s="1" t="n"/>
      <c r="B671" s="1" t="n"/>
      <c r="C671" s="1" t="n"/>
      <c r="D671" s="1" t="n"/>
      <c r="E671" s="1" t="n"/>
      <c r="F671" s="1" t="n"/>
      <c r="G671" s="1" t="n"/>
      <c r="H671" s="1" t="n"/>
      <c r="I671" s="1" t="n"/>
      <c r="J671" s="1" t="n"/>
      <c r="K671" s="1" t="n"/>
      <c r="L671" s="1" t="n"/>
      <c r="M671" s="1" t="n"/>
      <c r="N671" s="1" t="n"/>
    </row>
    <row r="672" ht="15.75" customHeight="1" s="311">
      <c r="A672" s="1" t="n"/>
      <c r="B672" s="1" t="n"/>
      <c r="C672" s="1" t="n"/>
      <c r="D672" s="1" t="n"/>
      <c r="E672" s="1" t="n"/>
      <c r="F672" s="1" t="n"/>
      <c r="G672" s="1" t="n"/>
      <c r="H672" s="1" t="n"/>
      <c r="I672" s="1" t="n"/>
      <c r="J672" s="1" t="n"/>
      <c r="K672" s="1" t="n"/>
      <c r="L672" s="1" t="n"/>
      <c r="M672" s="1" t="n"/>
      <c r="N672" s="1" t="n"/>
    </row>
    <row r="673" ht="15.75" customHeight="1" s="311">
      <c r="A673" s="1" t="n"/>
      <c r="B673" s="1" t="n"/>
      <c r="C673" s="1" t="n"/>
      <c r="D673" s="1" t="n"/>
      <c r="E673" s="1" t="n"/>
      <c r="F673" s="1" t="n"/>
      <c r="G673" s="1" t="n"/>
      <c r="H673" s="1" t="n"/>
      <c r="I673" s="1" t="n"/>
      <c r="J673" s="1" t="n"/>
      <c r="K673" s="1" t="n"/>
      <c r="L673" s="1" t="n"/>
      <c r="M673" s="1" t="n"/>
      <c r="N673" s="1" t="n"/>
    </row>
    <row r="674" ht="15.75" customHeight="1" s="311">
      <c r="A674" s="1" t="n"/>
      <c r="B674" s="1" t="n"/>
      <c r="C674" s="1" t="n"/>
      <c r="D674" s="1" t="n"/>
      <c r="E674" s="1" t="n"/>
      <c r="F674" s="1" t="n"/>
      <c r="G674" s="1" t="n"/>
      <c r="H674" s="1" t="n"/>
      <c r="I674" s="1" t="n"/>
      <c r="J674" s="1" t="n"/>
      <c r="K674" s="1" t="n"/>
      <c r="L674" s="1" t="n"/>
      <c r="M674" s="1" t="n"/>
      <c r="N674" s="1" t="n"/>
    </row>
    <row r="675" ht="15.75" customHeight="1" s="311">
      <c r="A675" s="1" t="n"/>
      <c r="B675" s="1" t="n"/>
      <c r="C675" s="1" t="n"/>
      <c r="D675" s="1" t="n"/>
      <c r="E675" s="1" t="n"/>
      <c r="F675" s="1" t="n"/>
      <c r="G675" s="1" t="n"/>
      <c r="H675" s="1" t="n"/>
      <c r="I675" s="1" t="n"/>
      <c r="J675" s="1" t="n"/>
      <c r="K675" s="1" t="n"/>
      <c r="L675" s="1" t="n"/>
      <c r="M675" s="1" t="n"/>
      <c r="N675" s="1" t="n"/>
    </row>
    <row r="676" ht="15.75" customHeight="1" s="311">
      <c r="A676" s="1" t="n"/>
      <c r="B676" s="1" t="n"/>
      <c r="C676" s="1" t="n"/>
      <c r="D676" s="1" t="n"/>
      <c r="E676" s="1" t="n"/>
      <c r="F676" s="1" t="n"/>
      <c r="G676" s="1" t="n"/>
      <c r="H676" s="1" t="n"/>
      <c r="I676" s="1" t="n"/>
      <c r="J676" s="1" t="n"/>
      <c r="K676" s="1" t="n"/>
      <c r="L676" s="1" t="n"/>
      <c r="M676" s="1" t="n"/>
      <c r="N676" s="1" t="n"/>
    </row>
    <row r="677" ht="15.75" customHeight="1" s="311">
      <c r="A677" s="1" t="n"/>
      <c r="B677" s="1" t="n"/>
      <c r="C677" s="1" t="n"/>
      <c r="D677" s="1" t="n"/>
      <c r="E677" s="1" t="n"/>
      <c r="F677" s="1" t="n"/>
      <c r="G677" s="1" t="n"/>
      <c r="H677" s="1" t="n"/>
      <c r="I677" s="1" t="n"/>
      <c r="J677" s="1" t="n"/>
      <c r="K677" s="1" t="n"/>
      <c r="L677" s="1" t="n"/>
      <c r="M677" s="1" t="n"/>
      <c r="N677" s="1" t="n"/>
    </row>
    <row r="678" ht="15.75" customHeight="1" s="311">
      <c r="A678" s="1" t="n"/>
      <c r="B678" s="1" t="n"/>
      <c r="C678" s="1" t="n"/>
      <c r="D678" s="1" t="n"/>
      <c r="E678" s="1" t="n"/>
      <c r="F678" s="1" t="n"/>
      <c r="G678" s="1" t="n"/>
      <c r="H678" s="1" t="n"/>
      <c r="I678" s="1" t="n"/>
      <c r="J678" s="1" t="n"/>
      <c r="K678" s="1" t="n"/>
      <c r="L678" s="1" t="n"/>
      <c r="M678" s="1" t="n"/>
      <c r="N678" s="1" t="n"/>
    </row>
    <row r="679" ht="15.75" customHeight="1" s="311">
      <c r="A679" s="1" t="n"/>
      <c r="B679" s="1" t="n"/>
      <c r="C679" s="1" t="n"/>
      <c r="D679" s="1" t="n"/>
      <c r="E679" s="1" t="n"/>
      <c r="F679" s="1" t="n"/>
      <c r="G679" s="1" t="n"/>
      <c r="H679" s="1" t="n"/>
      <c r="I679" s="1" t="n"/>
      <c r="J679" s="1" t="n"/>
      <c r="K679" s="1" t="n"/>
      <c r="L679" s="1" t="n"/>
      <c r="M679" s="1" t="n"/>
      <c r="N679" s="1" t="n"/>
    </row>
    <row r="680" ht="15.75" customHeight="1" s="311">
      <c r="A680" s="1" t="n"/>
      <c r="B680" s="1" t="n"/>
      <c r="C680" s="1" t="n"/>
      <c r="D680" s="1" t="n"/>
      <c r="E680" s="1" t="n"/>
      <c r="F680" s="1" t="n"/>
      <c r="G680" s="1" t="n"/>
      <c r="H680" s="1" t="n"/>
      <c r="I680" s="1" t="n"/>
      <c r="J680" s="1" t="n"/>
      <c r="K680" s="1" t="n"/>
      <c r="L680" s="1" t="n"/>
      <c r="M680" s="1" t="n"/>
      <c r="N680" s="1" t="n"/>
    </row>
    <row r="681" ht="15.75" customHeight="1" s="311">
      <c r="A681" s="1" t="n"/>
      <c r="B681" s="1" t="n"/>
      <c r="C681" s="1" t="n"/>
      <c r="D681" s="1" t="n"/>
      <c r="E681" s="1" t="n"/>
      <c r="F681" s="1" t="n"/>
      <c r="G681" s="1" t="n"/>
      <c r="H681" s="1" t="n"/>
      <c r="I681" s="1" t="n"/>
      <c r="J681" s="1" t="n"/>
      <c r="K681" s="1" t="n"/>
      <c r="L681" s="1" t="n"/>
      <c r="M681" s="1" t="n"/>
      <c r="N681" s="1" t="n"/>
    </row>
    <row r="682" ht="15.75" customHeight="1" s="311">
      <c r="A682" s="1" t="n"/>
      <c r="B682" s="1" t="n"/>
      <c r="C682" s="1" t="n"/>
      <c r="D682" s="1" t="n"/>
      <c r="E682" s="1" t="n"/>
      <c r="F682" s="1" t="n"/>
      <c r="G682" s="1" t="n"/>
      <c r="H682" s="1" t="n"/>
      <c r="I682" s="1" t="n"/>
      <c r="J682" s="1" t="n"/>
      <c r="K682" s="1" t="n"/>
      <c r="L682" s="1" t="n"/>
      <c r="M682" s="1" t="n"/>
      <c r="N682" s="1" t="n"/>
    </row>
    <row r="683" ht="15.75" customHeight="1" s="311">
      <c r="A683" s="1" t="n"/>
      <c r="B683" s="1" t="n"/>
      <c r="C683" s="1" t="n"/>
      <c r="D683" s="1" t="n"/>
      <c r="E683" s="1" t="n"/>
      <c r="F683" s="1" t="n"/>
      <c r="G683" s="1" t="n"/>
      <c r="H683" s="1" t="n"/>
      <c r="I683" s="1" t="n"/>
      <c r="J683" s="1" t="n"/>
      <c r="K683" s="1" t="n"/>
      <c r="L683" s="1" t="n"/>
      <c r="M683" s="1" t="n"/>
      <c r="N683" s="1" t="n"/>
    </row>
    <row r="684" ht="15.75" customHeight="1" s="311">
      <c r="A684" s="1" t="n"/>
      <c r="B684" s="1" t="n"/>
      <c r="C684" s="1" t="n"/>
      <c r="D684" s="1" t="n"/>
      <c r="E684" s="1" t="n"/>
      <c r="F684" s="1" t="n"/>
      <c r="G684" s="1" t="n"/>
      <c r="H684" s="1" t="n"/>
      <c r="I684" s="1" t="n"/>
      <c r="J684" s="1" t="n"/>
      <c r="K684" s="1" t="n"/>
      <c r="L684" s="1" t="n"/>
      <c r="M684" s="1" t="n"/>
      <c r="N684" s="1" t="n"/>
    </row>
    <row r="685" ht="15.75" customHeight="1" s="311">
      <c r="A685" s="1" t="n"/>
      <c r="B685" s="1" t="n"/>
      <c r="C685" s="1" t="n"/>
      <c r="D685" s="1" t="n"/>
      <c r="E685" s="1" t="n"/>
      <c r="F685" s="1" t="n"/>
      <c r="G685" s="1" t="n"/>
      <c r="H685" s="1" t="n"/>
      <c r="I685" s="1" t="n"/>
      <c r="J685" s="1" t="n"/>
      <c r="K685" s="1" t="n"/>
      <c r="L685" s="1" t="n"/>
      <c r="M685" s="1" t="n"/>
      <c r="N685" s="1" t="n"/>
    </row>
    <row r="686" ht="15.75" customHeight="1" s="311">
      <c r="A686" s="1" t="n"/>
      <c r="B686" s="1" t="n"/>
      <c r="C686" s="1" t="n"/>
      <c r="D686" s="1" t="n"/>
      <c r="E686" s="1" t="n"/>
      <c r="F686" s="1" t="n"/>
      <c r="G686" s="1" t="n"/>
      <c r="H686" s="1" t="n"/>
      <c r="I686" s="1" t="n"/>
      <c r="J686" s="1" t="n"/>
      <c r="K686" s="1" t="n"/>
      <c r="L686" s="1" t="n"/>
      <c r="M686" s="1" t="n"/>
      <c r="N686" s="1" t="n"/>
    </row>
    <row r="687" ht="15.75" customHeight="1" s="311">
      <c r="A687" s="1" t="n"/>
      <c r="B687" s="1" t="n"/>
      <c r="C687" s="1" t="n"/>
      <c r="D687" s="1" t="n"/>
      <c r="E687" s="1" t="n"/>
      <c r="F687" s="1" t="n"/>
      <c r="G687" s="1" t="n"/>
      <c r="H687" s="1" t="n"/>
      <c r="I687" s="1" t="n"/>
      <c r="J687" s="1" t="n"/>
      <c r="K687" s="1" t="n"/>
      <c r="L687" s="1" t="n"/>
      <c r="M687" s="1" t="n"/>
      <c r="N687" s="1" t="n"/>
    </row>
    <row r="688" ht="15.75" customHeight="1" s="311">
      <c r="A688" s="1" t="n"/>
      <c r="B688" s="1" t="n"/>
      <c r="C688" s="1" t="n"/>
      <c r="D688" s="1" t="n"/>
      <c r="E688" s="1" t="n"/>
      <c r="F688" s="1" t="n"/>
      <c r="G688" s="1" t="n"/>
      <c r="H688" s="1" t="n"/>
      <c r="I688" s="1" t="n"/>
      <c r="J688" s="1" t="n"/>
      <c r="K688" s="1" t="n"/>
      <c r="L688" s="1" t="n"/>
      <c r="M688" s="1" t="n"/>
      <c r="N688" s="1" t="n"/>
    </row>
    <row r="689" ht="15.75" customHeight="1" s="311">
      <c r="A689" s="1" t="n"/>
      <c r="B689" s="1" t="n"/>
      <c r="C689" s="1" t="n"/>
      <c r="D689" s="1" t="n"/>
      <c r="E689" s="1" t="n"/>
      <c r="F689" s="1" t="n"/>
      <c r="G689" s="1" t="n"/>
      <c r="H689" s="1" t="n"/>
      <c r="I689" s="1" t="n"/>
      <c r="J689" s="1" t="n"/>
      <c r="K689" s="1" t="n"/>
      <c r="L689" s="1" t="n"/>
      <c r="M689" s="1" t="n"/>
      <c r="N689" s="1" t="n"/>
    </row>
    <row r="690" ht="15.75" customHeight="1" s="311">
      <c r="A690" s="1" t="n"/>
      <c r="B690" s="1" t="n"/>
      <c r="C690" s="1" t="n"/>
      <c r="D690" s="1" t="n"/>
      <c r="E690" s="1" t="n"/>
      <c r="F690" s="1" t="n"/>
      <c r="G690" s="1" t="n"/>
      <c r="H690" s="1" t="n"/>
      <c r="I690" s="1" t="n"/>
      <c r="J690" s="1" t="n"/>
      <c r="K690" s="1" t="n"/>
      <c r="L690" s="1" t="n"/>
      <c r="M690" s="1" t="n"/>
      <c r="N690" s="1" t="n"/>
    </row>
    <row r="691" ht="15.75" customHeight="1" s="311">
      <c r="A691" s="1" t="n"/>
      <c r="B691" s="1" t="n"/>
      <c r="C691" s="1" t="n"/>
      <c r="D691" s="1" t="n"/>
      <c r="E691" s="1" t="n"/>
      <c r="F691" s="1" t="n"/>
      <c r="G691" s="1" t="n"/>
      <c r="H691" s="1" t="n"/>
      <c r="I691" s="1" t="n"/>
      <c r="J691" s="1" t="n"/>
      <c r="K691" s="1" t="n"/>
      <c r="L691" s="1" t="n"/>
      <c r="M691" s="1" t="n"/>
      <c r="N691" s="1" t="n"/>
    </row>
    <row r="692" ht="15.75" customHeight="1" s="311">
      <c r="A692" s="1" t="n"/>
      <c r="B692" s="1" t="n"/>
      <c r="C692" s="1" t="n"/>
      <c r="D692" s="1" t="n"/>
      <c r="E692" s="1" t="n"/>
      <c r="F692" s="1" t="n"/>
      <c r="G692" s="1" t="n"/>
      <c r="H692" s="1" t="n"/>
      <c r="I692" s="1" t="n"/>
      <c r="J692" s="1" t="n"/>
      <c r="K692" s="1" t="n"/>
      <c r="L692" s="1" t="n"/>
      <c r="M692" s="1" t="n"/>
      <c r="N692" s="1" t="n"/>
    </row>
    <row r="693" ht="15.75" customHeight="1" s="311">
      <c r="A693" s="1" t="n"/>
      <c r="B693" s="1" t="n"/>
      <c r="C693" s="1" t="n"/>
      <c r="D693" s="1" t="n"/>
      <c r="E693" s="1" t="n"/>
      <c r="F693" s="1" t="n"/>
      <c r="G693" s="1" t="n"/>
      <c r="H693" s="1" t="n"/>
      <c r="I693" s="1" t="n"/>
      <c r="J693" s="1" t="n"/>
      <c r="K693" s="1" t="n"/>
      <c r="L693" s="1" t="n"/>
      <c r="M693" s="1" t="n"/>
      <c r="N693" s="1" t="n"/>
    </row>
    <row r="694" ht="15.75" customHeight="1" s="311">
      <c r="A694" s="1" t="n"/>
      <c r="B694" s="1" t="n"/>
      <c r="C694" s="1" t="n"/>
      <c r="D694" s="1" t="n"/>
      <c r="E694" s="1" t="n"/>
      <c r="F694" s="1" t="n"/>
      <c r="G694" s="1" t="n"/>
      <c r="H694" s="1" t="n"/>
      <c r="I694" s="1" t="n"/>
      <c r="J694" s="1" t="n"/>
      <c r="K694" s="1" t="n"/>
      <c r="L694" s="1" t="n"/>
      <c r="M694" s="1" t="n"/>
      <c r="N694" s="1" t="n"/>
    </row>
    <row r="695" ht="15.75" customHeight="1" s="311">
      <c r="A695" s="1" t="n"/>
      <c r="B695" s="1" t="n"/>
      <c r="C695" s="1" t="n"/>
      <c r="D695" s="1" t="n"/>
      <c r="E695" s="1" t="n"/>
      <c r="F695" s="1" t="n"/>
      <c r="G695" s="1" t="n"/>
      <c r="H695" s="1" t="n"/>
      <c r="I695" s="1" t="n"/>
      <c r="J695" s="1" t="n"/>
      <c r="K695" s="1" t="n"/>
      <c r="L695" s="1" t="n"/>
      <c r="M695" s="1" t="n"/>
      <c r="N695" s="1" t="n"/>
    </row>
    <row r="696" ht="15.75" customHeight="1" s="311">
      <c r="A696" s="1" t="n"/>
      <c r="B696" s="1" t="n"/>
      <c r="C696" s="1" t="n"/>
      <c r="D696" s="1" t="n"/>
      <c r="E696" s="1" t="n"/>
      <c r="F696" s="1" t="n"/>
      <c r="G696" s="1" t="n"/>
      <c r="H696" s="1" t="n"/>
      <c r="I696" s="1" t="n"/>
      <c r="J696" s="1" t="n"/>
      <c r="K696" s="1" t="n"/>
      <c r="L696" s="1" t="n"/>
      <c r="M696" s="1" t="n"/>
      <c r="N696" s="1" t="n"/>
    </row>
    <row r="697" ht="15.75" customHeight="1" s="311">
      <c r="A697" s="1" t="n"/>
      <c r="B697" s="1" t="n"/>
      <c r="C697" s="1" t="n"/>
      <c r="D697" s="1" t="n"/>
      <c r="E697" s="1" t="n"/>
      <c r="F697" s="1" t="n"/>
      <c r="G697" s="1" t="n"/>
      <c r="H697" s="1" t="n"/>
      <c r="I697" s="1" t="n"/>
      <c r="J697" s="1" t="n"/>
      <c r="K697" s="1" t="n"/>
      <c r="L697" s="1" t="n"/>
      <c r="M697" s="1" t="n"/>
      <c r="N697" s="1" t="n"/>
    </row>
    <row r="698" ht="15.75" customHeight="1" s="311">
      <c r="A698" s="1" t="n"/>
      <c r="B698" s="1" t="n"/>
      <c r="C698" s="1" t="n"/>
      <c r="D698" s="1" t="n"/>
      <c r="E698" s="1" t="n"/>
      <c r="F698" s="1" t="n"/>
      <c r="G698" s="1" t="n"/>
      <c r="H698" s="1" t="n"/>
      <c r="I698" s="1" t="n"/>
      <c r="J698" s="1" t="n"/>
      <c r="K698" s="1" t="n"/>
      <c r="L698" s="1" t="n"/>
      <c r="M698" s="1" t="n"/>
      <c r="N698" s="1" t="n"/>
    </row>
    <row r="699" ht="15.75" customHeight="1" s="311">
      <c r="A699" s="1" t="n"/>
      <c r="B699" s="1" t="n"/>
      <c r="C699" s="1" t="n"/>
      <c r="D699" s="1" t="n"/>
      <c r="E699" s="1" t="n"/>
      <c r="F699" s="1" t="n"/>
      <c r="G699" s="1" t="n"/>
      <c r="H699" s="1" t="n"/>
      <c r="I699" s="1" t="n"/>
      <c r="J699" s="1" t="n"/>
      <c r="K699" s="1" t="n"/>
      <c r="L699" s="1" t="n"/>
      <c r="M699" s="1" t="n"/>
      <c r="N699" s="1" t="n"/>
    </row>
    <row r="700" ht="15.75" customHeight="1" s="311">
      <c r="A700" s="1" t="n"/>
      <c r="B700" s="1" t="n"/>
      <c r="C700" s="1" t="n"/>
      <c r="D700" s="1" t="n"/>
      <c r="E700" s="1" t="n"/>
      <c r="F700" s="1" t="n"/>
      <c r="G700" s="1" t="n"/>
      <c r="H700" s="1" t="n"/>
      <c r="I700" s="1" t="n"/>
      <c r="J700" s="1" t="n"/>
      <c r="K700" s="1" t="n"/>
      <c r="L700" s="1" t="n"/>
      <c r="M700" s="1" t="n"/>
      <c r="N700" s="1" t="n"/>
    </row>
    <row r="701" ht="15.75" customHeight="1" s="311">
      <c r="A701" s="1" t="n"/>
      <c r="B701" s="1" t="n"/>
      <c r="C701" s="1" t="n"/>
      <c r="D701" s="1" t="n"/>
      <c r="E701" s="1" t="n"/>
      <c r="F701" s="1" t="n"/>
      <c r="G701" s="1" t="n"/>
      <c r="H701" s="1" t="n"/>
      <c r="I701" s="1" t="n"/>
      <c r="J701" s="1" t="n"/>
      <c r="K701" s="1" t="n"/>
      <c r="L701" s="1" t="n"/>
      <c r="M701" s="1" t="n"/>
      <c r="N701" s="1" t="n"/>
    </row>
    <row r="702" ht="15.75" customHeight="1" s="311">
      <c r="A702" s="1" t="n"/>
      <c r="B702" s="1" t="n"/>
      <c r="C702" s="1" t="n"/>
      <c r="D702" s="1" t="n"/>
      <c r="E702" s="1" t="n"/>
      <c r="F702" s="1" t="n"/>
      <c r="G702" s="1" t="n"/>
      <c r="H702" s="1" t="n"/>
      <c r="I702" s="1" t="n"/>
      <c r="J702" s="1" t="n"/>
      <c r="K702" s="1" t="n"/>
      <c r="L702" s="1" t="n"/>
      <c r="M702" s="1" t="n"/>
      <c r="N702" s="1" t="n"/>
    </row>
    <row r="703" ht="15.75" customHeight="1" s="311">
      <c r="A703" s="1" t="n"/>
      <c r="B703" s="1" t="n"/>
      <c r="C703" s="1" t="n"/>
      <c r="D703" s="1" t="n"/>
      <c r="E703" s="1" t="n"/>
      <c r="F703" s="1" t="n"/>
      <c r="G703" s="1" t="n"/>
      <c r="H703" s="1" t="n"/>
      <c r="I703" s="1" t="n"/>
      <c r="J703" s="1" t="n"/>
      <c r="K703" s="1" t="n"/>
      <c r="L703" s="1" t="n"/>
      <c r="M703" s="1" t="n"/>
      <c r="N703" s="1" t="n"/>
    </row>
    <row r="704" ht="15.75" customHeight="1" s="311">
      <c r="A704" s="1" t="n"/>
      <c r="B704" s="1" t="n"/>
      <c r="C704" s="1" t="n"/>
      <c r="D704" s="1" t="n"/>
      <c r="E704" s="1" t="n"/>
      <c r="F704" s="1" t="n"/>
      <c r="G704" s="1" t="n"/>
      <c r="H704" s="1" t="n"/>
      <c r="I704" s="1" t="n"/>
      <c r="J704" s="1" t="n"/>
      <c r="K704" s="1" t="n"/>
      <c r="L704" s="1" t="n"/>
      <c r="M704" s="1" t="n"/>
      <c r="N704" s="1" t="n"/>
    </row>
    <row r="705" ht="15.75" customHeight="1" s="311">
      <c r="A705" s="1" t="n"/>
      <c r="B705" s="1" t="n"/>
      <c r="C705" s="1" t="n"/>
      <c r="D705" s="1" t="n"/>
      <c r="E705" s="1" t="n"/>
      <c r="F705" s="1" t="n"/>
      <c r="G705" s="1" t="n"/>
      <c r="H705" s="1" t="n"/>
      <c r="I705" s="1" t="n"/>
      <c r="J705" s="1" t="n"/>
      <c r="K705" s="1" t="n"/>
      <c r="L705" s="1" t="n"/>
      <c r="M705" s="1" t="n"/>
      <c r="N705" s="1" t="n"/>
    </row>
    <row r="706" ht="15.75" customHeight="1" s="311">
      <c r="A706" s="1" t="n"/>
      <c r="B706" s="1" t="n"/>
      <c r="C706" s="1" t="n"/>
      <c r="D706" s="1" t="n"/>
      <c r="E706" s="1" t="n"/>
      <c r="F706" s="1" t="n"/>
      <c r="G706" s="1" t="n"/>
      <c r="H706" s="1" t="n"/>
      <c r="I706" s="1" t="n"/>
      <c r="J706" s="1" t="n"/>
      <c r="K706" s="1" t="n"/>
      <c r="L706" s="1" t="n"/>
      <c r="M706" s="1" t="n"/>
      <c r="N706" s="1" t="n"/>
    </row>
    <row r="707" ht="15.75" customHeight="1" s="311">
      <c r="A707" s="1" t="n"/>
      <c r="B707" s="1" t="n"/>
      <c r="C707" s="1" t="n"/>
      <c r="D707" s="1" t="n"/>
      <c r="E707" s="1" t="n"/>
      <c r="F707" s="1" t="n"/>
      <c r="G707" s="1" t="n"/>
      <c r="H707" s="1" t="n"/>
      <c r="I707" s="1" t="n"/>
      <c r="J707" s="1" t="n"/>
      <c r="K707" s="1" t="n"/>
      <c r="L707" s="1" t="n"/>
      <c r="M707" s="1" t="n"/>
      <c r="N707" s="1" t="n"/>
    </row>
    <row r="708" ht="15.75" customHeight="1" s="311">
      <c r="A708" s="1" t="n"/>
      <c r="B708" s="1" t="n"/>
      <c r="C708" s="1" t="n"/>
      <c r="D708" s="1" t="n"/>
      <c r="E708" s="1" t="n"/>
      <c r="F708" s="1" t="n"/>
      <c r="G708" s="1" t="n"/>
      <c r="H708" s="1" t="n"/>
      <c r="I708" s="1" t="n"/>
      <c r="J708" s="1" t="n"/>
      <c r="K708" s="1" t="n"/>
      <c r="L708" s="1" t="n"/>
      <c r="M708" s="1" t="n"/>
      <c r="N708" s="1" t="n"/>
    </row>
    <row r="709" ht="15.75" customHeight="1" s="311">
      <c r="A709" s="1" t="n"/>
      <c r="B709" s="1" t="n"/>
      <c r="C709" s="1" t="n"/>
      <c r="D709" s="1" t="n"/>
      <c r="E709" s="1" t="n"/>
      <c r="F709" s="1" t="n"/>
      <c r="G709" s="1" t="n"/>
      <c r="H709" s="1" t="n"/>
      <c r="I709" s="1" t="n"/>
      <c r="J709" s="1" t="n"/>
      <c r="K709" s="1" t="n"/>
      <c r="L709" s="1" t="n"/>
      <c r="M709" s="1" t="n"/>
      <c r="N709" s="1" t="n"/>
    </row>
    <row r="710" ht="15.75" customHeight="1" s="311">
      <c r="A710" s="1" t="n"/>
      <c r="B710" s="1" t="n"/>
      <c r="C710" s="1" t="n"/>
      <c r="D710" s="1" t="n"/>
      <c r="E710" s="1" t="n"/>
      <c r="F710" s="1" t="n"/>
      <c r="G710" s="1" t="n"/>
      <c r="H710" s="1" t="n"/>
      <c r="I710" s="1" t="n"/>
      <c r="J710" s="1" t="n"/>
      <c r="K710" s="1" t="n"/>
      <c r="L710" s="1" t="n"/>
      <c r="M710" s="1" t="n"/>
      <c r="N710" s="1" t="n"/>
    </row>
    <row r="711" ht="15.75" customHeight="1" s="311">
      <c r="A711" s="1" t="n"/>
      <c r="B711" s="1" t="n"/>
      <c r="C711" s="1" t="n"/>
      <c r="D711" s="1" t="n"/>
      <c r="E711" s="1" t="n"/>
      <c r="F711" s="1" t="n"/>
      <c r="G711" s="1" t="n"/>
      <c r="H711" s="1" t="n"/>
      <c r="I711" s="1" t="n"/>
      <c r="J711" s="1" t="n"/>
      <c r="K711" s="1" t="n"/>
      <c r="L711" s="1" t="n"/>
      <c r="M711" s="1" t="n"/>
      <c r="N711" s="1" t="n"/>
    </row>
    <row r="712" ht="15.75" customHeight="1" s="311">
      <c r="A712" s="1" t="n"/>
      <c r="B712" s="1" t="n"/>
      <c r="C712" s="1" t="n"/>
      <c r="D712" s="1" t="n"/>
      <c r="E712" s="1" t="n"/>
      <c r="F712" s="1" t="n"/>
      <c r="G712" s="1" t="n"/>
      <c r="H712" s="1" t="n"/>
      <c r="I712" s="1" t="n"/>
      <c r="J712" s="1" t="n"/>
      <c r="K712" s="1" t="n"/>
      <c r="L712" s="1" t="n"/>
      <c r="M712" s="1" t="n"/>
      <c r="N712" s="1" t="n"/>
    </row>
    <row r="713" ht="15.75" customHeight="1" s="311">
      <c r="A713" s="1" t="n"/>
      <c r="B713" s="1" t="n"/>
      <c r="C713" s="1" t="n"/>
      <c r="D713" s="1" t="n"/>
      <c r="E713" s="1" t="n"/>
      <c r="F713" s="1" t="n"/>
      <c r="G713" s="1" t="n"/>
      <c r="H713" s="1" t="n"/>
      <c r="I713" s="1" t="n"/>
      <c r="J713" s="1" t="n"/>
      <c r="K713" s="1" t="n"/>
      <c r="L713" s="1" t="n"/>
      <c r="M713" s="1" t="n"/>
      <c r="N713" s="1" t="n"/>
    </row>
    <row r="714" ht="15.75" customHeight="1" s="311">
      <c r="A714" s="1" t="n"/>
      <c r="B714" s="1" t="n"/>
      <c r="C714" s="1" t="n"/>
      <c r="D714" s="1" t="n"/>
      <c r="E714" s="1" t="n"/>
      <c r="F714" s="1" t="n"/>
      <c r="G714" s="1" t="n"/>
      <c r="H714" s="1" t="n"/>
      <c r="I714" s="1" t="n"/>
      <c r="J714" s="1" t="n"/>
      <c r="K714" s="1" t="n"/>
      <c r="L714" s="1" t="n"/>
      <c r="M714" s="1" t="n"/>
      <c r="N714" s="1" t="n"/>
    </row>
    <row r="715" ht="15.75" customHeight="1" s="311">
      <c r="A715" s="1" t="n"/>
      <c r="B715" s="1" t="n"/>
      <c r="C715" s="1" t="n"/>
      <c r="D715" s="1" t="n"/>
      <c r="E715" s="1" t="n"/>
      <c r="F715" s="1" t="n"/>
      <c r="G715" s="1" t="n"/>
      <c r="H715" s="1" t="n"/>
      <c r="I715" s="1" t="n"/>
      <c r="J715" s="1" t="n"/>
      <c r="K715" s="1" t="n"/>
      <c r="L715" s="1" t="n"/>
      <c r="M715" s="1" t="n"/>
      <c r="N715" s="1" t="n"/>
    </row>
    <row r="716" ht="15.75" customHeight="1" s="311">
      <c r="A716" s="1" t="n"/>
      <c r="B716" s="1" t="n"/>
      <c r="C716" s="1" t="n"/>
      <c r="D716" s="1" t="n"/>
      <c r="E716" s="1" t="n"/>
      <c r="F716" s="1" t="n"/>
      <c r="G716" s="1" t="n"/>
      <c r="H716" s="1" t="n"/>
      <c r="I716" s="1" t="n"/>
      <c r="J716" s="1" t="n"/>
      <c r="K716" s="1" t="n"/>
      <c r="L716" s="1" t="n"/>
      <c r="M716" s="1" t="n"/>
      <c r="N716" s="1" t="n"/>
    </row>
    <row r="717" ht="15.75" customHeight="1" s="311">
      <c r="A717" s="1" t="n"/>
      <c r="B717" s="1" t="n"/>
      <c r="C717" s="1" t="n"/>
      <c r="D717" s="1" t="n"/>
      <c r="E717" s="1" t="n"/>
      <c r="F717" s="1" t="n"/>
      <c r="G717" s="1" t="n"/>
      <c r="H717" s="1" t="n"/>
      <c r="I717" s="1" t="n"/>
      <c r="J717" s="1" t="n"/>
      <c r="K717" s="1" t="n"/>
      <c r="L717" s="1" t="n"/>
      <c r="M717" s="1" t="n"/>
      <c r="N717" s="1" t="n"/>
    </row>
    <row r="718" ht="15.75" customHeight="1" s="311">
      <c r="A718" s="1" t="n"/>
      <c r="B718" s="1" t="n"/>
      <c r="C718" s="1" t="n"/>
      <c r="D718" s="1" t="n"/>
      <c r="E718" s="1" t="n"/>
      <c r="F718" s="1" t="n"/>
      <c r="G718" s="1" t="n"/>
      <c r="H718" s="1" t="n"/>
      <c r="I718" s="1" t="n"/>
      <c r="J718" s="1" t="n"/>
      <c r="K718" s="1" t="n"/>
      <c r="L718" s="1" t="n"/>
      <c r="M718" s="1" t="n"/>
      <c r="N718" s="1" t="n"/>
    </row>
    <row r="719" ht="15.75" customHeight="1" s="311">
      <c r="A719" s="1" t="n"/>
      <c r="B719" s="1" t="n"/>
      <c r="C719" s="1" t="n"/>
      <c r="D719" s="1" t="n"/>
      <c r="E719" s="1" t="n"/>
      <c r="F719" s="1" t="n"/>
      <c r="G719" s="1" t="n"/>
      <c r="H719" s="1" t="n"/>
      <c r="I719" s="1" t="n"/>
      <c r="J719" s="1" t="n"/>
      <c r="K719" s="1" t="n"/>
      <c r="L719" s="1" t="n"/>
      <c r="M719" s="1" t="n"/>
      <c r="N719" s="1" t="n"/>
    </row>
    <row r="720" ht="15.75" customHeight="1" s="311">
      <c r="A720" s="1" t="n"/>
      <c r="B720" s="1" t="n"/>
      <c r="C720" s="1" t="n"/>
      <c r="D720" s="1" t="n"/>
      <c r="E720" s="1" t="n"/>
      <c r="F720" s="1" t="n"/>
      <c r="G720" s="1" t="n"/>
      <c r="H720" s="1" t="n"/>
      <c r="I720" s="1" t="n"/>
      <c r="J720" s="1" t="n"/>
      <c r="K720" s="1" t="n"/>
      <c r="L720" s="1" t="n"/>
      <c r="M720" s="1" t="n"/>
      <c r="N720" s="1" t="n"/>
    </row>
    <row r="721" ht="15.75" customHeight="1" s="311">
      <c r="A721" s="1" t="n"/>
      <c r="B721" s="1" t="n"/>
      <c r="C721" s="1" t="n"/>
      <c r="D721" s="1" t="n"/>
      <c r="E721" s="1" t="n"/>
      <c r="F721" s="1" t="n"/>
      <c r="G721" s="1" t="n"/>
      <c r="H721" s="1" t="n"/>
      <c r="I721" s="1" t="n"/>
      <c r="J721" s="1" t="n"/>
      <c r="K721" s="1" t="n"/>
      <c r="L721" s="1" t="n"/>
      <c r="M721" s="1" t="n"/>
      <c r="N721" s="1" t="n"/>
    </row>
    <row r="722" ht="15.75" customHeight="1" s="311">
      <c r="A722" s="1" t="n"/>
      <c r="B722" s="1" t="n"/>
      <c r="C722" s="1" t="n"/>
      <c r="D722" s="1" t="n"/>
      <c r="E722" s="1" t="n"/>
      <c r="F722" s="1" t="n"/>
      <c r="G722" s="1" t="n"/>
      <c r="H722" s="1" t="n"/>
      <c r="I722" s="1" t="n"/>
      <c r="J722" s="1" t="n"/>
      <c r="K722" s="1" t="n"/>
      <c r="L722" s="1" t="n"/>
      <c r="M722" s="1" t="n"/>
      <c r="N722" s="1" t="n"/>
    </row>
    <row r="723" ht="15.75" customHeight="1" s="311">
      <c r="A723" s="1" t="n"/>
      <c r="B723" s="1" t="n"/>
      <c r="C723" s="1" t="n"/>
      <c r="D723" s="1" t="n"/>
      <c r="E723" s="1" t="n"/>
      <c r="F723" s="1" t="n"/>
      <c r="G723" s="1" t="n"/>
      <c r="H723" s="1" t="n"/>
      <c r="I723" s="1" t="n"/>
      <c r="J723" s="1" t="n"/>
      <c r="K723" s="1" t="n"/>
      <c r="L723" s="1" t="n"/>
      <c r="M723" s="1" t="n"/>
      <c r="N723" s="1" t="n"/>
    </row>
    <row r="724" ht="15.75" customHeight="1" s="311">
      <c r="A724" s="1" t="n"/>
      <c r="B724" s="1" t="n"/>
      <c r="C724" s="1" t="n"/>
      <c r="D724" s="1" t="n"/>
      <c r="E724" s="1" t="n"/>
      <c r="F724" s="1" t="n"/>
      <c r="G724" s="1" t="n"/>
      <c r="H724" s="1" t="n"/>
      <c r="I724" s="1" t="n"/>
      <c r="J724" s="1" t="n"/>
      <c r="K724" s="1" t="n"/>
      <c r="L724" s="1" t="n"/>
      <c r="M724" s="1" t="n"/>
      <c r="N724" s="1" t="n"/>
    </row>
    <row r="725" ht="15.75" customHeight="1" s="311">
      <c r="A725" s="1" t="n"/>
      <c r="B725" s="1" t="n"/>
      <c r="C725" s="1" t="n"/>
      <c r="D725" s="1" t="n"/>
      <c r="E725" s="1" t="n"/>
      <c r="F725" s="1" t="n"/>
      <c r="G725" s="1" t="n"/>
      <c r="H725" s="1" t="n"/>
      <c r="I725" s="1" t="n"/>
      <c r="J725" s="1" t="n"/>
      <c r="K725" s="1" t="n"/>
      <c r="L725" s="1" t="n"/>
      <c r="M725" s="1" t="n"/>
      <c r="N725" s="1" t="n"/>
    </row>
    <row r="726" ht="15.75" customHeight="1" s="311">
      <c r="A726" s="1" t="n"/>
      <c r="B726" s="1" t="n"/>
      <c r="C726" s="1" t="n"/>
      <c r="D726" s="1" t="n"/>
      <c r="E726" s="1" t="n"/>
      <c r="F726" s="1" t="n"/>
      <c r="G726" s="1" t="n"/>
      <c r="H726" s="1" t="n"/>
      <c r="I726" s="1" t="n"/>
      <c r="J726" s="1" t="n"/>
      <c r="K726" s="1" t="n"/>
      <c r="L726" s="1" t="n"/>
      <c r="M726" s="1" t="n"/>
      <c r="N726" s="1" t="n"/>
    </row>
    <row r="727" ht="15.75" customHeight="1" s="311">
      <c r="A727" s="1" t="n"/>
      <c r="B727" s="1" t="n"/>
      <c r="C727" s="1" t="n"/>
      <c r="D727" s="1" t="n"/>
      <c r="E727" s="1" t="n"/>
      <c r="F727" s="1" t="n"/>
      <c r="G727" s="1" t="n"/>
      <c r="H727" s="1" t="n"/>
      <c r="I727" s="1" t="n"/>
      <c r="J727" s="1" t="n"/>
      <c r="K727" s="1" t="n"/>
      <c r="L727" s="1" t="n"/>
      <c r="M727" s="1" t="n"/>
      <c r="N727" s="1" t="n"/>
    </row>
    <row r="728" ht="15.75" customHeight="1" s="311">
      <c r="A728" s="1" t="n"/>
      <c r="B728" s="1" t="n"/>
      <c r="C728" s="1" t="n"/>
      <c r="D728" s="1" t="n"/>
      <c r="E728" s="1" t="n"/>
      <c r="F728" s="1" t="n"/>
      <c r="G728" s="1" t="n"/>
      <c r="H728" s="1" t="n"/>
      <c r="I728" s="1" t="n"/>
      <c r="J728" s="1" t="n"/>
      <c r="K728" s="1" t="n"/>
      <c r="L728" s="1" t="n"/>
      <c r="M728" s="1" t="n"/>
      <c r="N728" s="1" t="n"/>
    </row>
    <row r="729" ht="15.75" customHeight="1" s="311">
      <c r="A729" s="1" t="n"/>
      <c r="B729" s="1" t="n"/>
      <c r="C729" s="1" t="n"/>
      <c r="D729" s="1" t="n"/>
      <c r="E729" s="1" t="n"/>
      <c r="F729" s="1" t="n"/>
      <c r="G729" s="1" t="n"/>
      <c r="H729" s="1" t="n"/>
      <c r="I729" s="1" t="n"/>
      <c r="J729" s="1" t="n"/>
      <c r="K729" s="1" t="n"/>
      <c r="L729" s="1" t="n"/>
      <c r="M729" s="1" t="n"/>
      <c r="N729" s="1" t="n"/>
    </row>
    <row r="730" ht="15.75" customHeight="1" s="311">
      <c r="A730" s="1" t="n"/>
      <c r="B730" s="1" t="n"/>
      <c r="C730" s="1" t="n"/>
      <c r="D730" s="1" t="n"/>
      <c r="E730" s="1" t="n"/>
      <c r="F730" s="1" t="n"/>
      <c r="G730" s="1" t="n"/>
      <c r="H730" s="1" t="n"/>
      <c r="I730" s="1" t="n"/>
      <c r="J730" s="1" t="n"/>
      <c r="K730" s="1" t="n"/>
      <c r="L730" s="1" t="n"/>
      <c r="M730" s="1" t="n"/>
      <c r="N730" s="1" t="n"/>
    </row>
    <row r="731" ht="15.75" customHeight="1" s="311">
      <c r="A731" s="1" t="n"/>
      <c r="B731" s="1" t="n"/>
      <c r="C731" s="1" t="n"/>
      <c r="D731" s="1" t="n"/>
      <c r="E731" s="1" t="n"/>
      <c r="F731" s="1" t="n"/>
      <c r="G731" s="1" t="n"/>
      <c r="H731" s="1" t="n"/>
      <c r="I731" s="1" t="n"/>
      <c r="J731" s="1" t="n"/>
      <c r="K731" s="1" t="n"/>
      <c r="L731" s="1" t="n"/>
      <c r="M731" s="1" t="n"/>
      <c r="N731" s="1" t="n"/>
    </row>
    <row r="732" ht="15.75" customHeight="1" s="311">
      <c r="A732" s="1" t="n"/>
      <c r="B732" s="1" t="n"/>
      <c r="C732" s="1" t="n"/>
      <c r="D732" s="1" t="n"/>
      <c r="E732" s="1" t="n"/>
      <c r="F732" s="1" t="n"/>
      <c r="G732" s="1" t="n"/>
      <c r="H732" s="1" t="n"/>
      <c r="I732" s="1" t="n"/>
      <c r="J732" s="1" t="n"/>
      <c r="K732" s="1" t="n"/>
      <c r="L732" s="1" t="n"/>
      <c r="M732" s="1" t="n"/>
      <c r="N732" s="1" t="n"/>
    </row>
    <row r="733" ht="15.75" customHeight="1" s="311">
      <c r="A733" s="1" t="n"/>
      <c r="B733" s="1" t="n"/>
      <c r="C733" s="1" t="n"/>
      <c r="D733" s="1" t="n"/>
      <c r="E733" s="1" t="n"/>
      <c r="F733" s="1" t="n"/>
      <c r="G733" s="1" t="n"/>
      <c r="H733" s="1" t="n"/>
      <c r="I733" s="1" t="n"/>
      <c r="J733" s="1" t="n"/>
      <c r="K733" s="1" t="n"/>
      <c r="L733" s="1" t="n"/>
      <c r="M733" s="1" t="n"/>
      <c r="N733" s="1" t="n"/>
    </row>
    <row r="734" ht="15.75" customHeight="1" s="311">
      <c r="A734" s="1" t="n"/>
      <c r="B734" s="1" t="n"/>
      <c r="C734" s="1" t="n"/>
      <c r="D734" s="1" t="n"/>
      <c r="E734" s="1" t="n"/>
      <c r="F734" s="1" t="n"/>
      <c r="G734" s="1" t="n"/>
      <c r="H734" s="1" t="n"/>
      <c r="I734" s="1" t="n"/>
      <c r="J734" s="1" t="n"/>
      <c r="K734" s="1" t="n"/>
      <c r="L734" s="1" t="n"/>
      <c r="M734" s="1" t="n"/>
      <c r="N734" s="1" t="n"/>
    </row>
    <row r="735" ht="15.75" customHeight="1" s="311">
      <c r="A735" s="1" t="n"/>
      <c r="B735" s="1" t="n"/>
      <c r="C735" s="1" t="n"/>
      <c r="D735" s="1" t="n"/>
      <c r="E735" s="1" t="n"/>
      <c r="F735" s="1" t="n"/>
      <c r="G735" s="1" t="n"/>
      <c r="H735" s="1" t="n"/>
      <c r="I735" s="1" t="n"/>
      <c r="J735" s="1" t="n"/>
      <c r="K735" s="1" t="n"/>
      <c r="L735" s="1" t="n"/>
      <c r="M735" s="1" t="n"/>
      <c r="N735" s="1" t="n"/>
    </row>
    <row r="736" ht="15.75" customHeight="1" s="311">
      <c r="A736" s="1" t="n"/>
      <c r="B736" s="1" t="n"/>
      <c r="C736" s="1" t="n"/>
      <c r="D736" s="1" t="n"/>
      <c r="E736" s="1" t="n"/>
      <c r="F736" s="1" t="n"/>
      <c r="G736" s="1" t="n"/>
      <c r="H736" s="1" t="n"/>
      <c r="I736" s="1" t="n"/>
      <c r="J736" s="1" t="n"/>
      <c r="K736" s="1" t="n"/>
      <c r="L736" s="1" t="n"/>
      <c r="M736" s="1" t="n"/>
      <c r="N736" s="1" t="n"/>
    </row>
    <row r="737" ht="15.75" customHeight="1" s="311">
      <c r="A737" s="1" t="n"/>
      <c r="B737" s="1" t="n"/>
      <c r="C737" s="1" t="n"/>
      <c r="D737" s="1" t="n"/>
      <c r="E737" s="1" t="n"/>
      <c r="F737" s="1" t="n"/>
      <c r="G737" s="1" t="n"/>
      <c r="H737" s="1" t="n"/>
      <c r="I737" s="1" t="n"/>
      <c r="J737" s="1" t="n"/>
      <c r="K737" s="1" t="n"/>
      <c r="L737" s="1" t="n"/>
      <c r="M737" s="1" t="n"/>
      <c r="N737" s="1" t="n"/>
    </row>
    <row r="738" ht="15.75" customHeight="1" s="311">
      <c r="A738" s="1" t="n"/>
      <c r="B738" s="1" t="n"/>
      <c r="C738" s="1" t="n"/>
      <c r="D738" s="1" t="n"/>
      <c r="E738" s="1" t="n"/>
      <c r="F738" s="1" t="n"/>
      <c r="G738" s="1" t="n"/>
      <c r="H738" s="1" t="n"/>
      <c r="I738" s="1" t="n"/>
      <c r="J738" s="1" t="n"/>
      <c r="K738" s="1" t="n"/>
      <c r="L738" s="1" t="n"/>
      <c r="M738" s="1" t="n"/>
      <c r="N738" s="1" t="n"/>
    </row>
    <row r="739" ht="15.75" customHeight="1" s="311">
      <c r="A739" s="1" t="n"/>
      <c r="B739" s="1" t="n"/>
      <c r="C739" s="1" t="n"/>
      <c r="D739" s="1" t="n"/>
      <c r="E739" s="1" t="n"/>
      <c r="F739" s="1" t="n"/>
      <c r="G739" s="1" t="n"/>
      <c r="H739" s="1" t="n"/>
      <c r="I739" s="1" t="n"/>
      <c r="J739" s="1" t="n"/>
      <c r="K739" s="1" t="n"/>
      <c r="L739" s="1" t="n"/>
      <c r="M739" s="1" t="n"/>
      <c r="N739" s="1" t="n"/>
    </row>
    <row r="740" ht="15.75" customHeight="1" s="311">
      <c r="A740" s="1" t="n"/>
      <c r="B740" s="1" t="n"/>
      <c r="C740" s="1" t="n"/>
      <c r="D740" s="1" t="n"/>
      <c r="E740" s="1" t="n"/>
      <c r="F740" s="1" t="n"/>
      <c r="G740" s="1" t="n"/>
      <c r="H740" s="1" t="n"/>
      <c r="I740" s="1" t="n"/>
      <c r="J740" s="1" t="n"/>
      <c r="K740" s="1" t="n"/>
      <c r="L740" s="1" t="n"/>
      <c r="M740" s="1" t="n"/>
      <c r="N740" s="1" t="n"/>
    </row>
    <row r="741" ht="15.75" customHeight="1" s="311">
      <c r="A741" s="1" t="n"/>
      <c r="B741" s="1" t="n"/>
      <c r="C741" s="1" t="n"/>
      <c r="D741" s="1" t="n"/>
      <c r="E741" s="1" t="n"/>
      <c r="F741" s="1" t="n"/>
      <c r="G741" s="1" t="n"/>
      <c r="H741" s="1" t="n"/>
      <c r="I741" s="1" t="n"/>
      <c r="J741" s="1" t="n"/>
      <c r="K741" s="1" t="n"/>
      <c r="L741" s="1" t="n"/>
      <c r="M741" s="1" t="n"/>
      <c r="N741" s="1" t="n"/>
    </row>
    <row r="742" ht="15.75" customHeight="1" s="311">
      <c r="A742" s="1" t="n"/>
      <c r="B742" s="1" t="n"/>
      <c r="C742" s="1" t="n"/>
      <c r="D742" s="1" t="n"/>
      <c r="E742" s="1" t="n"/>
      <c r="F742" s="1" t="n"/>
      <c r="G742" s="1" t="n"/>
      <c r="H742" s="1" t="n"/>
      <c r="I742" s="1" t="n"/>
      <c r="J742" s="1" t="n"/>
      <c r="K742" s="1" t="n"/>
      <c r="L742" s="1" t="n"/>
      <c r="M742" s="1" t="n"/>
      <c r="N742" s="1" t="n"/>
    </row>
    <row r="743" ht="15.75" customHeight="1" s="311">
      <c r="A743" s="1" t="n"/>
      <c r="B743" s="1" t="n"/>
      <c r="C743" s="1" t="n"/>
      <c r="D743" s="1" t="n"/>
      <c r="E743" s="1" t="n"/>
      <c r="F743" s="1" t="n"/>
      <c r="G743" s="1" t="n"/>
      <c r="H743" s="1" t="n"/>
      <c r="I743" s="1" t="n"/>
      <c r="J743" s="1" t="n"/>
      <c r="K743" s="1" t="n"/>
      <c r="L743" s="1" t="n"/>
      <c r="M743" s="1" t="n"/>
      <c r="N743" s="1" t="n"/>
    </row>
    <row r="744" ht="15.75" customHeight="1" s="311">
      <c r="A744" s="1" t="n"/>
      <c r="B744" s="1" t="n"/>
      <c r="C744" s="1" t="n"/>
      <c r="D744" s="1" t="n"/>
      <c r="E744" s="1" t="n"/>
      <c r="F744" s="1" t="n"/>
      <c r="G744" s="1" t="n"/>
      <c r="H744" s="1" t="n"/>
      <c r="I744" s="1" t="n"/>
      <c r="J744" s="1" t="n"/>
      <c r="K744" s="1" t="n"/>
      <c r="L744" s="1" t="n"/>
      <c r="M744" s="1" t="n"/>
      <c r="N744" s="1" t="n"/>
    </row>
    <row r="745" ht="15.75" customHeight="1" s="311">
      <c r="A745" s="1" t="n"/>
      <c r="B745" s="1" t="n"/>
      <c r="C745" s="1" t="n"/>
      <c r="D745" s="1" t="n"/>
      <c r="E745" s="1" t="n"/>
      <c r="F745" s="1" t="n"/>
      <c r="G745" s="1" t="n"/>
      <c r="H745" s="1" t="n"/>
      <c r="I745" s="1" t="n"/>
      <c r="J745" s="1" t="n"/>
      <c r="K745" s="1" t="n"/>
      <c r="L745" s="1" t="n"/>
      <c r="M745" s="1" t="n"/>
      <c r="N745" s="1" t="n"/>
    </row>
    <row r="746" ht="15.75" customHeight="1" s="311">
      <c r="A746" s="1" t="n"/>
      <c r="B746" s="1" t="n"/>
      <c r="C746" s="1" t="n"/>
      <c r="D746" s="1" t="n"/>
      <c r="E746" s="1" t="n"/>
      <c r="F746" s="1" t="n"/>
      <c r="G746" s="1" t="n"/>
      <c r="H746" s="1" t="n"/>
      <c r="I746" s="1" t="n"/>
      <c r="J746" s="1" t="n"/>
      <c r="K746" s="1" t="n"/>
      <c r="L746" s="1" t="n"/>
      <c r="M746" s="1" t="n"/>
      <c r="N746" s="1" t="n"/>
    </row>
    <row r="747" ht="15.75" customHeight="1" s="311">
      <c r="A747" s="1" t="n"/>
      <c r="B747" s="1" t="n"/>
      <c r="C747" s="1" t="n"/>
      <c r="D747" s="1" t="n"/>
      <c r="E747" s="1" t="n"/>
      <c r="F747" s="1" t="n"/>
      <c r="G747" s="1" t="n"/>
      <c r="H747" s="1" t="n"/>
      <c r="I747" s="1" t="n"/>
      <c r="J747" s="1" t="n"/>
      <c r="K747" s="1" t="n"/>
      <c r="L747" s="1" t="n"/>
      <c r="M747" s="1" t="n"/>
      <c r="N747" s="1" t="n"/>
    </row>
    <row r="748" ht="15.75" customHeight="1" s="311">
      <c r="A748" s="1" t="n"/>
      <c r="B748" s="1" t="n"/>
      <c r="C748" s="1" t="n"/>
      <c r="D748" s="1" t="n"/>
      <c r="E748" s="1" t="n"/>
      <c r="F748" s="1" t="n"/>
      <c r="G748" s="1" t="n"/>
      <c r="H748" s="1" t="n"/>
      <c r="I748" s="1" t="n"/>
      <c r="J748" s="1" t="n"/>
      <c r="K748" s="1" t="n"/>
      <c r="L748" s="1" t="n"/>
      <c r="M748" s="1" t="n"/>
      <c r="N748" s="1" t="n"/>
    </row>
    <row r="749" ht="15.75" customHeight="1" s="311">
      <c r="A749" s="1" t="n"/>
      <c r="B749" s="1" t="n"/>
      <c r="C749" s="1" t="n"/>
      <c r="D749" s="1" t="n"/>
      <c r="E749" s="1" t="n"/>
      <c r="F749" s="1" t="n"/>
      <c r="G749" s="1" t="n"/>
      <c r="H749" s="1" t="n"/>
      <c r="I749" s="1" t="n"/>
      <c r="J749" s="1" t="n"/>
      <c r="K749" s="1" t="n"/>
      <c r="L749" s="1" t="n"/>
      <c r="M749" s="1" t="n"/>
      <c r="N749" s="1" t="n"/>
    </row>
    <row r="750" ht="15.75" customHeight="1" s="311">
      <c r="A750" s="1" t="n"/>
      <c r="B750" s="1" t="n"/>
      <c r="C750" s="1" t="n"/>
      <c r="D750" s="1" t="n"/>
      <c r="E750" s="1" t="n"/>
      <c r="F750" s="1" t="n"/>
      <c r="G750" s="1" t="n"/>
      <c r="H750" s="1" t="n"/>
      <c r="I750" s="1" t="n"/>
      <c r="J750" s="1" t="n"/>
      <c r="K750" s="1" t="n"/>
      <c r="L750" s="1" t="n"/>
      <c r="M750" s="1" t="n"/>
      <c r="N750" s="1" t="n"/>
    </row>
    <row r="751" ht="15.75" customHeight="1" s="311">
      <c r="A751" s="1" t="n"/>
      <c r="B751" s="1" t="n"/>
      <c r="C751" s="1" t="n"/>
      <c r="D751" s="1" t="n"/>
      <c r="E751" s="1" t="n"/>
      <c r="F751" s="1" t="n"/>
      <c r="G751" s="1" t="n"/>
      <c r="H751" s="1" t="n"/>
      <c r="I751" s="1" t="n"/>
      <c r="J751" s="1" t="n"/>
      <c r="K751" s="1" t="n"/>
      <c r="L751" s="1" t="n"/>
      <c r="M751" s="1" t="n"/>
      <c r="N751" s="1" t="n"/>
    </row>
    <row r="752" ht="15.75" customHeight="1" s="311">
      <c r="A752" s="1" t="n"/>
      <c r="B752" s="1" t="n"/>
      <c r="C752" s="1" t="n"/>
      <c r="D752" s="1" t="n"/>
      <c r="E752" s="1" t="n"/>
      <c r="F752" s="1" t="n"/>
      <c r="G752" s="1" t="n"/>
      <c r="H752" s="1" t="n"/>
      <c r="I752" s="1" t="n"/>
      <c r="J752" s="1" t="n"/>
      <c r="K752" s="1" t="n"/>
      <c r="L752" s="1" t="n"/>
      <c r="M752" s="1" t="n"/>
      <c r="N752" s="1" t="n"/>
    </row>
    <row r="753" ht="15.75" customHeight="1" s="311">
      <c r="A753" s="1" t="n"/>
      <c r="B753" s="1" t="n"/>
      <c r="C753" s="1" t="n"/>
      <c r="D753" s="1" t="n"/>
      <c r="E753" s="1" t="n"/>
      <c r="F753" s="1" t="n"/>
      <c r="G753" s="1" t="n"/>
      <c r="H753" s="1" t="n"/>
      <c r="I753" s="1" t="n"/>
      <c r="J753" s="1" t="n"/>
      <c r="K753" s="1" t="n"/>
      <c r="L753" s="1" t="n"/>
      <c r="M753" s="1" t="n"/>
      <c r="N753" s="1" t="n"/>
    </row>
    <row r="754" ht="15.75" customHeight="1" s="311">
      <c r="A754" s="1" t="n"/>
      <c r="B754" s="1" t="n"/>
      <c r="C754" s="1" t="n"/>
      <c r="D754" s="1" t="n"/>
      <c r="E754" s="1" t="n"/>
      <c r="F754" s="1" t="n"/>
      <c r="G754" s="1" t="n"/>
      <c r="H754" s="1" t="n"/>
      <c r="I754" s="1" t="n"/>
      <c r="J754" s="1" t="n"/>
      <c r="K754" s="1" t="n"/>
      <c r="L754" s="1" t="n"/>
      <c r="M754" s="1" t="n"/>
      <c r="N754" s="1" t="n"/>
    </row>
    <row r="755" ht="15.75" customHeight="1" s="311">
      <c r="A755" s="1" t="n"/>
      <c r="B755" s="1" t="n"/>
      <c r="C755" s="1" t="n"/>
      <c r="D755" s="1" t="n"/>
      <c r="E755" s="1" t="n"/>
      <c r="F755" s="1" t="n"/>
      <c r="G755" s="1" t="n"/>
      <c r="H755" s="1" t="n"/>
      <c r="I755" s="1" t="n"/>
      <c r="J755" s="1" t="n"/>
      <c r="K755" s="1" t="n"/>
      <c r="L755" s="1" t="n"/>
      <c r="M755" s="1" t="n"/>
      <c r="N755" s="1" t="n"/>
    </row>
    <row r="756" ht="15.75" customHeight="1" s="311">
      <c r="A756" s="1" t="n"/>
      <c r="B756" s="1" t="n"/>
      <c r="C756" s="1" t="n"/>
      <c r="D756" s="1" t="n"/>
      <c r="E756" s="1" t="n"/>
      <c r="F756" s="1" t="n"/>
      <c r="G756" s="1" t="n"/>
      <c r="H756" s="1" t="n"/>
      <c r="I756" s="1" t="n"/>
      <c r="J756" s="1" t="n"/>
      <c r="K756" s="1" t="n"/>
      <c r="L756" s="1" t="n"/>
      <c r="M756" s="1" t="n"/>
      <c r="N756" s="1" t="n"/>
    </row>
    <row r="757" ht="15.75" customHeight="1" s="311">
      <c r="A757" s="1" t="n"/>
      <c r="B757" s="1" t="n"/>
      <c r="C757" s="1" t="n"/>
      <c r="D757" s="1" t="n"/>
      <c r="E757" s="1" t="n"/>
      <c r="F757" s="1" t="n"/>
      <c r="G757" s="1" t="n"/>
      <c r="H757" s="1" t="n"/>
      <c r="I757" s="1" t="n"/>
      <c r="J757" s="1" t="n"/>
      <c r="K757" s="1" t="n"/>
      <c r="L757" s="1" t="n"/>
      <c r="M757" s="1" t="n"/>
      <c r="N757" s="1" t="n"/>
    </row>
    <row r="758" ht="15.75" customHeight="1" s="311">
      <c r="A758" s="1" t="n"/>
      <c r="B758" s="1" t="n"/>
      <c r="C758" s="1" t="n"/>
      <c r="D758" s="1" t="n"/>
      <c r="E758" s="1" t="n"/>
      <c r="F758" s="1" t="n"/>
      <c r="G758" s="1" t="n"/>
      <c r="H758" s="1" t="n"/>
      <c r="I758" s="1" t="n"/>
      <c r="J758" s="1" t="n"/>
      <c r="K758" s="1" t="n"/>
      <c r="L758" s="1" t="n"/>
      <c r="M758" s="1" t="n"/>
      <c r="N758" s="1" t="n"/>
    </row>
    <row r="759" ht="15.75" customHeight="1" s="311">
      <c r="A759" s="1" t="n"/>
      <c r="B759" s="1" t="n"/>
      <c r="C759" s="1" t="n"/>
      <c r="D759" s="1" t="n"/>
      <c r="E759" s="1" t="n"/>
      <c r="F759" s="1" t="n"/>
      <c r="G759" s="1" t="n"/>
      <c r="H759" s="1" t="n"/>
      <c r="I759" s="1" t="n"/>
      <c r="J759" s="1" t="n"/>
      <c r="K759" s="1" t="n"/>
      <c r="L759" s="1" t="n"/>
      <c r="M759" s="1" t="n"/>
      <c r="N759" s="1" t="n"/>
    </row>
    <row r="760" ht="15.75" customHeight="1" s="311">
      <c r="A760" s="1" t="n"/>
      <c r="B760" s="1" t="n"/>
      <c r="C760" s="1" t="n"/>
      <c r="D760" s="1" t="n"/>
      <c r="E760" s="1" t="n"/>
      <c r="F760" s="1" t="n"/>
      <c r="G760" s="1" t="n"/>
      <c r="H760" s="1" t="n"/>
      <c r="I760" s="1" t="n"/>
      <c r="J760" s="1" t="n"/>
      <c r="K760" s="1" t="n"/>
      <c r="L760" s="1" t="n"/>
      <c r="M760" s="1" t="n"/>
      <c r="N760" s="1" t="n"/>
    </row>
    <row r="761" ht="15.75" customHeight="1" s="311">
      <c r="A761" s="1" t="n"/>
      <c r="B761" s="1" t="n"/>
      <c r="C761" s="1" t="n"/>
      <c r="D761" s="1" t="n"/>
      <c r="E761" s="1" t="n"/>
      <c r="F761" s="1" t="n"/>
      <c r="G761" s="1" t="n"/>
      <c r="H761" s="1" t="n"/>
      <c r="I761" s="1" t="n"/>
      <c r="J761" s="1" t="n"/>
      <c r="K761" s="1" t="n"/>
      <c r="L761" s="1" t="n"/>
      <c r="M761" s="1" t="n"/>
      <c r="N761" s="1" t="n"/>
    </row>
    <row r="762" ht="15.75" customHeight="1" s="311">
      <c r="A762" s="1" t="n"/>
      <c r="B762" s="1" t="n"/>
      <c r="C762" s="1" t="n"/>
      <c r="D762" s="1" t="n"/>
      <c r="E762" s="1" t="n"/>
      <c r="F762" s="1" t="n"/>
      <c r="G762" s="1" t="n"/>
      <c r="H762" s="1" t="n"/>
      <c r="I762" s="1" t="n"/>
      <c r="J762" s="1" t="n"/>
      <c r="K762" s="1" t="n"/>
      <c r="L762" s="1" t="n"/>
      <c r="M762" s="1" t="n"/>
      <c r="N762" s="1" t="n"/>
    </row>
    <row r="763" ht="15.75" customHeight="1" s="311">
      <c r="A763" s="1" t="n"/>
      <c r="B763" s="1" t="n"/>
      <c r="C763" s="1" t="n"/>
      <c r="D763" s="1" t="n"/>
      <c r="E763" s="1" t="n"/>
      <c r="F763" s="1" t="n"/>
      <c r="G763" s="1" t="n"/>
      <c r="H763" s="1" t="n"/>
      <c r="I763" s="1" t="n"/>
      <c r="J763" s="1" t="n"/>
      <c r="K763" s="1" t="n"/>
      <c r="L763" s="1" t="n"/>
      <c r="M763" s="1" t="n"/>
      <c r="N763" s="1" t="n"/>
    </row>
    <row r="764" ht="15.75" customHeight="1" s="311">
      <c r="A764" s="1" t="n"/>
      <c r="B764" s="1" t="n"/>
      <c r="C764" s="1" t="n"/>
      <c r="D764" s="1" t="n"/>
      <c r="E764" s="1" t="n"/>
      <c r="F764" s="1" t="n"/>
      <c r="G764" s="1" t="n"/>
      <c r="H764" s="1" t="n"/>
      <c r="I764" s="1" t="n"/>
      <c r="J764" s="1" t="n"/>
      <c r="K764" s="1" t="n"/>
      <c r="L764" s="1" t="n"/>
      <c r="M764" s="1" t="n"/>
      <c r="N764" s="1" t="n"/>
    </row>
    <row r="765" ht="15.75" customHeight="1" s="311">
      <c r="A765" s="1" t="n"/>
      <c r="B765" s="1" t="n"/>
      <c r="C765" s="1" t="n"/>
      <c r="D765" s="1" t="n"/>
      <c r="E765" s="1" t="n"/>
      <c r="F765" s="1" t="n"/>
      <c r="G765" s="1" t="n"/>
      <c r="H765" s="1" t="n"/>
      <c r="I765" s="1" t="n"/>
      <c r="J765" s="1" t="n"/>
      <c r="K765" s="1" t="n"/>
      <c r="L765" s="1" t="n"/>
      <c r="M765" s="1" t="n"/>
      <c r="N765" s="1" t="n"/>
    </row>
    <row r="766" ht="15.75" customHeight="1" s="311">
      <c r="A766" s="1" t="n"/>
      <c r="B766" s="1" t="n"/>
      <c r="C766" s="1" t="n"/>
      <c r="D766" s="1" t="n"/>
      <c r="E766" s="1" t="n"/>
      <c r="F766" s="1" t="n"/>
      <c r="G766" s="1" t="n"/>
      <c r="H766" s="1" t="n"/>
      <c r="I766" s="1" t="n"/>
      <c r="J766" s="1" t="n"/>
      <c r="K766" s="1" t="n"/>
      <c r="L766" s="1" t="n"/>
      <c r="M766" s="1" t="n"/>
      <c r="N766" s="1" t="n"/>
    </row>
    <row r="767" ht="15.75" customHeight="1" s="311">
      <c r="A767" s="1" t="n"/>
      <c r="B767" s="1" t="n"/>
      <c r="C767" s="1" t="n"/>
      <c r="D767" s="1" t="n"/>
      <c r="E767" s="1" t="n"/>
      <c r="F767" s="1" t="n"/>
      <c r="G767" s="1" t="n"/>
      <c r="H767" s="1" t="n"/>
      <c r="I767" s="1" t="n"/>
      <c r="J767" s="1" t="n"/>
      <c r="K767" s="1" t="n"/>
      <c r="L767" s="1" t="n"/>
      <c r="M767" s="1" t="n"/>
      <c r="N767" s="1" t="n"/>
    </row>
    <row r="768" ht="15.75" customHeight="1" s="311">
      <c r="A768" s="1" t="n"/>
      <c r="B768" s="1" t="n"/>
      <c r="C768" s="1" t="n"/>
      <c r="D768" s="1" t="n"/>
      <c r="E768" s="1" t="n"/>
      <c r="F768" s="1" t="n"/>
      <c r="G768" s="1" t="n"/>
      <c r="H768" s="1" t="n"/>
      <c r="I768" s="1" t="n"/>
      <c r="J768" s="1" t="n"/>
      <c r="K768" s="1" t="n"/>
      <c r="L768" s="1" t="n"/>
      <c r="M768" s="1" t="n"/>
      <c r="N768" s="1" t="n"/>
    </row>
    <row r="769" ht="15.75" customHeight="1" s="311">
      <c r="A769" s="1" t="n"/>
      <c r="B769" s="1" t="n"/>
      <c r="C769" s="1" t="n"/>
      <c r="D769" s="1" t="n"/>
      <c r="E769" s="1" t="n"/>
      <c r="F769" s="1" t="n"/>
      <c r="G769" s="1" t="n"/>
      <c r="H769" s="1" t="n"/>
      <c r="I769" s="1" t="n"/>
      <c r="J769" s="1" t="n"/>
      <c r="K769" s="1" t="n"/>
      <c r="L769" s="1" t="n"/>
      <c r="M769" s="1" t="n"/>
      <c r="N769" s="1" t="n"/>
    </row>
    <row r="770" ht="15.75" customHeight="1" s="311">
      <c r="A770" s="1" t="n"/>
      <c r="B770" s="1" t="n"/>
      <c r="C770" s="1" t="n"/>
      <c r="D770" s="1" t="n"/>
      <c r="E770" s="1" t="n"/>
      <c r="F770" s="1" t="n"/>
      <c r="G770" s="1" t="n"/>
      <c r="H770" s="1" t="n"/>
      <c r="I770" s="1" t="n"/>
      <c r="J770" s="1" t="n"/>
      <c r="K770" s="1" t="n"/>
      <c r="L770" s="1" t="n"/>
      <c r="M770" s="1" t="n"/>
      <c r="N770" s="1" t="n"/>
    </row>
    <row r="771" ht="15.75" customHeight="1" s="311">
      <c r="A771" s="1" t="n"/>
      <c r="B771" s="1" t="n"/>
      <c r="C771" s="1" t="n"/>
      <c r="D771" s="1" t="n"/>
      <c r="E771" s="1" t="n"/>
      <c r="F771" s="1" t="n"/>
      <c r="G771" s="1" t="n"/>
      <c r="H771" s="1" t="n"/>
      <c r="I771" s="1" t="n"/>
      <c r="J771" s="1" t="n"/>
      <c r="K771" s="1" t="n"/>
      <c r="L771" s="1" t="n"/>
      <c r="M771" s="1" t="n"/>
      <c r="N771" s="1" t="n"/>
    </row>
    <row r="772" ht="15.75" customHeight="1" s="311">
      <c r="A772" s="1" t="n"/>
      <c r="B772" s="1" t="n"/>
      <c r="C772" s="1" t="n"/>
      <c r="D772" s="1" t="n"/>
      <c r="E772" s="1" t="n"/>
      <c r="F772" s="1" t="n"/>
      <c r="G772" s="1" t="n"/>
      <c r="H772" s="1" t="n"/>
      <c r="I772" s="1" t="n"/>
      <c r="J772" s="1" t="n"/>
      <c r="K772" s="1" t="n"/>
      <c r="L772" s="1" t="n"/>
      <c r="M772" s="1" t="n"/>
      <c r="N772" s="1" t="n"/>
    </row>
    <row r="773" ht="15.75" customHeight="1" s="311">
      <c r="A773" s="1" t="n"/>
      <c r="B773" s="1" t="n"/>
      <c r="C773" s="1" t="n"/>
      <c r="D773" s="1" t="n"/>
      <c r="E773" s="1" t="n"/>
      <c r="F773" s="1" t="n"/>
      <c r="G773" s="1" t="n"/>
      <c r="H773" s="1" t="n"/>
      <c r="I773" s="1" t="n"/>
      <c r="J773" s="1" t="n"/>
      <c r="K773" s="1" t="n"/>
      <c r="L773" s="1" t="n"/>
      <c r="M773" s="1" t="n"/>
      <c r="N773" s="1" t="n"/>
    </row>
    <row r="774" ht="15.75" customHeight="1" s="311">
      <c r="A774" s="1" t="n"/>
      <c r="B774" s="1" t="n"/>
      <c r="C774" s="1" t="n"/>
      <c r="D774" s="1" t="n"/>
      <c r="E774" s="1" t="n"/>
      <c r="F774" s="1" t="n"/>
      <c r="G774" s="1" t="n"/>
      <c r="H774" s="1" t="n"/>
      <c r="I774" s="1" t="n"/>
      <c r="J774" s="1" t="n"/>
      <c r="K774" s="1" t="n"/>
      <c r="L774" s="1" t="n"/>
      <c r="M774" s="1" t="n"/>
      <c r="N774" s="1" t="n"/>
    </row>
    <row r="775" ht="15.75" customHeight="1" s="311">
      <c r="A775" s="1" t="n"/>
      <c r="B775" s="1" t="n"/>
      <c r="C775" s="1" t="n"/>
      <c r="D775" s="1" t="n"/>
      <c r="E775" s="1" t="n"/>
      <c r="F775" s="1" t="n"/>
      <c r="G775" s="1" t="n"/>
      <c r="H775" s="1" t="n"/>
      <c r="I775" s="1" t="n"/>
      <c r="J775" s="1" t="n"/>
      <c r="K775" s="1" t="n"/>
      <c r="L775" s="1" t="n"/>
      <c r="M775" s="1" t="n"/>
      <c r="N775" s="1" t="n"/>
    </row>
    <row r="776" ht="15.75" customHeight="1" s="311">
      <c r="A776" s="1" t="n"/>
      <c r="B776" s="1" t="n"/>
      <c r="C776" s="1" t="n"/>
      <c r="D776" s="1" t="n"/>
      <c r="E776" s="1" t="n"/>
      <c r="F776" s="1" t="n"/>
      <c r="G776" s="1" t="n"/>
      <c r="H776" s="1" t="n"/>
      <c r="I776" s="1" t="n"/>
      <c r="J776" s="1" t="n"/>
      <c r="K776" s="1" t="n"/>
      <c r="L776" s="1" t="n"/>
      <c r="M776" s="1" t="n"/>
      <c r="N776" s="1" t="n"/>
    </row>
    <row r="777" ht="15.75" customHeight="1" s="311">
      <c r="A777" s="1" t="n"/>
      <c r="B777" s="1" t="n"/>
      <c r="C777" s="1" t="n"/>
      <c r="D777" s="1" t="n"/>
      <c r="E777" s="1" t="n"/>
      <c r="F777" s="1" t="n"/>
      <c r="G777" s="1" t="n"/>
      <c r="H777" s="1" t="n"/>
      <c r="I777" s="1" t="n"/>
      <c r="J777" s="1" t="n"/>
      <c r="K777" s="1" t="n"/>
      <c r="L777" s="1" t="n"/>
      <c r="M777" s="1" t="n"/>
      <c r="N777" s="1" t="n"/>
    </row>
    <row r="778" ht="15.75" customHeight="1" s="311">
      <c r="A778" s="1" t="n"/>
      <c r="B778" s="1" t="n"/>
      <c r="C778" s="1" t="n"/>
      <c r="D778" s="1" t="n"/>
      <c r="E778" s="1" t="n"/>
      <c r="F778" s="1" t="n"/>
      <c r="G778" s="1" t="n"/>
      <c r="H778" s="1" t="n"/>
      <c r="I778" s="1" t="n"/>
      <c r="J778" s="1" t="n"/>
      <c r="K778" s="1" t="n"/>
      <c r="L778" s="1" t="n"/>
      <c r="M778" s="1" t="n"/>
      <c r="N778" s="1" t="n"/>
    </row>
    <row r="779" ht="15.75" customHeight="1" s="311">
      <c r="A779" s="1" t="n"/>
      <c r="B779" s="1" t="n"/>
      <c r="C779" s="1" t="n"/>
      <c r="D779" s="1" t="n"/>
      <c r="E779" s="1" t="n"/>
      <c r="F779" s="1" t="n"/>
      <c r="G779" s="1" t="n"/>
      <c r="H779" s="1" t="n"/>
      <c r="I779" s="1" t="n"/>
      <c r="J779" s="1" t="n"/>
      <c r="K779" s="1" t="n"/>
      <c r="L779" s="1" t="n"/>
      <c r="M779" s="1" t="n"/>
      <c r="N779" s="1" t="n"/>
    </row>
    <row r="780" ht="15.75" customHeight="1" s="311">
      <c r="A780" s="1" t="n"/>
      <c r="B780" s="1" t="n"/>
      <c r="C780" s="1" t="n"/>
      <c r="D780" s="1" t="n"/>
      <c r="E780" s="1" t="n"/>
      <c r="F780" s="1" t="n"/>
      <c r="G780" s="1" t="n"/>
      <c r="H780" s="1" t="n"/>
      <c r="I780" s="1" t="n"/>
      <c r="J780" s="1" t="n"/>
      <c r="K780" s="1" t="n"/>
      <c r="L780" s="1" t="n"/>
      <c r="M780" s="1" t="n"/>
      <c r="N780" s="1" t="n"/>
    </row>
    <row r="781" ht="15.75" customHeight="1" s="311">
      <c r="A781" s="1" t="n"/>
      <c r="B781" s="1" t="n"/>
      <c r="C781" s="1" t="n"/>
      <c r="D781" s="1" t="n"/>
      <c r="E781" s="1" t="n"/>
      <c r="F781" s="1" t="n"/>
      <c r="G781" s="1" t="n"/>
      <c r="H781" s="1" t="n"/>
      <c r="I781" s="1" t="n"/>
      <c r="J781" s="1" t="n"/>
      <c r="K781" s="1" t="n"/>
      <c r="L781" s="1" t="n"/>
      <c r="M781" s="1" t="n"/>
      <c r="N781" s="1" t="n"/>
    </row>
    <row r="782" ht="15.75" customHeight="1" s="311">
      <c r="A782" s="1" t="n"/>
      <c r="B782" s="1" t="n"/>
      <c r="C782" s="1" t="n"/>
      <c r="D782" s="1" t="n"/>
      <c r="E782" s="1" t="n"/>
      <c r="F782" s="1" t="n"/>
      <c r="G782" s="1" t="n"/>
      <c r="H782" s="1" t="n"/>
      <c r="I782" s="1" t="n"/>
      <c r="J782" s="1" t="n"/>
      <c r="K782" s="1" t="n"/>
      <c r="L782" s="1" t="n"/>
      <c r="M782" s="1" t="n"/>
      <c r="N782" s="1" t="n"/>
    </row>
    <row r="783" ht="15.75" customHeight="1" s="311">
      <c r="A783" s="1" t="n"/>
      <c r="B783" s="1" t="n"/>
      <c r="C783" s="1" t="n"/>
      <c r="D783" s="1" t="n"/>
      <c r="E783" s="1" t="n"/>
      <c r="F783" s="1" t="n"/>
      <c r="G783" s="1" t="n"/>
      <c r="H783" s="1" t="n"/>
      <c r="I783" s="1" t="n"/>
      <c r="J783" s="1" t="n"/>
      <c r="K783" s="1" t="n"/>
      <c r="L783" s="1" t="n"/>
      <c r="M783" s="1" t="n"/>
      <c r="N783" s="1" t="n"/>
    </row>
    <row r="784" ht="15.75" customHeight="1" s="311">
      <c r="A784" s="1" t="n"/>
      <c r="B784" s="1" t="n"/>
      <c r="C784" s="1" t="n"/>
      <c r="D784" s="1" t="n"/>
      <c r="E784" s="1" t="n"/>
      <c r="F784" s="1" t="n"/>
      <c r="G784" s="1" t="n"/>
      <c r="H784" s="1" t="n"/>
      <c r="I784" s="1" t="n"/>
      <c r="J784" s="1" t="n"/>
      <c r="K784" s="1" t="n"/>
      <c r="L784" s="1" t="n"/>
      <c r="M784" s="1" t="n"/>
      <c r="N784" s="1" t="n"/>
    </row>
    <row r="785" ht="15.75" customHeight="1" s="311">
      <c r="A785" s="1" t="n"/>
      <c r="B785" s="1" t="n"/>
      <c r="C785" s="1" t="n"/>
      <c r="D785" s="1" t="n"/>
      <c r="E785" s="1" t="n"/>
      <c r="F785" s="1" t="n"/>
      <c r="G785" s="1" t="n"/>
      <c r="H785" s="1" t="n"/>
      <c r="I785" s="1" t="n"/>
      <c r="J785" s="1" t="n"/>
      <c r="K785" s="1" t="n"/>
      <c r="L785" s="1" t="n"/>
      <c r="M785" s="1" t="n"/>
      <c r="N785" s="1" t="n"/>
    </row>
    <row r="786" ht="15.75" customHeight="1" s="311">
      <c r="A786" s="1" t="n"/>
      <c r="B786" s="1" t="n"/>
      <c r="C786" s="1" t="n"/>
      <c r="D786" s="1" t="n"/>
      <c r="E786" s="1" t="n"/>
      <c r="F786" s="1" t="n"/>
      <c r="G786" s="1" t="n"/>
      <c r="H786" s="1" t="n"/>
      <c r="I786" s="1" t="n"/>
      <c r="J786" s="1" t="n"/>
      <c r="K786" s="1" t="n"/>
      <c r="L786" s="1" t="n"/>
      <c r="M786" s="1" t="n"/>
      <c r="N786" s="1" t="n"/>
    </row>
    <row r="787" ht="15.75" customHeight="1" s="311">
      <c r="A787" s="1" t="n"/>
      <c r="B787" s="1" t="n"/>
      <c r="C787" s="1" t="n"/>
      <c r="D787" s="1" t="n"/>
      <c r="E787" s="1" t="n"/>
      <c r="F787" s="1" t="n"/>
      <c r="G787" s="1" t="n"/>
      <c r="H787" s="1" t="n"/>
      <c r="I787" s="1" t="n"/>
      <c r="J787" s="1" t="n"/>
      <c r="K787" s="1" t="n"/>
      <c r="L787" s="1" t="n"/>
      <c r="M787" s="1" t="n"/>
      <c r="N787" s="1" t="n"/>
    </row>
    <row r="788" ht="15.75" customHeight="1" s="311">
      <c r="A788" s="1" t="n"/>
      <c r="B788" s="1" t="n"/>
      <c r="C788" s="1" t="n"/>
      <c r="D788" s="1" t="n"/>
      <c r="E788" s="1" t="n"/>
      <c r="F788" s="1" t="n"/>
      <c r="G788" s="1" t="n"/>
      <c r="H788" s="1" t="n"/>
      <c r="I788" s="1" t="n"/>
      <c r="J788" s="1" t="n"/>
      <c r="K788" s="1" t="n"/>
      <c r="L788" s="1" t="n"/>
      <c r="M788" s="1" t="n"/>
      <c r="N788" s="1" t="n"/>
    </row>
    <row r="789" ht="15.75" customHeight="1" s="311">
      <c r="A789" s="1" t="n"/>
      <c r="B789" s="1" t="n"/>
      <c r="C789" s="1" t="n"/>
      <c r="D789" s="1" t="n"/>
      <c r="E789" s="1" t="n"/>
      <c r="F789" s="1" t="n"/>
      <c r="G789" s="1" t="n"/>
      <c r="H789" s="1" t="n"/>
      <c r="I789" s="1" t="n"/>
      <c r="J789" s="1" t="n"/>
      <c r="K789" s="1" t="n"/>
      <c r="L789" s="1" t="n"/>
      <c r="M789" s="1" t="n"/>
      <c r="N789" s="1" t="n"/>
    </row>
    <row r="790" ht="15.75" customHeight="1" s="311">
      <c r="A790" s="1" t="n"/>
      <c r="B790" s="1" t="n"/>
      <c r="C790" s="1" t="n"/>
      <c r="D790" s="1" t="n"/>
      <c r="E790" s="1" t="n"/>
      <c r="F790" s="1" t="n"/>
      <c r="G790" s="1" t="n"/>
      <c r="H790" s="1" t="n"/>
      <c r="I790" s="1" t="n"/>
      <c r="J790" s="1" t="n"/>
      <c r="K790" s="1" t="n"/>
      <c r="L790" s="1" t="n"/>
      <c r="M790" s="1" t="n"/>
      <c r="N790" s="1" t="n"/>
    </row>
    <row r="791" ht="15.75" customHeight="1" s="311">
      <c r="A791" s="1" t="n"/>
      <c r="B791" s="1" t="n"/>
      <c r="C791" s="1" t="n"/>
      <c r="D791" s="1" t="n"/>
      <c r="E791" s="1" t="n"/>
      <c r="F791" s="1" t="n"/>
      <c r="G791" s="1" t="n"/>
      <c r="H791" s="1" t="n"/>
      <c r="I791" s="1" t="n"/>
      <c r="J791" s="1" t="n"/>
      <c r="K791" s="1" t="n"/>
      <c r="L791" s="1" t="n"/>
      <c r="M791" s="1" t="n"/>
      <c r="N791" s="1" t="n"/>
    </row>
    <row r="792" ht="15.75" customHeight="1" s="311">
      <c r="A792" s="1" t="n"/>
      <c r="B792" s="1" t="n"/>
      <c r="C792" s="1" t="n"/>
      <c r="D792" s="1" t="n"/>
      <c r="E792" s="1" t="n"/>
      <c r="F792" s="1" t="n"/>
      <c r="G792" s="1" t="n"/>
      <c r="H792" s="1" t="n"/>
      <c r="I792" s="1" t="n"/>
      <c r="J792" s="1" t="n"/>
      <c r="K792" s="1" t="n"/>
      <c r="L792" s="1" t="n"/>
      <c r="M792" s="1" t="n"/>
      <c r="N792" s="1" t="n"/>
    </row>
    <row r="793" ht="15.75" customHeight="1" s="311">
      <c r="A793" s="1" t="n"/>
      <c r="B793" s="1" t="n"/>
      <c r="C793" s="1" t="n"/>
      <c r="D793" s="1" t="n"/>
      <c r="E793" s="1" t="n"/>
      <c r="F793" s="1" t="n"/>
      <c r="G793" s="1" t="n"/>
      <c r="H793" s="1" t="n"/>
      <c r="I793" s="1" t="n"/>
      <c r="J793" s="1" t="n"/>
      <c r="K793" s="1" t="n"/>
      <c r="L793" s="1" t="n"/>
      <c r="M793" s="1" t="n"/>
      <c r="N793" s="1" t="n"/>
    </row>
    <row r="794" ht="15.75" customHeight="1" s="311">
      <c r="A794" s="1" t="n"/>
      <c r="B794" s="1" t="n"/>
      <c r="C794" s="1" t="n"/>
      <c r="D794" s="1" t="n"/>
      <c r="E794" s="1" t="n"/>
      <c r="F794" s="1" t="n"/>
      <c r="G794" s="1" t="n"/>
      <c r="H794" s="1" t="n"/>
      <c r="I794" s="1" t="n"/>
      <c r="J794" s="1" t="n"/>
      <c r="K794" s="1" t="n"/>
      <c r="L794" s="1" t="n"/>
      <c r="M794" s="1" t="n"/>
      <c r="N794" s="1" t="n"/>
    </row>
    <row r="795" ht="15.75" customHeight="1" s="311">
      <c r="A795" s="1" t="n"/>
      <c r="B795" s="1" t="n"/>
      <c r="C795" s="1" t="n"/>
      <c r="D795" s="1" t="n"/>
      <c r="E795" s="1" t="n"/>
      <c r="F795" s="1" t="n"/>
      <c r="G795" s="1" t="n"/>
      <c r="H795" s="1" t="n"/>
      <c r="I795" s="1" t="n"/>
      <c r="J795" s="1" t="n"/>
      <c r="K795" s="1" t="n"/>
      <c r="L795" s="1" t="n"/>
      <c r="M795" s="1" t="n"/>
      <c r="N795" s="1" t="n"/>
    </row>
    <row r="796" ht="15.75" customHeight="1" s="311">
      <c r="A796" s="1" t="n"/>
      <c r="B796" s="1" t="n"/>
      <c r="C796" s="1" t="n"/>
      <c r="D796" s="1" t="n"/>
      <c r="E796" s="1" t="n"/>
      <c r="F796" s="1" t="n"/>
      <c r="G796" s="1" t="n"/>
      <c r="H796" s="1" t="n"/>
      <c r="I796" s="1" t="n"/>
      <c r="J796" s="1" t="n"/>
      <c r="K796" s="1" t="n"/>
      <c r="L796" s="1" t="n"/>
      <c r="M796" s="1" t="n"/>
      <c r="N796" s="1" t="n"/>
    </row>
    <row r="797" ht="15.75" customHeight="1" s="311">
      <c r="A797" s="1" t="n"/>
      <c r="B797" s="1" t="n"/>
      <c r="C797" s="1" t="n"/>
      <c r="D797" s="1" t="n"/>
      <c r="E797" s="1" t="n"/>
      <c r="F797" s="1" t="n"/>
      <c r="G797" s="1" t="n"/>
      <c r="H797" s="1" t="n"/>
      <c r="I797" s="1" t="n"/>
      <c r="J797" s="1" t="n"/>
      <c r="K797" s="1" t="n"/>
      <c r="L797" s="1" t="n"/>
      <c r="M797" s="1" t="n"/>
      <c r="N797" s="1" t="n"/>
    </row>
    <row r="798" ht="15.75" customHeight="1" s="311">
      <c r="A798" s="1" t="n"/>
      <c r="B798" s="1" t="n"/>
      <c r="C798" s="1" t="n"/>
      <c r="D798" s="1" t="n"/>
      <c r="E798" s="1" t="n"/>
      <c r="F798" s="1" t="n"/>
      <c r="G798" s="1" t="n"/>
      <c r="H798" s="1" t="n"/>
      <c r="I798" s="1" t="n"/>
      <c r="J798" s="1" t="n"/>
      <c r="K798" s="1" t="n"/>
      <c r="L798" s="1" t="n"/>
      <c r="M798" s="1" t="n"/>
      <c r="N798" s="1" t="n"/>
    </row>
    <row r="799" ht="15.75" customHeight="1" s="311">
      <c r="A799" s="1" t="n"/>
      <c r="B799" s="1" t="n"/>
      <c r="C799" s="1" t="n"/>
      <c r="D799" s="1" t="n"/>
      <c r="E799" s="1" t="n"/>
      <c r="F799" s="1" t="n"/>
      <c r="G799" s="1" t="n"/>
      <c r="H799" s="1" t="n"/>
      <c r="I799" s="1" t="n"/>
      <c r="J799" s="1" t="n"/>
      <c r="K799" s="1" t="n"/>
      <c r="L799" s="1" t="n"/>
      <c r="M799" s="1" t="n"/>
      <c r="N799" s="1" t="n"/>
    </row>
    <row r="800" ht="15.75" customHeight="1" s="311">
      <c r="A800" s="1" t="n"/>
      <c r="B800" s="1" t="n"/>
      <c r="C800" s="1" t="n"/>
      <c r="D800" s="1" t="n"/>
      <c r="E800" s="1" t="n"/>
      <c r="F800" s="1" t="n"/>
      <c r="G800" s="1" t="n"/>
      <c r="H800" s="1" t="n"/>
      <c r="I800" s="1" t="n"/>
      <c r="J800" s="1" t="n"/>
      <c r="K800" s="1" t="n"/>
      <c r="L800" s="1" t="n"/>
      <c r="M800" s="1" t="n"/>
      <c r="N800" s="1" t="n"/>
    </row>
    <row r="801" ht="15.75" customHeight="1" s="311">
      <c r="A801" s="1" t="n"/>
      <c r="B801" s="1" t="n"/>
      <c r="C801" s="1" t="n"/>
      <c r="D801" s="1" t="n"/>
      <c r="E801" s="1" t="n"/>
      <c r="F801" s="1" t="n"/>
      <c r="G801" s="1" t="n"/>
      <c r="H801" s="1" t="n"/>
      <c r="I801" s="1" t="n"/>
      <c r="J801" s="1" t="n"/>
      <c r="K801" s="1" t="n"/>
      <c r="L801" s="1" t="n"/>
      <c r="M801" s="1" t="n"/>
      <c r="N801" s="1" t="n"/>
    </row>
    <row r="802" ht="15.75" customHeight="1" s="311">
      <c r="A802" s="1" t="n"/>
      <c r="B802" s="1" t="n"/>
      <c r="C802" s="1" t="n"/>
      <c r="D802" s="1" t="n"/>
      <c r="E802" s="1" t="n"/>
      <c r="F802" s="1" t="n"/>
      <c r="G802" s="1" t="n"/>
      <c r="H802" s="1" t="n"/>
      <c r="I802" s="1" t="n"/>
      <c r="J802" s="1" t="n"/>
      <c r="K802" s="1" t="n"/>
      <c r="L802" s="1" t="n"/>
      <c r="M802" s="1" t="n"/>
      <c r="N802" s="1" t="n"/>
    </row>
    <row r="803" ht="15.75" customHeight="1" s="311">
      <c r="A803" s="1" t="n"/>
      <c r="B803" s="1" t="n"/>
      <c r="C803" s="1" t="n"/>
      <c r="D803" s="1" t="n"/>
      <c r="E803" s="1" t="n"/>
      <c r="F803" s="1" t="n"/>
      <c r="G803" s="1" t="n"/>
      <c r="H803" s="1" t="n"/>
      <c r="I803" s="1" t="n"/>
      <c r="J803" s="1" t="n"/>
      <c r="K803" s="1" t="n"/>
      <c r="L803" s="1" t="n"/>
      <c r="M803" s="1" t="n"/>
      <c r="N803" s="1" t="n"/>
    </row>
    <row r="804" ht="15.75" customHeight="1" s="311">
      <c r="A804" s="1" t="n"/>
      <c r="B804" s="1" t="n"/>
      <c r="C804" s="1" t="n"/>
      <c r="D804" s="1" t="n"/>
      <c r="E804" s="1" t="n"/>
      <c r="F804" s="1" t="n"/>
      <c r="G804" s="1" t="n"/>
      <c r="H804" s="1" t="n"/>
      <c r="I804" s="1" t="n"/>
      <c r="J804" s="1" t="n"/>
      <c r="K804" s="1" t="n"/>
      <c r="L804" s="1" t="n"/>
      <c r="M804" s="1" t="n"/>
      <c r="N804" s="1" t="n"/>
    </row>
    <row r="805" ht="15.75" customHeight="1" s="311">
      <c r="A805" s="1" t="n"/>
      <c r="B805" s="1" t="n"/>
      <c r="C805" s="1" t="n"/>
      <c r="D805" s="1" t="n"/>
      <c r="E805" s="1" t="n"/>
      <c r="F805" s="1" t="n"/>
      <c r="G805" s="1" t="n"/>
      <c r="H805" s="1" t="n"/>
      <c r="I805" s="1" t="n"/>
      <c r="J805" s="1" t="n"/>
      <c r="K805" s="1" t="n"/>
      <c r="L805" s="1" t="n"/>
      <c r="M805" s="1" t="n"/>
      <c r="N805" s="1" t="n"/>
    </row>
    <row r="806" ht="15.75" customHeight="1" s="311">
      <c r="A806" s="1" t="n"/>
      <c r="B806" s="1" t="n"/>
      <c r="C806" s="1" t="n"/>
      <c r="D806" s="1" t="n"/>
      <c r="E806" s="1" t="n"/>
      <c r="F806" s="1" t="n"/>
      <c r="G806" s="1" t="n"/>
      <c r="H806" s="1" t="n"/>
      <c r="I806" s="1" t="n"/>
      <c r="J806" s="1" t="n"/>
      <c r="K806" s="1" t="n"/>
      <c r="L806" s="1" t="n"/>
      <c r="M806" s="1" t="n"/>
      <c r="N806" s="1" t="n"/>
    </row>
    <row r="807" ht="15.75" customHeight="1" s="311">
      <c r="A807" s="1" t="n"/>
      <c r="B807" s="1" t="n"/>
      <c r="C807" s="1" t="n"/>
      <c r="D807" s="1" t="n"/>
      <c r="E807" s="1" t="n"/>
      <c r="F807" s="1" t="n"/>
      <c r="G807" s="1" t="n"/>
      <c r="H807" s="1" t="n"/>
      <c r="I807" s="1" t="n"/>
      <c r="J807" s="1" t="n"/>
      <c r="K807" s="1" t="n"/>
      <c r="L807" s="1" t="n"/>
      <c r="M807" s="1" t="n"/>
      <c r="N807" s="1" t="n"/>
    </row>
    <row r="808" ht="15.75" customHeight="1" s="311">
      <c r="A808" s="1" t="n"/>
      <c r="B808" s="1" t="n"/>
      <c r="C808" s="1" t="n"/>
      <c r="D808" s="1" t="n"/>
      <c r="E808" s="1" t="n"/>
      <c r="F808" s="1" t="n"/>
      <c r="G808" s="1" t="n"/>
      <c r="H808" s="1" t="n"/>
      <c r="I808" s="1" t="n"/>
      <c r="J808" s="1" t="n"/>
      <c r="K808" s="1" t="n"/>
      <c r="L808" s="1" t="n"/>
      <c r="M808" s="1" t="n"/>
      <c r="N808" s="1" t="n"/>
    </row>
    <row r="809" ht="15.75" customHeight="1" s="311">
      <c r="A809" s="1" t="n"/>
      <c r="B809" s="1" t="n"/>
      <c r="C809" s="1" t="n"/>
      <c r="D809" s="1" t="n"/>
      <c r="E809" s="1" t="n"/>
      <c r="F809" s="1" t="n"/>
      <c r="G809" s="1" t="n"/>
      <c r="H809" s="1" t="n"/>
      <c r="I809" s="1" t="n"/>
      <c r="J809" s="1" t="n"/>
      <c r="K809" s="1" t="n"/>
      <c r="L809" s="1" t="n"/>
      <c r="M809" s="1" t="n"/>
      <c r="N809" s="1" t="n"/>
    </row>
    <row r="810" ht="15.75" customHeight="1" s="311">
      <c r="A810" s="1" t="n"/>
      <c r="B810" s="1" t="n"/>
      <c r="C810" s="1" t="n"/>
      <c r="D810" s="1" t="n"/>
      <c r="E810" s="1" t="n"/>
      <c r="F810" s="1" t="n"/>
      <c r="G810" s="1" t="n"/>
      <c r="H810" s="1" t="n"/>
      <c r="I810" s="1" t="n"/>
      <c r="J810" s="1" t="n"/>
      <c r="K810" s="1" t="n"/>
      <c r="L810" s="1" t="n"/>
      <c r="M810" s="1" t="n"/>
      <c r="N810" s="1" t="n"/>
    </row>
    <row r="811" ht="15.75" customHeight="1" s="311">
      <c r="A811" s="1" t="n"/>
      <c r="B811" s="1" t="n"/>
      <c r="C811" s="1" t="n"/>
      <c r="D811" s="1" t="n"/>
      <c r="E811" s="1" t="n"/>
      <c r="F811" s="1" t="n"/>
      <c r="G811" s="1" t="n"/>
      <c r="H811" s="1" t="n"/>
      <c r="I811" s="1" t="n"/>
      <c r="J811" s="1" t="n"/>
      <c r="K811" s="1" t="n"/>
      <c r="L811" s="1" t="n"/>
      <c r="M811" s="1" t="n"/>
      <c r="N811" s="1" t="n"/>
    </row>
    <row r="812" ht="15.75" customHeight="1" s="311">
      <c r="A812" s="1" t="n"/>
      <c r="B812" s="1" t="n"/>
      <c r="C812" s="1" t="n"/>
      <c r="D812" s="1" t="n"/>
      <c r="E812" s="1" t="n"/>
      <c r="F812" s="1" t="n"/>
      <c r="G812" s="1" t="n"/>
      <c r="H812" s="1" t="n"/>
      <c r="I812" s="1" t="n"/>
      <c r="J812" s="1" t="n"/>
      <c r="K812" s="1" t="n"/>
      <c r="L812" s="1" t="n"/>
      <c r="M812" s="1" t="n"/>
      <c r="N812" s="1" t="n"/>
    </row>
    <row r="813" ht="15.75" customHeight="1" s="311">
      <c r="A813" s="1" t="n"/>
      <c r="B813" s="1" t="n"/>
      <c r="C813" s="1" t="n"/>
      <c r="D813" s="1" t="n"/>
      <c r="E813" s="1" t="n"/>
      <c r="F813" s="1" t="n"/>
      <c r="G813" s="1" t="n"/>
      <c r="H813" s="1" t="n"/>
      <c r="I813" s="1" t="n"/>
      <c r="J813" s="1" t="n"/>
      <c r="K813" s="1" t="n"/>
      <c r="L813" s="1" t="n"/>
      <c r="M813" s="1" t="n"/>
      <c r="N813" s="1" t="n"/>
    </row>
    <row r="814" ht="15.75" customHeight="1" s="311">
      <c r="A814" s="1" t="n"/>
      <c r="B814" s="1" t="n"/>
      <c r="C814" s="1" t="n"/>
      <c r="D814" s="1" t="n"/>
      <c r="E814" s="1" t="n"/>
      <c r="F814" s="1" t="n"/>
      <c r="G814" s="1" t="n"/>
      <c r="H814" s="1" t="n"/>
      <c r="I814" s="1" t="n"/>
      <c r="J814" s="1" t="n"/>
      <c r="K814" s="1" t="n"/>
      <c r="L814" s="1" t="n"/>
      <c r="M814" s="1" t="n"/>
      <c r="N814" s="1" t="n"/>
    </row>
    <row r="815" ht="15.75" customHeight="1" s="311">
      <c r="A815" s="1" t="n"/>
      <c r="B815" s="1" t="n"/>
      <c r="C815" s="1" t="n"/>
      <c r="D815" s="1" t="n"/>
      <c r="E815" s="1" t="n"/>
      <c r="F815" s="1" t="n"/>
      <c r="G815" s="1" t="n"/>
      <c r="H815" s="1" t="n"/>
      <c r="I815" s="1" t="n"/>
      <c r="J815" s="1" t="n"/>
      <c r="K815" s="1" t="n"/>
      <c r="L815" s="1" t="n"/>
      <c r="M815" s="1" t="n"/>
      <c r="N815" s="1" t="n"/>
    </row>
    <row r="816" ht="15.75" customHeight="1" s="311">
      <c r="A816" s="1" t="n"/>
      <c r="B816" s="1" t="n"/>
      <c r="C816" s="1" t="n"/>
      <c r="D816" s="1" t="n"/>
      <c r="E816" s="1" t="n"/>
      <c r="F816" s="1" t="n"/>
      <c r="G816" s="1" t="n"/>
      <c r="H816" s="1" t="n"/>
      <c r="I816" s="1" t="n"/>
      <c r="J816" s="1" t="n"/>
      <c r="K816" s="1" t="n"/>
      <c r="L816" s="1" t="n"/>
      <c r="M816" s="1" t="n"/>
      <c r="N816" s="1" t="n"/>
    </row>
    <row r="817" ht="15.75" customHeight="1" s="311">
      <c r="A817" s="1" t="n"/>
      <c r="B817" s="1" t="n"/>
      <c r="C817" s="1" t="n"/>
      <c r="D817" s="1" t="n"/>
      <c r="E817" s="1" t="n"/>
      <c r="F817" s="1" t="n"/>
      <c r="G817" s="1" t="n"/>
      <c r="H817" s="1" t="n"/>
      <c r="I817" s="1" t="n"/>
      <c r="J817" s="1" t="n"/>
      <c r="K817" s="1" t="n"/>
      <c r="L817" s="1" t="n"/>
      <c r="M817" s="1" t="n"/>
      <c r="N817" s="1" t="n"/>
    </row>
    <row r="818" ht="15.75" customHeight="1" s="311">
      <c r="A818" s="1" t="n"/>
      <c r="B818" s="1" t="n"/>
      <c r="C818" s="1" t="n"/>
      <c r="D818" s="1" t="n"/>
      <c r="E818" s="1" t="n"/>
      <c r="F818" s="1" t="n"/>
      <c r="G818" s="1" t="n"/>
      <c r="H818" s="1" t="n"/>
      <c r="I818" s="1" t="n"/>
      <c r="J818" s="1" t="n"/>
      <c r="K818" s="1" t="n"/>
      <c r="L818" s="1" t="n"/>
      <c r="M818" s="1" t="n"/>
      <c r="N818" s="1" t="n"/>
    </row>
    <row r="819" ht="15.75" customHeight="1" s="311">
      <c r="A819" s="1" t="n"/>
      <c r="B819" s="1" t="n"/>
      <c r="C819" s="1" t="n"/>
      <c r="D819" s="1" t="n"/>
      <c r="E819" s="1" t="n"/>
      <c r="F819" s="1" t="n"/>
      <c r="G819" s="1" t="n"/>
      <c r="H819" s="1" t="n"/>
      <c r="I819" s="1" t="n"/>
      <c r="J819" s="1" t="n"/>
      <c r="K819" s="1" t="n"/>
      <c r="L819" s="1" t="n"/>
      <c r="M819" s="1" t="n"/>
      <c r="N819" s="1" t="n"/>
    </row>
    <row r="820" ht="15.75" customHeight="1" s="311">
      <c r="A820" s="1" t="n"/>
      <c r="B820" s="1" t="n"/>
      <c r="C820" s="1" t="n"/>
      <c r="D820" s="1" t="n"/>
      <c r="E820" s="1" t="n"/>
      <c r="F820" s="1" t="n"/>
      <c r="G820" s="1" t="n"/>
      <c r="H820" s="1" t="n"/>
      <c r="I820" s="1" t="n"/>
      <c r="J820" s="1" t="n"/>
      <c r="K820" s="1" t="n"/>
      <c r="L820" s="1" t="n"/>
      <c r="M820" s="1" t="n"/>
      <c r="N820" s="1" t="n"/>
    </row>
    <row r="821" ht="15.75" customHeight="1" s="311">
      <c r="A821" s="1" t="n"/>
      <c r="B821" s="1" t="n"/>
      <c r="C821" s="1" t="n"/>
      <c r="D821" s="1" t="n"/>
      <c r="E821" s="1" t="n"/>
      <c r="F821" s="1" t="n"/>
      <c r="G821" s="1" t="n"/>
      <c r="H821" s="1" t="n"/>
      <c r="I821" s="1" t="n"/>
      <c r="J821" s="1" t="n"/>
      <c r="K821" s="1" t="n"/>
      <c r="L821" s="1" t="n"/>
      <c r="M821" s="1" t="n"/>
      <c r="N821" s="1" t="n"/>
    </row>
    <row r="822" ht="15.75" customHeight="1" s="311">
      <c r="A822" s="1" t="n"/>
      <c r="B822" s="1" t="n"/>
      <c r="C822" s="1" t="n"/>
      <c r="D822" s="1" t="n"/>
      <c r="E822" s="1" t="n"/>
      <c r="F822" s="1" t="n"/>
      <c r="G822" s="1" t="n"/>
      <c r="H822" s="1" t="n"/>
      <c r="I822" s="1" t="n"/>
      <c r="J822" s="1" t="n"/>
      <c r="K822" s="1" t="n"/>
      <c r="L822" s="1" t="n"/>
      <c r="M822" s="1" t="n"/>
      <c r="N822" s="1" t="n"/>
    </row>
    <row r="823" ht="15.75" customHeight="1" s="311">
      <c r="A823" s="1" t="n"/>
      <c r="B823" s="1" t="n"/>
      <c r="C823" s="1" t="n"/>
      <c r="D823" s="1" t="n"/>
      <c r="E823" s="1" t="n"/>
      <c r="F823" s="1" t="n"/>
      <c r="G823" s="1" t="n"/>
      <c r="H823" s="1" t="n"/>
      <c r="I823" s="1" t="n"/>
      <c r="J823" s="1" t="n"/>
      <c r="K823" s="1" t="n"/>
      <c r="L823" s="1" t="n"/>
      <c r="M823" s="1" t="n"/>
      <c r="N823" s="1" t="n"/>
    </row>
    <row r="824" ht="15.75" customHeight="1" s="311">
      <c r="A824" s="1" t="n"/>
      <c r="B824" s="1" t="n"/>
      <c r="C824" s="1" t="n"/>
      <c r="D824" s="1" t="n"/>
      <c r="E824" s="1" t="n"/>
      <c r="F824" s="1" t="n"/>
      <c r="G824" s="1" t="n"/>
      <c r="H824" s="1" t="n"/>
      <c r="I824" s="1" t="n"/>
      <c r="J824" s="1" t="n"/>
      <c r="K824" s="1" t="n"/>
      <c r="L824" s="1" t="n"/>
      <c r="M824" s="1" t="n"/>
      <c r="N824" s="1" t="n"/>
    </row>
    <row r="825" ht="15.75" customHeight="1" s="311">
      <c r="A825" s="1" t="n"/>
      <c r="B825" s="1" t="n"/>
      <c r="C825" s="1" t="n"/>
      <c r="D825" s="1" t="n"/>
      <c r="E825" s="1" t="n"/>
      <c r="F825" s="1" t="n"/>
      <c r="G825" s="1" t="n"/>
      <c r="H825" s="1" t="n"/>
      <c r="I825" s="1" t="n"/>
      <c r="J825" s="1" t="n"/>
      <c r="K825" s="1" t="n"/>
      <c r="L825" s="1" t="n"/>
      <c r="M825" s="1" t="n"/>
      <c r="N825" s="1" t="n"/>
    </row>
    <row r="826" ht="15.75" customHeight="1" s="311">
      <c r="A826" s="1" t="n"/>
      <c r="B826" s="1" t="n"/>
      <c r="C826" s="1" t="n"/>
      <c r="D826" s="1" t="n"/>
      <c r="E826" s="1" t="n"/>
      <c r="F826" s="1" t="n"/>
      <c r="G826" s="1" t="n"/>
      <c r="H826" s="1" t="n"/>
      <c r="I826" s="1" t="n"/>
      <c r="J826" s="1" t="n"/>
      <c r="K826" s="1" t="n"/>
      <c r="L826" s="1" t="n"/>
      <c r="M826" s="1" t="n"/>
      <c r="N826" s="1" t="n"/>
    </row>
    <row r="827" ht="15.75" customHeight="1" s="311">
      <c r="A827" s="1" t="n"/>
      <c r="B827" s="1" t="n"/>
      <c r="C827" s="1" t="n"/>
      <c r="D827" s="1" t="n"/>
      <c r="E827" s="1" t="n"/>
      <c r="F827" s="1" t="n"/>
      <c r="G827" s="1" t="n"/>
      <c r="H827" s="1" t="n"/>
      <c r="I827" s="1" t="n"/>
      <c r="J827" s="1" t="n"/>
      <c r="K827" s="1" t="n"/>
      <c r="L827" s="1" t="n"/>
      <c r="M827" s="1" t="n"/>
      <c r="N827" s="1" t="n"/>
    </row>
    <row r="828" ht="15.75" customHeight="1" s="311">
      <c r="A828" s="1" t="n"/>
      <c r="B828" s="1" t="n"/>
      <c r="C828" s="1" t="n"/>
      <c r="D828" s="1" t="n"/>
      <c r="E828" s="1" t="n"/>
      <c r="F828" s="1" t="n"/>
      <c r="G828" s="1" t="n"/>
      <c r="H828" s="1" t="n"/>
      <c r="I828" s="1" t="n"/>
      <c r="J828" s="1" t="n"/>
      <c r="K828" s="1" t="n"/>
      <c r="L828" s="1" t="n"/>
      <c r="M828" s="1" t="n"/>
      <c r="N828" s="1" t="n"/>
    </row>
    <row r="829" ht="15.75" customHeight="1" s="311">
      <c r="A829" s="1" t="n"/>
      <c r="B829" s="1" t="n"/>
      <c r="C829" s="1" t="n"/>
      <c r="D829" s="1" t="n"/>
      <c r="E829" s="1" t="n"/>
      <c r="F829" s="1" t="n"/>
      <c r="G829" s="1" t="n"/>
      <c r="H829" s="1" t="n"/>
      <c r="I829" s="1" t="n"/>
      <c r="J829" s="1" t="n"/>
      <c r="K829" s="1" t="n"/>
      <c r="L829" s="1" t="n"/>
      <c r="M829" s="1" t="n"/>
      <c r="N829" s="1" t="n"/>
    </row>
    <row r="830" ht="15.75" customHeight="1" s="311">
      <c r="A830" s="1" t="n"/>
      <c r="B830" s="1" t="n"/>
      <c r="C830" s="1" t="n"/>
      <c r="D830" s="1" t="n"/>
      <c r="E830" s="1" t="n"/>
      <c r="F830" s="1" t="n"/>
      <c r="G830" s="1" t="n"/>
      <c r="H830" s="1" t="n"/>
      <c r="I830" s="1" t="n"/>
      <c r="J830" s="1" t="n"/>
      <c r="K830" s="1" t="n"/>
      <c r="L830" s="1" t="n"/>
      <c r="M830" s="1" t="n"/>
      <c r="N830" s="1" t="n"/>
    </row>
    <row r="831" ht="15.75" customHeight="1" s="311">
      <c r="A831" s="1" t="n"/>
      <c r="B831" s="1" t="n"/>
      <c r="C831" s="1" t="n"/>
      <c r="D831" s="1" t="n"/>
      <c r="E831" s="1" t="n"/>
      <c r="F831" s="1" t="n"/>
      <c r="G831" s="1" t="n"/>
      <c r="H831" s="1" t="n"/>
      <c r="I831" s="1" t="n"/>
      <c r="J831" s="1" t="n"/>
      <c r="K831" s="1" t="n"/>
      <c r="L831" s="1" t="n"/>
      <c r="M831" s="1" t="n"/>
      <c r="N831" s="1" t="n"/>
    </row>
    <row r="832" ht="15.75" customHeight="1" s="311">
      <c r="A832" s="1" t="n"/>
      <c r="B832" s="1" t="n"/>
      <c r="C832" s="1" t="n"/>
      <c r="D832" s="1" t="n"/>
      <c r="E832" s="1" t="n"/>
      <c r="F832" s="1" t="n"/>
      <c r="G832" s="1" t="n"/>
      <c r="H832" s="1" t="n"/>
      <c r="I832" s="1" t="n"/>
      <c r="J832" s="1" t="n"/>
      <c r="K832" s="1" t="n"/>
      <c r="L832" s="1" t="n"/>
      <c r="M832" s="1" t="n"/>
      <c r="N832" s="1" t="n"/>
    </row>
    <row r="833" ht="15.75" customHeight="1" s="311">
      <c r="A833" s="1" t="n"/>
      <c r="B833" s="1" t="n"/>
      <c r="C833" s="1" t="n"/>
      <c r="D833" s="1" t="n"/>
      <c r="E833" s="1" t="n"/>
      <c r="F833" s="1" t="n"/>
      <c r="G833" s="1" t="n"/>
      <c r="H833" s="1" t="n"/>
      <c r="I833" s="1" t="n"/>
      <c r="J833" s="1" t="n"/>
      <c r="K833" s="1" t="n"/>
      <c r="L833" s="1" t="n"/>
      <c r="M833" s="1" t="n"/>
      <c r="N833" s="1" t="n"/>
    </row>
    <row r="834" ht="15.75" customHeight="1" s="311">
      <c r="A834" s="1" t="n"/>
      <c r="B834" s="1" t="n"/>
      <c r="C834" s="1" t="n"/>
      <c r="D834" s="1" t="n"/>
      <c r="E834" s="1" t="n"/>
      <c r="F834" s="1" t="n"/>
      <c r="G834" s="1" t="n"/>
      <c r="H834" s="1" t="n"/>
      <c r="I834" s="1" t="n"/>
      <c r="J834" s="1" t="n"/>
      <c r="K834" s="1" t="n"/>
      <c r="L834" s="1" t="n"/>
      <c r="M834" s="1" t="n"/>
      <c r="N834" s="1" t="n"/>
    </row>
    <row r="835" ht="15.75" customHeight="1" s="311">
      <c r="A835" s="1" t="n"/>
      <c r="B835" s="1" t="n"/>
      <c r="C835" s="1" t="n"/>
      <c r="D835" s="1" t="n"/>
      <c r="E835" s="1" t="n"/>
      <c r="F835" s="1" t="n"/>
      <c r="G835" s="1" t="n"/>
      <c r="H835" s="1" t="n"/>
      <c r="I835" s="1" t="n"/>
      <c r="J835" s="1" t="n"/>
      <c r="K835" s="1" t="n"/>
      <c r="L835" s="1" t="n"/>
      <c r="M835" s="1" t="n"/>
      <c r="N835" s="1" t="n"/>
    </row>
    <row r="836" ht="15.75" customHeight="1" s="311">
      <c r="A836" s="1" t="n"/>
      <c r="B836" s="1" t="n"/>
      <c r="C836" s="1" t="n"/>
      <c r="D836" s="1" t="n"/>
      <c r="E836" s="1" t="n"/>
      <c r="F836" s="1" t="n"/>
      <c r="G836" s="1" t="n"/>
      <c r="H836" s="1" t="n"/>
      <c r="I836" s="1" t="n"/>
      <c r="J836" s="1" t="n"/>
      <c r="K836" s="1" t="n"/>
      <c r="L836" s="1" t="n"/>
      <c r="M836" s="1" t="n"/>
      <c r="N836" s="1" t="n"/>
    </row>
    <row r="837" ht="15.75" customHeight="1" s="311">
      <c r="A837" s="1" t="n"/>
      <c r="B837" s="1" t="n"/>
      <c r="C837" s="1" t="n"/>
      <c r="D837" s="1" t="n"/>
      <c r="E837" s="1" t="n"/>
      <c r="F837" s="1" t="n"/>
      <c r="G837" s="1" t="n"/>
      <c r="H837" s="1" t="n"/>
      <c r="I837" s="1" t="n"/>
      <c r="J837" s="1" t="n"/>
      <c r="K837" s="1" t="n"/>
      <c r="L837" s="1" t="n"/>
      <c r="M837" s="1" t="n"/>
      <c r="N837" s="1" t="n"/>
    </row>
    <row r="838" ht="15.75" customHeight="1" s="311">
      <c r="A838" s="1" t="n"/>
      <c r="B838" s="1" t="n"/>
      <c r="C838" s="1" t="n"/>
      <c r="D838" s="1" t="n"/>
      <c r="E838" s="1" t="n"/>
      <c r="F838" s="1" t="n"/>
      <c r="G838" s="1" t="n"/>
      <c r="H838" s="1" t="n"/>
      <c r="I838" s="1" t="n"/>
      <c r="J838" s="1" t="n"/>
      <c r="K838" s="1" t="n"/>
      <c r="L838" s="1" t="n"/>
      <c r="M838" s="1" t="n"/>
      <c r="N838" s="1" t="n"/>
    </row>
    <row r="839" ht="15.75" customHeight="1" s="311">
      <c r="A839" s="1" t="n"/>
      <c r="B839" s="1" t="n"/>
      <c r="C839" s="1" t="n"/>
      <c r="D839" s="1" t="n"/>
      <c r="E839" s="1" t="n"/>
      <c r="F839" s="1" t="n"/>
      <c r="G839" s="1" t="n"/>
      <c r="H839" s="1" t="n"/>
      <c r="I839" s="1" t="n"/>
      <c r="J839" s="1" t="n"/>
      <c r="K839" s="1" t="n"/>
      <c r="L839" s="1" t="n"/>
      <c r="M839" s="1" t="n"/>
      <c r="N839" s="1" t="n"/>
    </row>
    <row r="840" ht="15.75" customHeight="1" s="311">
      <c r="A840" s="1" t="n"/>
      <c r="B840" s="1" t="n"/>
      <c r="C840" s="1" t="n"/>
      <c r="D840" s="1" t="n"/>
      <c r="E840" s="1" t="n"/>
      <c r="F840" s="1" t="n"/>
      <c r="G840" s="1" t="n"/>
      <c r="H840" s="1" t="n"/>
      <c r="I840" s="1" t="n"/>
      <c r="J840" s="1" t="n"/>
      <c r="K840" s="1" t="n"/>
      <c r="L840" s="1" t="n"/>
      <c r="M840" s="1" t="n"/>
      <c r="N840" s="1" t="n"/>
    </row>
    <row r="841" ht="15.75" customHeight="1" s="311">
      <c r="A841" s="1" t="n"/>
      <c r="B841" s="1" t="n"/>
      <c r="C841" s="1" t="n"/>
      <c r="D841" s="1" t="n"/>
      <c r="E841" s="1" t="n"/>
      <c r="F841" s="1" t="n"/>
      <c r="G841" s="1" t="n"/>
      <c r="H841" s="1" t="n"/>
      <c r="I841" s="1" t="n"/>
      <c r="J841" s="1" t="n"/>
      <c r="K841" s="1" t="n"/>
      <c r="L841" s="1" t="n"/>
      <c r="M841" s="1" t="n"/>
      <c r="N841" s="1" t="n"/>
    </row>
    <row r="842" ht="15.75" customHeight="1" s="311">
      <c r="A842" s="1" t="n"/>
      <c r="B842" s="1" t="n"/>
      <c r="C842" s="1" t="n"/>
      <c r="D842" s="1" t="n"/>
      <c r="E842" s="1" t="n"/>
      <c r="F842" s="1" t="n"/>
      <c r="G842" s="1" t="n"/>
      <c r="H842" s="1" t="n"/>
      <c r="I842" s="1" t="n"/>
      <c r="J842" s="1" t="n"/>
      <c r="K842" s="1" t="n"/>
      <c r="L842" s="1" t="n"/>
      <c r="M842" s="1" t="n"/>
      <c r="N842" s="1" t="n"/>
    </row>
    <row r="843" ht="15.75" customHeight="1" s="311">
      <c r="A843" s="1" t="n"/>
      <c r="B843" s="1" t="n"/>
      <c r="C843" s="1" t="n"/>
      <c r="D843" s="1" t="n"/>
      <c r="E843" s="1" t="n"/>
      <c r="F843" s="1" t="n"/>
      <c r="G843" s="1" t="n"/>
      <c r="H843" s="1" t="n"/>
      <c r="I843" s="1" t="n"/>
      <c r="J843" s="1" t="n"/>
      <c r="K843" s="1" t="n"/>
      <c r="L843" s="1" t="n"/>
      <c r="M843" s="1" t="n"/>
      <c r="N843" s="1" t="n"/>
    </row>
    <row r="844" ht="15.75" customHeight="1" s="311">
      <c r="A844" s="1" t="n"/>
      <c r="B844" s="1" t="n"/>
      <c r="C844" s="1" t="n"/>
      <c r="D844" s="1" t="n"/>
      <c r="E844" s="1" t="n"/>
      <c r="F844" s="1" t="n"/>
      <c r="G844" s="1" t="n"/>
      <c r="H844" s="1" t="n"/>
      <c r="I844" s="1" t="n"/>
      <c r="J844" s="1" t="n"/>
      <c r="K844" s="1" t="n"/>
      <c r="L844" s="1" t="n"/>
      <c r="M844" s="1" t="n"/>
      <c r="N844" s="1" t="n"/>
    </row>
    <row r="845" ht="15.75" customHeight="1" s="311">
      <c r="A845" s="1" t="n"/>
      <c r="B845" s="1" t="n"/>
      <c r="C845" s="1" t="n"/>
      <c r="D845" s="1" t="n"/>
      <c r="E845" s="1" t="n"/>
      <c r="F845" s="1" t="n"/>
      <c r="G845" s="1" t="n"/>
      <c r="H845" s="1" t="n"/>
      <c r="I845" s="1" t="n"/>
      <c r="J845" s="1" t="n"/>
      <c r="K845" s="1" t="n"/>
      <c r="L845" s="1" t="n"/>
      <c r="M845" s="1" t="n"/>
      <c r="N845" s="1" t="n"/>
    </row>
    <row r="846" ht="15.75" customHeight="1" s="311">
      <c r="A846" s="1" t="n"/>
      <c r="B846" s="1" t="n"/>
      <c r="C846" s="1" t="n"/>
      <c r="D846" s="1" t="n"/>
      <c r="E846" s="1" t="n"/>
      <c r="F846" s="1" t="n"/>
      <c r="G846" s="1" t="n"/>
      <c r="H846" s="1" t="n"/>
      <c r="I846" s="1" t="n"/>
      <c r="J846" s="1" t="n"/>
      <c r="K846" s="1" t="n"/>
      <c r="L846" s="1" t="n"/>
      <c r="M846" s="1" t="n"/>
      <c r="N846" s="1" t="n"/>
    </row>
    <row r="847" ht="15.75" customHeight="1" s="311">
      <c r="A847" s="1" t="n"/>
      <c r="B847" s="1" t="n"/>
      <c r="C847" s="1" t="n"/>
      <c r="D847" s="1" t="n"/>
      <c r="E847" s="1" t="n"/>
      <c r="F847" s="1" t="n"/>
      <c r="G847" s="1" t="n"/>
      <c r="H847" s="1" t="n"/>
      <c r="I847" s="1" t="n"/>
      <c r="J847" s="1" t="n"/>
      <c r="K847" s="1" t="n"/>
      <c r="L847" s="1" t="n"/>
      <c r="M847" s="1" t="n"/>
      <c r="N847" s="1" t="n"/>
    </row>
    <row r="848" ht="15.75" customHeight="1" s="311">
      <c r="A848" s="1" t="n"/>
      <c r="B848" s="1" t="n"/>
      <c r="C848" s="1" t="n"/>
      <c r="D848" s="1" t="n"/>
      <c r="E848" s="1" t="n"/>
      <c r="F848" s="1" t="n"/>
      <c r="G848" s="1" t="n"/>
      <c r="H848" s="1" t="n"/>
      <c r="I848" s="1" t="n"/>
      <c r="J848" s="1" t="n"/>
      <c r="K848" s="1" t="n"/>
      <c r="L848" s="1" t="n"/>
      <c r="M848" s="1" t="n"/>
      <c r="N848" s="1" t="n"/>
    </row>
    <row r="849" ht="15.75" customHeight="1" s="311">
      <c r="A849" s="1" t="n"/>
      <c r="B849" s="1" t="n"/>
      <c r="C849" s="1" t="n"/>
      <c r="D849" s="1" t="n"/>
      <c r="E849" s="1" t="n"/>
      <c r="F849" s="1" t="n"/>
      <c r="G849" s="1" t="n"/>
      <c r="H849" s="1" t="n"/>
      <c r="I849" s="1" t="n"/>
      <c r="J849" s="1" t="n"/>
      <c r="K849" s="1" t="n"/>
      <c r="L849" s="1" t="n"/>
      <c r="M849" s="1" t="n"/>
      <c r="N849" s="1" t="n"/>
    </row>
    <row r="850" ht="15.75" customHeight="1" s="311">
      <c r="A850" s="1" t="n"/>
      <c r="B850" s="1" t="n"/>
      <c r="C850" s="1" t="n"/>
      <c r="D850" s="1" t="n"/>
      <c r="E850" s="1" t="n"/>
      <c r="F850" s="1" t="n"/>
      <c r="G850" s="1" t="n"/>
      <c r="H850" s="1" t="n"/>
      <c r="I850" s="1" t="n"/>
      <c r="J850" s="1" t="n"/>
      <c r="K850" s="1" t="n"/>
      <c r="L850" s="1" t="n"/>
      <c r="M850" s="1" t="n"/>
      <c r="N850" s="1" t="n"/>
    </row>
    <row r="851" ht="15.75" customHeight="1" s="311">
      <c r="A851" s="1" t="n"/>
      <c r="B851" s="1" t="n"/>
      <c r="C851" s="1" t="n"/>
      <c r="D851" s="1" t="n"/>
      <c r="E851" s="1" t="n"/>
      <c r="F851" s="1" t="n"/>
      <c r="G851" s="1" t="n"/>
      <c r="H851" s="1" t="n"/>
      <c r="I851" s="1" t="n"/>
      <c r="J851" s="1" t="n"/>
      <c r="K851" s="1" t="n"/>
      <c r="L851" s="1" t="n"/>
      <c r="M851" s="1" t="n"/>
      <c r="N851" s="1" t="n"/>
    </row>
    <row r="852" ht="15.75" customHeight="1" s="311">
      <c r="A852" s="1" t="n"/>
      <c r="B852" s="1" t="n"/>
      <c r="C852" s="1" t="n"/>
      <c r="D852" s="1" t="n"/>
      <c r="E852" s="1" t="n"/>
      <c r="F852" s="1" t="n"/>
      <c r="G852" s="1" t="n"/>
      <c r="H852" s="1" t="n"/>
      <c r="I852" s="1" t="n"/>
      <c r="J852" s="1" t="n"/>
      <c r="K852" s="1" t="n"/>
      <c r="L852" s="1" t="n"/>
      <c r="M852" s="1" t="n"/>
      <c r="N852" s="1" t="n"/>
    </row>
    <row r="853" ht="15.75" customHeight="1" s="311">
      <c r="A853" s="1" t="n"/>
      <c r="B853" s="1" t="n"/>
      <c r="C853" s="1" t="n"/>
      <c r="D853" s="1" t="n"/>
      <c r="E853" s="1" t="n"/>
      <c r="F853" s="1" t="n"/>
      <c r="G853" s="1" t="n"/>
      <c r="H853" s="1" t="n"/>
      <c r="I853" s="1" t="n"/>
      <c r="J853" s="1" t="n"/>
      <c r="K853" s="1" t="n"/>
      <c r="L853" s="1" t="n"/>
      <c r="M853" s="1" t="n"/>
      <c r="N853" s="1" t="n"/>
    </row>
    <row r="854" ht="15.75" customHeight="1" s="311">
      <c r="A854" s="1" t="n"/>
      <c r="B854" s="1" t="n"/>
      <c r="C854" s="1" t="n"/>
      <c r="D854" s="1" t="n"/>
      <c r="E854" s="1" t="n"/>
      <c r="F854" s="1" t="n"/>
      <c r="G854" s="1" t="n"/>
      <c r="H854" s="1" t="n"/>
      <c r="I854" s="1" t="n"/>
      <c r="J854" s="1" t="n"/>
      <c r="K854" s="1" t="n"/>
      <c r="L854" s="1" t="n"/>
      <c r="M854" s="1" t="n"/>
      <c r="N854" s="1" t="n"/>
    </row>
    <row r="855" ht="15.75" customHeight="1" s="311">
      <c r="A855" s="1" t="n"/>
      <c r="B855" s="1" t="n"/>
      <c r="C855" s="1" t="n"/>
      <c r="D855" s="1" t="n"/>
      <c r="E855" s="1" t="n"/>
      <c r="F855" s="1" t="n"/>
      <c r="G855" s="1" t="n"/>
      <c r="H855" s="1" t="n"/>
      <c r="I855" s="1" t="n"/>
      <c r="J855" s="1" t="n"/>
      <c r="K855" s="1" t="n"/>
      <c r="L855" s="1" t="n"/>
      <c r="M855" s="1" t="n"/>
      <c r="N855" s="1" t="n"/>
    </row>
    <row r="856" ht="15.75" customHeight="1" s="311">
      <c r="A856" s="1" t="n"/>
      <c r="B856" s="1" t="n"/>
      <c r="C856" s="1" t="n"/>
      <c r="D856" s="1" t="n"/>
      <c r="E856" s="1" t="n"/>
      <c r="F856" s="1" t="n"/>
      <c r="G856" s="1" t="n"/>
      <c r="H856" s="1" t="n"/>
      <c r="I856" s="1" t="n"/>
      <c r="J856" s="1" t="n"/>
      <c r="K856" s="1" t="n"/>
      <c r="L856" s="1" t="n"/>
      <c r="M856" s="1" t="n"/>
      <c r="N856" s="1" t="n"/>
    </row>
    <row r="857" ht="15.75" customHeight="1" s="311">
      <c r="A857" s="1" t="n"/>
      <c r="B857" s="1" t="n"/>
      <c r="C857" s="1" t="n"/>
      <c r="D857" s="1" t="n"/>
      <c r="E857" s="1" t="n"/>
      <c r="F857" s="1" t="n"/>
      <c r="G857" s="1" t="n"/>
      <c r="H857" s="1" t="n"/>
      <c r="I857" s="1" t="n"/>
      <c r="J857" s="1" t="n"/>
      <c r="K857" s="1" t="n"/>
      <c r="L857" s="1" t="n"/>
      <c r="M857" s="1" t="n"/>
      <c r="N857" s="1" t="n"/>
    </row>
    <row r="858" ht="15.75" customHeight="1" s="311">
      <c r="A858" s="1" t="n"/>
      <c r="B858" s="1" t="n"/>
      <c r="C858" s="1" t="n"/>
      <c r="D858" s="1" t="n"/>
      <c r="E858" s="1" t="n"/>
      <c r="F858" s="1" t="n"/>
      <c r="G858" s="1" t="n"/>
      <c r="H858" s="1" t="n"/>
      <c r="I858" s="1" t="n"/>
      <c r="J858" s="1" t="n"/>
      <c r="K858" s="1" t="n"/>
      <c r="L858" s="1" t="n"/>
      <c r="M858" s="1" t="n"/>
      <c r="N858" s="1" t="n"/>
    </row>
    <row r="859" ht="15.75" customHeight="1" s="311">
      <c r="A859" s="1" t="n"/>
      <c r="B859" s="1" t="n"/>
      <c r="C859" s="1" t="n"/>
      <c r="D859" s="1" t="n"/>
      <c r="E859" s="1" t="n"/>
      <c r="F859" s="1" t="n"/>
      <c r="G859" s="1" t="n"/>
      <c r="H859" s="1" t="n"/>
      <c r="I859" s="1" t="n"/>
      <c r="J859" s="1" t="n"/>
      <c r="K859" s="1" t="n"/>
      <c r="L859" s="1" t="n"/>
      <c r="M859" s="1" t="n"/>
      <c r="N859" s="1" t="n"/>
    </row>
    <row r="860" ht="15.75" customHeight="1" s="311">
      <c r="A860" s="1" t="n"/>
      <c r="B860" s="1" t="n"/>
      <c r="C860" s="1" t="n"/>
      <c r="D860" s="1" t="n"/>
      <c r="E860" s="1" t="n"/>
      <c r="F860" s="1" t="n"/>
      <c r="G860" s="1" t="n"/>
      <c r="H860" s="1" t="n"/>
      <c r="I860" s="1" t="n"/>
      <c r="J860" s="1" t="n"/>
      <c r="K860" s="1" t="n"/>
      <c r="L860" s="1" t="n"/>
      <c r="M860" s="1" t="n"/>
      <c r="N860" s="1" t="n"/>
    </row>
    <row r="861" ht="15.75" customHeight="1" s="311">
      <c r="A861" s="1" t="n"/>
      <c r="B861" s="1" t="n"/>
      <c r="C861" s="1" t="n"/>
      <c r="D861" s="1" t="n"/>
      <c r="E861" s="1" t="n"/>
      <c r="F861" s="1" t="n"/>
      <c r="G861" s="1" t="n"/>
      <c r="H861" s="1" t="n"/>
      <c r="I861" s="1" t="n"/>
      <c r="J861" s="1" t="n"/>
      <c r="K861" s="1" t="n"/>
      <c r="L861" s="1" t="n"/>
      <c r="M861" s="1" t="n"/>
      <c r="N861" s="1" t="n"/>
    </row>
    <row r="862" ht="15.75" customHeight="1" s="311">
      <c r="A862" s="1" t="n"/>
      <c r="B862" s="1" t="n"/>
      <c r="C862" s="1" t="n"/>
      <c r="D862" s="1" t="n"/>
      <c r="E862" s="1" t="n"/>
      <c r="F862" s="1" t="n"/>
      <c r="G862" s="1" t="n"/>
      <c r="H862" s="1" t="n"/>
      <c r="I862" s="1" t="n"/>
      <c r="J862" s="1" t="n"/>
      <c r="K862" s="1" t="n"/>
      <c r="L862" s="1" t="n"/>
      <c r="M862" s="1" t="n"/>
      <c r="N862" s="1" t="n"/>
    </row>
    <row r="863" ht="15.75" customHeight="1" s="311">
      <c r="A863" s="1" t="n"/>
      <c r="B863" s="1" t="n"/>
      <c r="C863" s="1" t="n"/>
      <c r="D863" s="1" t="n"/>
      <c r="E863" s="1" t="n"/>
      <c r="F863" s="1" t="n"/>
      <c r="G863" s="1" t="n"/>
      <c r="H863" s="1" t="n"/>
      <c r="I863" s="1" t="n"/>
      <c r="J863" s="1" t="n"/>
      <c r="K863" s="1" t="n"/>
      <c r="L863" s="1" t="n"/>
      <c r="M863" s="1" t="n"/>
      <c r="N863" s="1" t="n"/>
    </row>
    <row r="864" ht="15.75" customHeight="1" s="311">
      <c r="A864" s="1" t="n"/>
      <c r="B864" s="1" t="n"/>
      <c r="C864" s="1" t="n"/>
      <c r="D864" s="1" t="n"/>
      <c r="E864" s="1" t="n"/>
      <c r="F864" s="1" t="n"/>
      <c r="G864" s="1" t="n"/>
      <c r="H864" s="1" t="n"/>
      <c r="I864" s="1" t="n"/>
      <c r="J864" s="1" t="n"/>
      <c r="K864" s="1" t="n"/>
      <c r="L864" s="1" t="n"/>
      <c r="M864" s="1" t="n"/>
      <c r="N864" s="1" t="n"/>
    </row>
    <row r="865" ht="15.75" customHeight="1" s="311">
      <c r="A865" s="1" t="n"/>
      <c r="B865" s="1" t="n"/>
      <c r="C865" s="1" t="n"/>
      <c r="D865" s="1" t="n"/>
      <c r="E865" s="1" t="n"/>
      <c r="F865" s="1" t="n"/>
      <c r="G865" s="1" t="n"/>
      <c r="H865" s="1" t="n"/>
      <c r="I865" s="1" t="n"/>
      <c r="J865" s="1" t="n"/>
      <c r="K865" s="1" t="n"/>
      <c r="L865" s="1" t="n"/>
      <c r="M865" s="1" t="n"/>
      <c r="N865" s="1" t="n"/>
    </row>
    <row r="866" ht="15.75" customHeight="1" s="311">
      <c r="A866" s="1" t="n"/>
      <c r="B866" s="1" t="n"/>
      <c r="C866" s="1" t="n"/>
      <c r="D866" s="1" t="n"/>
      <c r="E866" s="1" t="n"/>
      <c r="F866" s="1" t="n"/>
      <c r="G866" s="1" t="n"/>
      <c r="H866" s="1" t="n"/>
      <c r="I866" s="1" t="n"/>
      <c r="J866" s="1" t="n"/>
      <c r="K866" s="1" t="n"/>
      <c r="L866" s="1" t="n"/>
      <c r="M866" s="1" t="n"/>
      <c r="N866" s="1" t="n"/>
    </row>
    <row r="867" ht="15.75" customHeight="1" s="311">
      <c r="A867" s="1" t="n"/>
      <c r="B867" s="1" t="n"/>
      <c r="C867" s="1" t="n"/>
      <c r="D867" s="1" t="n"/>
      <c r="E867" s="1" t="n"/>
      <c r="F867" s="1" t="n"/>
      <c r="G867" s="1" t="n"/>
      <c r="H867" s="1" t="n"/>
      <c r="I867" s="1" t="n"/>
      <c r="J867" s="1" t="n"/>
      <c r="K867" s="1" t="n"/>
      <c r="L867" s="1" t="n"/>
      <c r="M867" s="1" t="n"/>
      <c r="N867" s="1" t="n"/>
    </row>
    <row r="868" ht="15.75" customHeight="1" s="311">
      <c r="A868" s="1" t="n"/>
      <c r="B868" s="1" t="n"/>
      <c r="C868" s="1" t="n"/>
      <c r="D868" s="1" t="n"/>
      <c r="E868" s="1" t="n"/>
      <c r="F868" s="1" t="n"/>
      <c r="G868" s="1" t="n"/>
      <c r="H868" s="1" t="n"/>
      <c r="I868" s="1" t="n"/>
      <c r="J868" s="1" t="n"/>
      <c r="K868" s="1" t="n"/>
      <c r="L868" s="1" t="n"/>
      <c r="M868" s="1" t="n"/>
      <c r="N868" s="1" t="n"/>
    </row>
    <row r="869" ht="15.75" customHeight="1" s="311">
      <c r="A869" s="1" t="n"/>
      <c r="B869" s="1" t="n"/>
      <c r="C869" s="1" t="n"/>
      <c r="D869" s="1" t="n"/>
      <c r="E869" s="1" t="n"/>
      <c r="F869" s="1" t="n"/>
      <c r="G869" s="1" t="n"/>
      <c r="H869" s="1" t="n"/>
      <c r="I869" s="1" t="n"/>
      <c r="J869" s="1" t="n"/>
      <c r="K869" s="1" t="n"/>
      <c r="L869" s="1" t="n"/>
      <c r="M869" s="1" t="n"/>
      <c r="N869" s="1" t="n"/>
    </row>
    <row r="870" ht="15.75" customHeight="1" s="311">
      <c r="A870" s="1" t="n"/>
      <c r="B870" s="1" t="n"/>
      <c r="C870" s="1" t="n"/>
      <c r="D870" s="1" t="n"/>
      <c r="E870" s="1" t="n"/>
      <c r="F870" s="1" t="n"/>
      <c r="G870" s="1" t="n"/>
      <c r="H870" s="1" t="n"/>
      <c r="I870" s="1" t="n"/>
      <c r="J870" s="1" t="n"/>
      <c r="K870" s="1" t="n"/>
      <c r="L870" s="1" t="n"/>
      <c r="M870" s="1" t="n"/>
      <c r="N870" s="1" t="n"/>
    </row>
    <row r="871" ht="15.75" customHeight="1" s="311">
      <c r="A871" s="1" t="n"/>
      <c r="B871" s="1" t="n"/>
      <c r="C871" s="1" t="n"/>
      <c r="D871" s="1" t="n"/>
      <c r="E871" s="1" t="n"/>
      <c r="F871" s="1" t="n"/>
      <c r="G871" s="1" t="n"/>
      <c r="H871" s="1" t="n"/>
      <c r="I871" s="1" t="n"/>
      <c r="J871" s="1" t="n"/>
      <c r="K871" s="1" t="n"/>
      <c r="L871" s="1" t="n"/>
      <c r="M871" s="1" t="n"/>
      <c r="N871" s="1" t="n"/>
    </row>
    <row r="872" ht="15.75" customHeight="1" s="311">
      <c r="A872" s="1" t="n"/>
      <c r="B872" s="1" t="n"/>
      <c r="C872" s="1" t="n"/>
      <c r="D872" s="1" t="n"/>
      <c r="E872" s="1" t="n"/>
      <c r="F872" s="1" t="n"/>
      <c r="G872" s="1" t="n"/>
      <c r="H872" s="1" t="n"/>
      <c r="I872" s="1" t="n"/>
      <c r="J872" s="1" t="n"/>
      <c r="K872" s="1" t="n"/>
      <c r="L872" s="1" t="n"/>
      <c r="M872" s="1" t="n"/>
      <c r="N872" s="1" t="n"/>
    </row>
    <row r="873" ht="15.75" customHeight="1" s="311">
      <c r="A873" s="1" t="n"/>
      <c r="B873" s="1" t="n"/>
      <c r="C873" s="1" t="n"/>
      <c r="D873" s="1" t="n"/>
      <c r="E873" s="1" t="n"/>
      <c r="F873" s="1" t="n"/>
      <c r="G873" s="1" t="n"/>
      <c r="H873" s="1" t="n"/>
      <c r="I873" s="1" t="n"/>
      <c r="J873" s="1" t="n"/>
      <c r="K873" s="1" t="n"/>
      <c r="L873" s="1" t="n"/>
      <c r="M873" s="1" t="n"/>
      <c r="N873" s="1" t="n"/>
    </row>
    <row r="874" ht="15.75" customHeight="1" s="311">
      <c r="A874" s="1" t="n"/>
      <c r="B874" s="1" t="n"/>
      <c r="C874" s="1" t="n"/>
      <c r="D874" s="1" t="n"/>
      <c r="E874" s="1" t="n"/>
      <c r="F874" s="1" t="n"/>
      <c r="G874" s="1" t="n"/>
      <c r="H874" s="1" t="n"/>
      <c r="I874" s="1" t="n"/>
      <c r="J874" s="1" t="n"/>
      <c r="K874" s="1" t="n"/>
      <c r="L874" s="1" t="n"/>
      <c r="M874" s="1" t="n"/>
      <c r="N874" s="1" t="n"/>
    </row>
    <row r="875" ht="15.75" customHeight="1" s="311">
      <c r="A875" s="1" t="n"/>
      <c r="B875" s="1" t="n"/>
      <c r="C875" s="1" t="n"/>
      <c r="D875" s="1" t="n"/>
      <c r="E875" s="1" t="n"/>
      <c r="F875" s="1" t="n"/>
      <c r="G875" s="1" t="n"/>
      <c r="H875" s="1" t="n"/>
      <c r="I875" s="1" t="n"/>
      <c r="J875" s="1" t="n"/>
      <c r="K875" s="1" t="n"/>
      <c r="L875" s="1" t="n"/>
      <c r="M875" s="1" t="n"/>
      <c r="N875" s="1" t="n"/>
    </row>
    <row r="876" ht="15.75" customHeight="1" s="311">
      <c r="A876" s="1" t="n"/>
      <c r="B876" s="1" t="n"/>
      <c r="C876" s="1" t="n"/>
      <c r="D876" s="1" t="n"/>
      <c r="E876" s="1" t="n"/>
      <c r="F876" s="1" t="n"/>
      <c r="G876" s="1" t="n"/>
      <c r="H876" s="1" t="n"/>
      <c r="I876" s="1" t="n"/>
      <c r="J876" s="1" t="n"/>
      <c r="K876" s="1" t="n"/>
      <c r="L876" s="1" t="n"/>
      <c r="M876" s="1" t="n"/>
      <c r="N876" s="1" t="n"/>
    </row>
    <row r="877" ht="15.75" customHeight="1" s="311">
      <c r="A877" s="1" t="n"/>
      <c r="B877" s="1" t="n"/>
      <c r="C877" s="1" t="n"/>
      <c r="D877" s="1" t="n"/>
      <c r="E877" s="1" t="n"/>
      <c r="F877" s="1" t="n"/>
      <c r="G877" s="1" t="n"/>
      <c r="H877" s="1" t="n"/>
      <c r="I877" s="1" t="n"/>
      <c r="J877" s="1" t="n"/>
      <c r="K877" s="1" t="n"/>
      <c r="L877" s="1" t="n"/>
      <c r="M877" s="1" t="n"/>
      <c r="N877" s="1" t="n"/>
    </row>
    <row r="878" ht="15.75" customHeight="1" s="311">
      <c r="A878" s="1" t="n"/>
      <c r="B878" s="1" t="n"/>
      <c r="C878" s="1" t="n"/>
      <c r="D878" s="1" t="n"/>
      <c r="E878" s="1" t="n"/>
      <c r="F878" s="1" t="n"/>
      <c r="G878" s="1" t="n"/>
      <c r="H878" s="1" t="n"/>
      <c r="I878" s="1" t="n"/>
      <c r="J878" s="1" t="n"/>
      <c r="K878" s="1" t="n"/>
      <c r="L878" s="1" t="n"/>
      <c r="M878" s="1" t="n"/>
      <c r="N878" s="1" t="n"/>
    </row>
    <row r="879" ht="15.75" customHeight="1" s="311">
      <c r="A879" s="1" t="n"/>
      <c r="B879" s="1" t="n"/>
      <c r="C879" s="1" t="n"/>
      <c r="D879" s="1" t="n"/>
      <c r="E879" s="1" t="n"/>
      <c r="F879" s="1" t="n"/>
      <c r="G879" s="1" t="n"/>
      <c r="H879" s="1" t="n"/>
      <c r="I879" s="1" t="n"/>
      <c r="J879" s="1" t="n"/>
      <c r="K879" s="1" t="n"/>
      <c r="L879" s="1" t="n"/>
      <c r="M879" s="1" t="n"/>
      <c r="N879" s="1" t="n"/>
    </row>
    <row r="880" ht="15.75" customHeight="1" s="311">
      <c r="A880" s="1" t="n"/>
      <c r="B880" s="1" t="n"/>
      <c r="C880" s="1" t="n"/>
      <c r="D880" s="1" t="n"/>
      <c r="E880" s="1" t="n"/>
      <c r="F880" s="1" t="n"/>
      <c r="G880" s="1" t="n"/>
      <c r="H880" s="1" t="n"/>
      <c r="I880" s="1" t="n"/>
      <c r="J880" s="1" t="n"/>
      <c r="K880" s="1" t="n"/>
      <c r="L880" s="1" t="n"/>
      <c r="M880" s="1" t="n"/>
      <c r="N880" s="1" t="n"/>
    </row>
    <row r="881" ht="15.75" customHeight="1" s="311">
      <c r="A881" s="1" t="n"/>
      <c r="B881" s="1" t="n"/>
      <c r="C881" s="1" t="n"/>
      <c r="D881" s="1" t="n"/>
      <c r="E881" s="1" t="n"/>
      <c r="F881" s="1" t="n"/>
      <c r="G881" s="1" t="n"/>
      <c r="H881" s="1" t="n"/>
      <c r="I881" s="1" t="n"/>
      <c r="J881" s="1" t="n"/>
      <c r="K881" s="1" t="n"/>
      <c r="L881" s="1" t="n"/>
      <c r="M881" s="1" t="n"/>
      <c r="N881" s="1" t="n"/>
    </row>
    <row r="882" ht="15.75" customHeight="1" s="311">
      <c r="A882" s="1" t="n"/>
      <c r="B882" s="1" t="n"/>
      <c r="C882" s="1" t="n"/>
      <c r="D882" s="1" t="n"/>
      <c r="E882" s="1" t="n"/>
      <c r="F882" s="1" t="n"/>
      <c r="G882" s="1" t="n"/>
      <c r="H882" s="1" t="n"/>
      <c r="I882" s="1" t="n"/>
      <c r="J882" s="1" t="n"/>
      <c r="K882" s="1" t="n"/>
      <c r="L882" s="1" t="n"/>
      <c r="M882" s="1" t="n"/>
      <c r="N882" s="1" t="n"/>
    </row>
    <row r="883" ht="15.75" customHeight="1" s="311">
      <c r="A883" s="1" t="n"/>
      <c r="B883" s="1" t="n"/>
      <c r="C883" s="1" t="n"/>
      <c r="D883" s="1" t="n"/>
      <c r="E883" s="1" t="n"/>
      <c r="F883" s="1" t="n"/>
      <c r="G883" s="1" t="n"/>
      <c r="H883" s="1" t="n"/>
      <c r="I883" s="1" t="n"/>
      <c r="J883" s="1" t="n"/>
      <c r="K883" s="1" t="n"/>
      <c r="L883" s="1" t="n"/>
      <c r="M883" s="1" t="n"/>
      <c r="N883" s="1" t="n"/>
    </row>
    <row r="884" ht="15.75" customHeight="1" s="311">
      <c r="A884" s="1" t="n"/>
      <c r="B884" s="1" t="n"/>
      <c r="C884" s="1" t="n"/>
      <c r="D884" s="1" t="n"/>
      <c r="E884" s="1" t="n"/>
      <c r="F884" s="1" t="n"/>
      <c r="G884" s="1" t="n"/>
      <c r="H884" s="1" t="n"/>
      <c r="I884" s="1" t="n"/>
      <c r="J884" s="1" t="n"/>
      <c r="K884" s="1" t="n"/>
      <c r="L884" s="1" t="n"/>
      <c r="M884" s="1" t="n"/>
      <c r="N884" s="1" t="n"/>
    </row>
    <row r="885" ht="15.75" customHeight="1" s="311">
      <c r="A885" s="1" t="n"/>
      <c r="B885" s="1" t="n"/>
      <c r="C885" s="1" t="n"/>
      <c r="D885" s="1" t="n"/>
      <c r="E885" s="1" t="n"/>
      <c r="F885" s="1" t="n"/>
      <c r="G885" s="1" t="n"/>
      <c r="H885" s="1" t="n"/>
      <c r="I885" s="1" t="n"/>
      <c r="J885" s="1" t="n"/>
      <c r="K885" s="1" t="n"/>
      <c r="L885" s="1" t="n"/>
      <c r="M885" s="1" t="n"/>
      <c r="N885" s="1" t="n"/>
    </row>
    <row r="886" ht="15.75" customHeight="1" s="311">
      <c r="A886" s="1" t="n"/>
      <c r="B886" s="1" t="n"/>
      <c r="C886" s="1" t="n"/>
      <c r="D886" s="1" t="n"/>
      <c r="E886" s="1" t="n"/>
      <c r="F886" s="1" t="n"/>
      <c r="G886" s="1" t="n"/>
      <c r="H886" s="1" t="n"/>
      <c r="I886" s="1" t="n"/>
      <c r="J886" s="1" t="n"/>
      <c r="K886" s="1" t="n"/>
      <c r="L886" s="1" t="n"/>
      <c r="M886" s="1" t="n"/>
      <c r="N886" s="1" t="n"/>
    </row>
    <row r="887" ht="15.75" customHeight="1" s="311">
      <c r="A887" s="1" t="n"/>
      <c r="B887" s="1" t="n"/>
      <c r="C887" s="1" t="n"/>
      <c r="D887" s="1" t="n"/>
      <c r="E887" s="1" t="n"/>
      <c r="F887" s="1" t="n"/>
      <c r="G887" s="1" t="n"/>
      <c r="H887" s="1" t="n"/>
      <c r="I887" s="1" t="n"/>
      <c r="J887" s="1" t="n"/>
      <c r="K887" s="1" t="n"/>
      <c r="L887" s="1" t="n"/>
      <c r="M887" s="1" t="n"/>
      <c r="N887" s="1" t="n"/>
    </row>
    <row r="888" ht="15.75" customHeight="1" s="311">
      <c r="A888" s="1" t="n"/>
      <c r="B888" s="1" t="n"/>
      <c r="C888" s="1" t="n"/>
      <c r="D888" s="1" t="n"/>
      <c r="E888" s="1" t="n"/>
      <c r="F888" s="1" t="n"/>
      <c r="G888" s="1" t="n"/>
      <c r="H888" s="1" t="n"/>
      <c r="I888" s="1" t="n"/>
      <c r="J888" s="1" t="n"/>
      <c r="K888" s="1" t="n"/>
      <c r="L888" s="1" t="n"/>
      <c r="M888" s="1" t="n"/>
      <c r="N888" s="1" t="n"/>
    </row>
    <row r="889" ht="15.75" customHeight="1" s="311">
      <c r="A889" s="1" t="n"/>
      <c r="B889" s="1" t="n"/>
      <c r="C889" s="1" t="n"/>
      <c r="D889" s="1" t="n"/>
      <c r="E889" s="1" t="n"/>
      <c r="F889" s="1" t="n"/>
      <c r="G889" s="1" t="n"/>
      <c r="H889" s="1" t="n"/>
      <c r="I889" s="1" t="n"/>
      <c r="J889" s="1" t="n"/>
      <c r="K889" s="1" t="n"/>
      <c r="L889" s="1" t="n"/>
      <c r="M889" s="1" t="n"/>
      <c r="N889" s="1" t="n"/>
    </row>
    <row r="890" ht="15.75" customHeight="1" s="311">
      <c r="A890" s="1" t="n"/>
      <c r="B890" s="1" t="n"/>
      <c r="C890" s="1" t="n"/>
      <c r="D890" s="1" t="n"/>
      <c r="E890" s="1" t="n"/>
      <c r="F890" s="1" t="n"/>
      <c r="G890" s="1" t="n"/>
      <c r="H890" s="1" t="n"/>
      <c r="I890" s="1" t="n"/>
      <c r="J890" s="1" t="n"/>
      <c r="K890" s="1" t="n"/>
      <c r="L890" s="1" t="n"/>
      <c r="M890" s="1" t="n"/>
      <c r="N890" s="1" t="n"/>
    </row>
    <row r="891" ht="15.75" customHeight="1" s="311">
      <c r="A891" s="1" t="n"/>
      <c r="B891" s="1" t="n"/>
      <c r="C891" s="1" t="n"/>
      <c r="D891" s="1" t="n"/>
      <c r="E891" s="1" t="n"/>
      <c r="F891" s="1" t="n"/>
      <c r="G891" s="1" t="n"/>
      <c r="H891" s="1" t="n"/>
      <c r="I891" s="1" t="n"/>
      <c r="J891" s="1" t="n"/>
      <c r="K891" s="1" t="n"/>
      <c r="L891" s="1" t="n"/>
      <c r="M891" s="1" t="n"/>
      <c r="N891" s="1" t="n"/>
    </row>
    <row r="892" ht="15.75" customHeight="1" s="311">
      <c r="A892" s="1" t="n"/>
      <c r="B892" s="1" t="n"/>
      <c r="C892" s="1" t="n"/>
      <c r="D892" s="1" t="n"/>
      <c r="E892" s="1" t="n"/>
      <c r="F892" s="1" t="n"/>
      <c r="G892" s="1" t="n"/>
      <c r="H892" s="1" t="n"/>
      <c r="I892" s="1" t="n"/>
      <c r="J892" s="1" t="n"/>
      <c r="K892" s="1" t="n"/>
      <c r="L892" s="1" t="n"/>
      <c r="M892" s="1" t="n"/>
      <c r="N892" s="1" t="n"/>
    </row>
    <row r="893" ht="15.75" customHeight="1" s="311">
      <c r="A893" s="1" t="n"/>
      <c r="B893" s="1" t="n"/>
      <c r="C893" s="1" t="n"/>
      <c r="D893" s="1" t="n"/>
      <c r="E893" s="1" t="n"/>
      <c r="F893" s="1" t="n"/>
      <c r="G893" s="1" t="n"/>
      <c r="H893" s="1" t="n"/>
      <c r="I893" s="1" t="n"/>
      <c r="J893" s="1" t="n"/>
      <c r="K893" s="1" t="n"/>
      <c r="L893" s="1" t="n"/>
      <c r="M893" s="1" t="n"/>
      <c r="N893" s="1" t="n"/>
    </row>
    <row r="894" ht="15.75" customHeight="1" s="311">
      <c r="A894" s="1" t="n"/>
      <c r="B894" s="1" t="n"/>
      <c r="C894" s="1" t="n"/>
      <c r="D894" s="1" t="n"/>
      <c r="E894" s="1" t="n"/>
      <c r="F894" s="1" t="n"/>
      <c r="G894" s="1" t="n"/>
      <c r="H894" s="1" t="n"/>
      <c r="I894" s="1" t="n"/>
      <c r="J894" s="1" t="n"/>
      <c r="K894" s="1" t="n"/>
      <c r="L894" s="1" t="n"/>
      <c r="M894" s="1" t="n"/>
      <c r="N894" s="1" t="n"/>
    </row>
    <row r="895" ht="15.75" customHeight="1" s="311">
      <c r="A895" s="1" t="n"/>
      <c r="B895" s="1" t="n"/>
      <c r="C895" s="1" t="n"/>
      <c r="D895" s="1" t="n"/>
      <c r="E895" s="1" t="n"/>
      <c r="F895" s="1" t="n"/>
      <c r="G895" s="1" t="n"/>
      <c r="H895" s="1" t="n"/>
      <c r="I895" s="1" t="n"/>
      <c r="J895" s="1" t="n"/>
      <c r="K895" s="1" t="n"/>
      <c r="L895" s="1" t="n"/>
      <c r="M895" s="1" t="n"/>
      <c r="N895" s="1" t="n"/>
    </row>
    <row r="896" ht="15.75" customHeight="1" s="311">
      <c r="A896" s="1" t="n"/>
      <c r="B896" s="1" t="n"/>
      <c r="C896" s="1" t="n"/>
      <c r="D896" s="1" t="n"/>
      <c r="E896" s="1" t="n"/>
      <c r="F896" s="1" t="n"/>
      <c r="G896" s="1" t="n"/>
      <c r="H896" s="1" t="n"/>
      <c r="I896" s="1" t="n"/>
      <c r="J896" s="1" t="n"/>
      <c r="K896" s="1" t="n"/>
      <c r="L896" s="1" t="n"/>
      <c r="M896" s="1" t="n"/>
      <c r="N896" s="1" t="n"/>
    </row>
    <row r="897" ht="15.75" customHeight="1" s="311">
      <c r="A897" s="1" t="n"/>
      <c r="B897" s="1" t="n"/>
      <c r="C897" s="1" t="n"/>
      <c r="D897" s="1" t="n"/>
      <c r="E897" s="1" t="n"/>
      <c r="F897" s="1" t="n"/>
      <c r="G897" s="1" t="n"/>
      <c r="H897" s="1" t="n"/>
      <c r="I897" s="1" t="n"/>
      <c r="J897" s="1" t="n"/>
      <c r="K897" s="1" t="n"/>
      <c r="L897" s="1" t="n"/>
      <c r="M897" s="1" t="n"/>
      <c r="N897" s="1" t="n"/>
    </row>
    <row r="898" ht="15.75" customHeight="1" s="311">
      <c r="A898" s="1" t="n"/>
      <c r="B898" s="1" t="n"/>
      <c r="C898" s="1" t="n"/>
      <c r="D898" s="1" t="n"/>
      <c r="E898" s="1" t="n"/>
      <c r="F898" s="1" t="n"/>
      <c r="G898" s="1" t="n"/>
      <c r="H898" s="1" t="n"/>
      <c r="I898" s="1" t="n"/>
      <c r="J898" s="1" t="n"/>
      <c r="K898" s="1" t="n"/>
      <c r="L898" s="1" t="n"/>
      <c r="M898" s="1" t="n"/>
      <c r="N898" s="1" t="n"/>
    </row>
    <row r="899" ht="15.75" customHeight="1" s="311">
      <c r="A899" s="1" t="n"/>
      <c r="B899" s="1" t="n"/>
      <c r="C899" s="1" t="n"/>
      <c r="D899" s="1" t="n"/>
      <c r="E899" s="1" t="n"/>
      <c r="F899" s="1" t="n"/>
      <c r="G899" s="1" t="n"/>
      <c r="H899" s="1" t="n"/>
      <c r="I899" s="1" t="n"/>
      <c r="J899" s="1" t="n"/>
      <c r="K899" s="1" t="n"/>
      <c r="L899" s="1" t="n"/>
      <c r="M899" s="1" t="n"/>
      <c r="N899" s="1" t="n"/>
    </row>
    <row r="900" ht="15.75" customHeight="1" s="311">
      <c r="A900" s="1" t="n"/>
      <c r="B900" s="1" t="n"/>
      <c r="C900" s="1" t="n"/>
      <c r="D900" s="1" t="n"/>
      <c r="E900" s="1" t="n"/>
      <c r="F900" s="1" t="n"/>
      <c r="G900" s="1" t="n"/>
      <c r="H900" s="1" t="n"/>
      <c r="I900" s="1" t="n"/>
      <c r="J900" s="1" t="n"/>
      <c r="K900" s="1" t="n"/>
      <c r="L900" s="1" t="n"/>
      <c r="M900" s="1" t="n"/>
      <c r="N900" s="1" t="n"/>
    </row>
    <row r="901" ht="15.75" customHeight="1" s="311">
      <c r="A901" s="1" t="n"/>
      <c r="B901" s="1" t="n"/>
      <c r="C901" s="1" t="n"/>
      <c r="D901" s="1" t="n"/>
      <c r="E901" s="1" t="n"/>
      <c r="F901" s="1" t="n"/>
      <c r="G901" s="1" t="n"/>
      <c r="H901" s="1" t="n"/>
      <c r="I901" s="1" t="n"/>
      <c r="J901" s="1" t="n"/>
      <c r="K901" s="1" t="n"/>
      <c r="L901" s="1" t="n"/>
      <c r="M901" s="1" t="n"/>
      <c r="N901" s="1" t="n"/>
    </row>
    <row r="902" ht="15.75" customHeight="1" s="311">
      <c r="A902" s="1" t="n"/>
      <c r="B902" s="1" t="n"/>
      <c r="C902" s="1" t="n"/>
      <c r="D902" s="1" t="n"/>
      <c r="E902" s="1" t="n"/>
      <c r="F902" s="1" t="n"/>
      <c r="G902" s="1" t="n"/>
      <c r="H902" s="1" t="n"/>
      <c r="I902" s="1" t="n"/>
      <c r="J902" s="1" t="n"/>
      <c r="K902" s="1" t="n"/>
      <c r="L902" s="1" t="n"/>
      <c r="M902" s="1" t="n"/>
      <c r="N902" s="1" t="n"/>
    </row>
    <row r="903" ht="15.75" customHeight="1" s="311">
      <c r="A903" s="1" t="n"/>
      <c r="B903" s="1" t="n"/>
      <c r="C903" s="1" t="n"/>
      <c r="D903" s="1" t="n"/>
      <c r="E903" s="1" t="n"/>
      <c r="F903" s="1" t="n"/>
      <c r="G903" s="1" t="n"/>
      <c r="H903" s="1" t="n"/>
      <c r="I903" s="1" t="n"/>
      <c r="J903" s="1" t="n"/>
      <c r="K903" s="1" t="n"/>
      <c r="L903" s="1" t="n"/>
      <c r="M903" s="1" t="n"/>
      <c r="N903" s="1" t="n"/>
    </row>
    <row r="904" ht="15.75" customHeight="1" s="311">
      <c r="A904" s="1" t="n"/>
      <c r="B904" s="1" t="n"/>
      <c r="C904" s="1" t="n"/>
      <c r="D904" s="1" t="n"/>
      <c r="E904" s="1" t="n"/>
      <c r="F904" s="1" t="n"/>
      <c r="G904" s="1" t="n"/>
      <c r="H904" s="1" t="n"/>
      <c r="I904" s="1" t="n"/>
      <c r="J904" s="1" t="n"/>
      <c r="K904" s="1" t="n"/>
      <c r="L904" s="1" t="n"/>
      <c r="M904" s="1" t="n"/>
      <c r="N904" s="1" t="n"/>
    </row>
    <row r="905" ht="15.75" customHeight="1" s="311">
      <c r="A905" s="1" t="n"/>
      <c r="B905" s="1" t="n"/>
      <c r="C905" s="1" t="n"/>
      <c r="D905" s="1" t="n"/>
      <c r="E905" s="1" t="n"/>
      <c r="F905" s="1" t="n"/>
      <c r="G905" s="1" t="n"/>
      <c r="H905" s="1" t="n"/>
      <c r="I905" s="1" t="n"/>
      <c r="J905" s="1" t="n"/>
      <c r="K905" s="1" t="n"/>
      <c r="L905" s="1" t="n"/>
      <c r="M905" s="1" t="n"/>
      <c r="N905" s="1" t="n"/>
    </row>
    <row r="906" ht="15.75" customHeight="1" s="311">
      <c r="A906" s="1" t="n"/>
      <c r="B906" s="1" t="n"/>
      <c r="C906" s="1" t="n"/>
      <c r="D906" s="1" t="n"/>
      <c r="E906" s="1" t="n"/>
      <c r="F906" s="1" t="n"/>
      <c r="G906" s="1" t="n"/>
      <c r="H906" s="1" t="n"/>
      <c r="I906" s="1" t="n"/>
      <c r="J906" s="1" t="n"/>
      <c r="K906" s="1" t="n"/>
      <c r="L906" s="1" t="n"/>
      <c r="M906" s="1" t="n"/>
      <c r="N906" s="1" t="n"/>
    </row>
    <row r="907" ht="15.75" customHeight="1" s="311">
      <c r="A907" s="1" t="n"/>
      <c r="B907" s="1" t="n"/>
      <c r="C907" s="1" t="n"/>
      <c r="D907" s="1" t="n"/>
      <c r="E907" s="1" t="n"/>
      <c r="F907" s="1" t="n"/>
      <c r="G907" s="1" t="n"/>
      <c r="H907" s="1" t="n"/>
      <c r="I907" s="1" t="n"/>
      <c r="J907" s="1" t="n"/>
      <c r="K907" s="1" t="n"/>
      <c r="L907" s="1" t="n"/>
      <c r="M907" s="1" t="n"/>
      <c r="N907" s="1" t="n"/>
    </row>
    <row r="908" ht="15.75" customHeight="1" s="311">
      <c r="A908" s="1" t="n"/>
      <c r="B908" s="1" t="n"/>
      <c r="C908" s="1" t="n"/>
      <c r="D908" s="1" t="n"/>
      <c r="E908" s="1" t="n"/>
      <c r="F908" s="1" t="n"/>
      <c r="G908" s="1" t="n"/>
      <c r="H908" s="1" t="n"/>
      <c r="I908" s="1" t="n"/>
      <c r="J908" s="1" t="n"/>
      <c r="K908" s="1" t="n"/>
      <c r="L908" s="1" t="n"/>
      <c r="M908" s="1" t="n"/>
      <c r="N908" s="1" t="n"/>
    </row>
    <row r="909" ht="15.75" customHeight="1" s="311">
      <c r="A909" s="1" t="n"/>
      <c r="B909" s="1" t="n"/>
      <c r="C909" s="1" t="n"/>
      <c r="D909" s="1" t="n"/>
      <c r="E909" s="1" t="n"/>
      <c r="F909" s="1" t="n"/>
      <c r="G909" s="1" t="n"/>
      <c r="H909" s="1" t="n"/>
      <c r="I909" s="1" t="n"/>
      <c r="J909" s="1" t="n"/>
      <c r="K909" s="1" t="n"/>
      <c r="L909" s="1" t="n"/>
      <c r="M909" s="1" t="n"/>
      <c r="N909" s="1" t="n"/>
    </row>
    <row r="910" ht="15.75" customHeight="1" s="311">
      <c r="A910" s="1" t="n"/>
      <c r="B910" s="1" t="n"/>
      <c r="C910" s="1" t="n"/>
      <c r="D910" s="1" t="n"/>
      <c r="E910" s="1" t="n"/>
      <c r="F910" s="1" t="n"/>
      <c r="G910" s="1" t="n"/>
      <c r="H910" s="1" t="n"/>
      <c r="I910" s="1" t="n"/>
      <c r="J910" s="1" t="n"/>
      <c r="K910" s="1" t="n"/>
      <c r="L910" s="1" t="n"/>
      <c r="M910" s="1" t="n"/>
      <c r="N910" s="1" t="n"/>
    </row>
    <row r="911" ht="15.75" customHeight="1" s="311">
      <c r="A911" s="1" t="n"/>
      <c r="B911" s="1" t="n"/>
      <c r="C911" s="1" t="n"/>
      <c r="D911" s="1" t="n"/>
      <c r="E911" s="1" t="n"/>
      <c r="F911" s="1" t="n"/>
      <c r="G911" s="1" t="n"/>
      <c r="H911" s="1" t="n"/>
      <c r="I911" s="1" t="n"/>
      <c r="J911" s="1" t="n"/>
      <c r="K911" s="1" t="n"/>
      <c r="L911" s="1" t="n"/>
      <c r="M911" s="1" t="n"/>
      <c r="N911" s="1" t="n"/>
    </row>
    <row r="912" ht="15.75" customHeight="1" s="311">
      <c r="A912" s="1" t="n"/>
      <c r="B912" s="1" t="n"/>
      <c r="C912" s="1" t="n"/>
      <c r="D912" s="1" t="n"/>
      <c r="E912" s="1" t="n"/>
      <c r="F912" s="1" t="n"/>
      <c r="G912" s="1" t="n"/>
      <c r="H912" s="1" t="n"/>
      <c r="I912" s="1" t="n"/>
      <c r="J912" s="1" t="n"/>
      <c r="K912" s="1" t="n"/>
      <c r="L912" s="1" t="n"/>
      <c r="M912" s="1" t="n"/>
      <c r="N912" s="1" t="n"/>
    </row>
    <row r="913" ht="15.75" customHeight="1" s="311">
      <c r="A913" s="1" t="n"/>
      <c r="B913" s="1" t="n"/>
      <c r="C913" s="1" t="n"/>
      <c r="D913" s="1" t="n"/>
      <c r="E913" s="1" t="n"/>
      <c r="F913" s="1" t="n"/>
      <c r="G913" s="1" t="n"/>
      <c r="H913" s="1" t="n"/>
      <c r="I913" s="1" t="n"/>
      <c r="J913" s="1" t="n"/>
      <c r="K913" s="1" t="n"/>
      <c r="L913" s="1" t="n"/>
      <c r="M913" s="1" t="n"/>
      <c r="N913" s="1" t="n"/>
    </row>
    <row r="914" ht="15.75" customHeight="1" s="311">
      <c r="A914" s="1" t="n"/>
      <c r="B914" s="1" t="n"/>
      <c r="C914" s="1" t="n"/>
      <c r="D914" s="1" t="n"/>
      <c r="E914" s="1" t="n"/>
      <c r="F914" s="1" t="n"/>
      <c r="G914" s="1" t="n"/>
      <c r="H914" s="1" t="n"/>
      <c r="I914" s="1" t="n"/>
      <c r="J914" s="1" t="n"/>
      <c r="K914" s="1" t="n"/>
      <c r="L914" s="1" t="n"/>
      <c r="M914" s="1" t="n"/>
      <c r="N914" s="1" t="n"/>
    </row>
    <row r="915" ht="15.75" customHeight="1" s="311">
      <c r="A915" s="1" t="n"/>
      <c r="B915" s="1" t="n"/>
      <c r="C915" s="1" t="n"/>
      <c r="D915" s="1" t="n"/>
      <c r="E915" s="1" t="n"/>
      <c r="F915" s="1" t="n"/>
      <c r="G915" s="1" t="n"/>
      <c r="H915" s="1" t="n"/>
      <c r="I915" s="1" t="n"/>
      <c r="J915" s="1" t="n"/>
      <c r="K915" s="1" t="n"/>
      <c r="L915" s="1" t="n"/>
      <c r="M915" s="1" t="n"/>
      <c r="N915" s="1" t="n"/>
    </row>
    <row r="916" ht="15.75" customHeight="1" s="311">
      <c r="A916" s="1" t="n"/>
      <c r="B916" s="1" t="n"/>
      <c r="C916" s="1" t="n"/>
      <c r="D916" s="1" t="n"/>
      <c r="E916" s="1" t="n"/>
      <c r="F916" s="1" t="n"/>
      <c r="G916" s="1" t="n"/>
      <c r="H916" s="1" t="n"/>
      <c r="I916" s="1" t="n"/>
      <c r="J916" s="1" t="n"/>
      <c r="K916" s="1" t="n"/>
      <c r="L916" s="1" t="n"/>
      <c r="M916" s="1" t="n"/>
      <c r="N916" s="1" t="n"/>
    </row>
    <row r="917" ht="15.75" customHeight="1" s="311">
      <c r="A917" s="1" t="n"/>
      <c r="B917" s="1" t="n"/>
      <c r="C917" s="1" t="n"/>
      <c r="D917" s="1" t="n"/>
      <c r="E917" s="1" t="n"/>
      <c r="F917" s="1" t="n"/>
      <c r="G917" s="1" t="n"/>
      <c r="H917" s="1" t="n"/>
      <c r="I917" s="1" t="n"/>
      <c r="J917" s="1" t="n"/>
      <c r="K917" s="1" t="n"/>
      <c r="L917" s="1" t="n"/>
      <c r="M917" s="1" t="n"/>
      <c r="N917" s="1" t="n"/>
    </row>
    <row r="918" ht="15.75" customHeight="1" s="311">
      <c r="A918" s="1" t="n"/>
      <c r="B918" s="1" t="n"/>
      <c r="C918" s="1" t="n"/>
      <c r="D918" s="1" t="n"/>
      <c r="E918" s="1" t="n"/>
      <c r="F918" s="1" t="n"/>
      <c r="G918" s="1" t="n"/>
      <c r="H918" s="1" t="n"/>
      <c r="I918" s="1" t="n"/>
      <c r="J918" s="1" t="n"/>
      <c r="K918" s="1" t="n"/>
      <c r="L918" s="1" t="n"/>
      <c r="M918" s="1" t="n"/>
      <c r="N918" s="1" t="n"/>
    </row>
    <row r="919" ht="15.75" customHeight="1" s="311">
      <c r="A919" s="1" t="n"/>
      <c r="B919" s="1" t="n"/>
      <c r="C919" s="1" t="n"/>
      <c r="D919" s="1" t="n"/>
      <c r="E919" s="1" t="n"/>
      <c r="F919" s="1" t="n"/>
      <c r="G919" s="1" t="n"/>
      <c r="H919" s="1" t="n"/>
      <c r="I919" s="1" t="n"/>
      <c r="J919" s="1" t="n"/>
      <c r="K919" s="1" t="n"/>
      <c r="L919" s="1" t="n"/>
      <c r="M919" s="1" t="n"/>
      <c r="N919" s="1" t="n"/>
    </row>
    <row r="920" ht="15.75" customHeight="1" s="311">
      <c r="A920" s="1" t="n"/>
      <c r="B920" s="1" t="n"/>
      <c r="C920" s="1" t="n"/>
      <c r="D920" s="1" t="n"/>
      <c r="E920" s="1" t="n"/>
      <c r="F920" s="1" t="n"/>
      <c r="G920" s="1" t="n"/>
      <c r="H920" s="1" t="n"/>
      <c r="I920" s="1" t="n"/>
      <c r="J920" s="1" t="n"/>
      <c r="K920" s="1" t="n"/>
      <c r="L920" s="1" t="n"/>
      <c r="M920" s="1" t="n"/>
      <c r="N920" s="1" t="n"/>
    </row>
    <row r="921" ht="15.75" customHeight="1" s="311">
      <c r="A921" s="1" t="n"/>
      <c r="B921" s="1" t="n"/>
      <c r="C921" s="1" t="n"/>
      <c r="D921" s="1" t="n"/>
      <c r="E921" s="1" t="n"/>
      <c r="F921" s="1" t="n"/>
      <c r="G921" s="1" t="n"/>
      <c r="H921" s="1" t="n"/>
      <c r="I921" s="1" t="n"/>
      <c r="J921" s="1" t="n"/>
      <c r="K921" s="1" t="n"/>
      <c r="L921" s="1" t="n"/>
      <c r="M921" s="1" t="n"/>
      <c r="N921" s="1" t="n"/>
    </row>
    <row r="922" ht="15.75" customHeight="1" s="311">
      <c r="A922" s="1" t="n"/>
      <c r="B922" s="1" t="n"/>
      <c r="C922" s="1" t="n"/>
      <c r="D922" s="1" t="n"/>
      <c r="E922" s="1" t="n"/>
      <c r="F922" s="1" t="n"/>
      <c r="G922" s="1" t="n"/>
      <c r="H922" s="1" t="n"/>
      <c r="I922" s="1" t="n"/>
      <c r="J922" s="1" t="n"/>
      <c r="K922" s="1" t="n"/>
      <c r="L922" s="1" t="n"/>
      <c r="M922" s="1" t="n"/>
      <c r="N922" s="1" t="n"/>
    </row>
    <row r="923" ht="15.75" customHeight="1" s="311">
      <c r="A923" s="1" t="n"/>
      <c r="B923" s="1" t="n"/>
      <c r="C923" s="1" t="n"/>
      <c r="D923" s="1" t="n"/>
      <c r="E923" s="1" t="n"/>
      <c r="F923" s="1" t="n"/>
      <c r="G923" s="1" t="n"/>
      <c r="H923" s="1" t="n"/>
      <c r="I923" s="1" t="n"/>
      <c r="J923" s="1" t="n"/>
      <c r="K923" s="1" t="n"/>
      <c r="L923" s="1" t="n"/>
      <c r="M923" s="1" t="n"/>
      <c r="N923" s="1" t="n"/>
    </row>
    <row r="924" ht="15.75" customHeight="1" s="311">
      <c r="A924" s="1" t="n"/>
      <c r="B924" s="1" t="n"/>
      <c r="C924" s="1" t="n"/>
      <c r="D924" s="1" t="n"/>
      <c r="E924" s="1" t="n"/>
      <c r="F924" s="1" t="n"/>
      <c r="G924" s="1" t="n"/>
      <c r="H924" s="1" t="n"/>
      <c r="I924" s="1" t="n"/>
      <c r="J924" s="1" t="n"/>
      <c r="K924" s="1" t="n"/>
      <c r="L924" s="1" t="n"/>
      <c r="M924" s="1" t="n"/>
      <c r="N924" s="1" t="n"/>
    </row>
    <row r="925" ht="15.75" customHeight="1" s="311">
      <c r="A925" s="1" t="n"/>
      <c r="B925" s="1" t="n"/>
      <c r="C925" s="1" t="n"/>
      <c r="D925" s="1" t="n"/>
      <c r="E925" s="1" t="n"/>
      <c r="F925" s="1" t="n"/>
      <c r="G925" s="1" t="n"/>
      <c r="H925" s="1" t="n"/>
      <c r="I925" s="1" t="n"/>
      <c r="J925" s="1" t="n"/>
      <c r="K925" s="1" t="n"/>
      <c r="L925" s="1" t="n"/>
      <c r="M925" s="1" t="n"/>
      <c r="N925" s="1" t="n"/>
    </row>
    <row r="926" ht="15.75" customHeight="1" s="311">
      <c r="A926" s="1" t="n"/>
      <c r="B926" s="1" t="n"/>
      <c r="C926" s="1" t="n"/>
      <c r="D926" s="1" t="n"/>
      <c r="E926" s="1" t="n"/>
      <c r="F926" s="1" t="n"/>
      <c r="G926" s="1" t="n"/>
      <c r="H926" s="1" t="n"/>
      <c r="I926" s="1" t="n"/>
      <c r="J926" s="1" t="n"/>
      <c r="K926" s="1" t="n"/>
      <c r="L926" s="1" t="n"/>
      <c r="M926" s="1" t="n"/>
      <c r="N926" s="1" t="n"/>
    </row>
    <row r="927" ht="15.75" customHeight="1" s="311">
      <c r="A927" s="1" t="n"/>
      <c r="B927" s="1" t="n"/>
      <c r="C927" s="1" t="n"/>
      <c r="D927" s="1" t="n"/>
      <c r="E927" s="1" t="n"/>
      <c r="F927" s="1" t="n"/>
      <c r="G927" s="1" t="n"/>
      <c r="H927" s="1" t="n"/>
      <c r="I927" s="1" t="n"/>
      <c r="J927" s="1" t="n"/>
      <c r="K927" s="1" t="n"/>
      <c r="L927" s="1" t="n"/>
      <c r="M927" s="1" t="n"/>
      <c r="N927" s="1" t="n"/>
    </row>
    <row r="928" ht="15.75" customHeight="1" s="311">
      <c r="A928" s="1" t="n"/>
      <c r="B928" s="1" t="n"/>
      <c r="C928" s="1" t="n"/>
      <c r="D928" s="1" t="n"/>
      <c r="E928" s="1" t="n"/>
      <c r="F928" s="1" t="n"/>
      <c r="G928" s="1" t="n"/>
      <c r="H928" s="1" t="n"/>
      <c r="I928" s="1" t="n"/>
      <c r="J928" s="1" t="n"/>
      <c r="K928" s="1" t="n"/>
      <c r="L928" s="1" t="n"/>
      <c r="M928" s="1" t="n"/>
      <c r="N928" s="1" t="n"/>
    </row>
    <row r="929" ht="15.75" customHeight="1" s="311">
      <c r="A929" s="1" t="n"/>
      <c r="B929" s="1" t="n"/>
      <c r="C929" s="1" t="n"/>
      <c r="D929" s="1" t="n"/>
      <c r="E929" s="1" t="n"/>
      <c r="F929" s="1" t="n"/>
      <c r="G929" s="1" t="n"/>
      <c r="H929" s="1" t="n"/>
      <c r="I929" s="1" t="n"/>
      <c r="J929" s="1" t="n"/>
      <c r="K929" s="1" t="n"/>
      <c r="L929" s="1" t="n"/>
      <c r="M929" s="1" t="n"/>
      <c r="N929" s="1" t="n"/>
    </row>
    <row r="930" ht="15.75" customHeight="1" s="311">
      <c r="A930" s="1" t="n"/>
      <c r="B930" s="1" t="n"/>
      <c r="C930" s="1" t="n"/>
      <c r="D930" s="1" t="n"/>
      <c r="E930" s="1" t="n"/>
      <c r="F930" s="1" t="n"/>
      <c r="G930" s="1" t="n"/>
      <c r="H930" s="1" t="n"/>
      <c r="I930" s="1" t="n"/>
      <c r="J930" s="1" t="n"/>
      <c r="K930" s="1" t="n"/>
      <c r="L930" s="1" t="n"/>
      <c r="M930" s="1" t="n"/>
      <c r="N930" s="1" t="n"/>
    </row>
    <row r="931" ht="15.75" customHeight="1" s="311">
      <c r="A931" s="1" t="n"/>
      <c r="B931" s="1" t="n"/>
      <c r="C931" s="1" t="n"/>
      <c r="D931" s="1" t="n"/>
      <c r="E931" s="1" t="n"/>
      <c r="F931" s="1" t="n"/>
      <c r="G931" s="1" t="n"/>
      <c r="H931" s="1" t="n"/>
      <c r="I931" s="1" t="n"/>
      <c r="J931" s="1" t="n"/>
      <c r="K931" s="1" t="n"/>
      <c r="L931" s="1" t="n"/>
      <c r="M931" s="1" t="n"/>
      <c r="N931" s="1" t="n"/>
    </row>
    <row r="932" ht="15.75" customHeight="1" s="311">
      <c r="A932" s="1" t="n"/>
      <c r="B932" s="1" t="n"/>
      <c r="C932" s="1" t="n"/>
      <c r="D932" s="1" t="n"/>
      <c r="E932" s="1" t="n"/>
      <c r="F932" s="1" t="n"/>
      <c r="G932" s="1" t="n"/>
      <c r="H932" s="1" t="n"/>
      <c r="I932" s="1" t="n"/>
      <c r="J932" s="1" t="n"/>
      <c r="K932" s="1" t="n"/>
      <c r="L932" s="1" t="n"/>
      <c r="M932" s="1" t="n"/>
      <c r="N932" s="1" t="n"/>
    </row>
    <row r="933" ht="15.75" customHeight="1" s="311">
      <c r="A933" s="1" t="n"/>
      <c r="B933" s="1" t="n"/>
      <c r="C933" s="1" t="n"/>
      <c r="D933" s="1" t="n"/>
      <c r="E933" s="1" t="n"/>
      <c r="F933" s="1" t="n"/>
      <c r="G933" s="1" t="n"/>
      <c r="H933" s="1" t="n"/>
      <c r="I933" s="1" t="n"/>
      <c r="J933" s="1" t="n"/>
      <c r="K933" s="1" t="n"/>
      <c r="L933" s="1" t="n"/>
      <c r="M933" s="1" t="n"/>
      <c r="N933" s="1" t="n"/>
    </row>
    <row r="934" ht="15.75" customHeight="1" s="311">
      <c r="A934" s="1" t="n"/>
      <c r="B934" s="1" t="n"/>
      <c r="C934" s="1" t="n"/>
      <c r="D934" s="1" t="n"/>
      <c r="E934" s="1" t="n"/>
      <c r="F934" s="1" t="n"/>
      <c r="G934" s="1" t="n"/>
      <c r="H934" s="1" t="n"/>
      <c r="I934" s="1" t="n"/>
      <c r="J934" s="1" t="n"/>
      <c r="K934" s="1" t="n"/>
      <c r="L934" s="1" t="n"/>
      <c r="M934" s="1" t="n"/>
      <c r="N934" s="1" t="n"/>
    </row>
    <row r="935" ht="15.75" customHeight="1" s="311">
      <c r="A935" s="1" t="n"/>
      <c r="B935" s="1" t="n"/>
      <c r="C935" s="1" t="n"/>
      <c r="D935" s="1" t="n"/>
      <c r="E935" s="1" t="n"/>
      <c r="F935" s="1" t="n"/>
      <c r="G935" s="1" t="n"/>
      <c r="H935" s="1" t="n"/>
      <c r="I935" s="1" t="n"/>
      <c r="J935" s="1" t="n"/>
      <c r="K935" s="1" t="n"/>
      <c r="L935" s="1" t="n"/>
      <c r="M935" s="1" t="n"/>
      <c r="N935" s="1" t="n"/>
    </row>
    <row r="936" ht="15.75" customHeight="1" s="311">
      <c r="A936" s="1" t="n"/>
      <c r="B936" s="1" t="n"/>
      <c r="C936" s="1" t="n"/>
      <c r="D936" s="1" t="n"/>
      <c r="E936" s="1" t="n"/>
      <c r="F936" s="1" t="n"/>
      <c r="G936" s="1" t="n"/>
      <c r="H936" s="1" t="n"/>
      <c r="I936" s="1" t="n"/>
      <c r="J936" s="1" t="n"/>
      <c r="K936" s="1" t="n"/>
      <c r="L936" s="1" t="n"/>
      <c r="M936" s="1" t="n"/>
      <c r="N936" s="1" t="n"/>
    </row>
    <row r="937" ht="15.75" customHeight="1" s="311">
      <c r="A937" s="1" t="n"/>
      <c r="B937" s="1" t="n"/>
      <c r="C937" s="1" t="n"/>
      <c r="D937" s="1" t="n"/>
      <c r="E937" s="1" t="n"/>
      <c r="F937" s="1" t="n"/>
      <c r="G937" s="1" t="n"/>
      <c r="H937" s="1" t="n"/>
      <c r="I937" s="1" t="n"/>
      <c r="J937" s="1" t="n"/>
      <c r="K937" s="1" t="n"/>
      <c r="L937" s="1" t="n"/>
      <c r="M937" s="1" t="n"/>
      <c r="N937" s="1" t="n"/>
    </row>
    <row r="938" ht="15.75" customHeight="1" s="311">
      <c r="A938" s="1" t="n"/>
      <c r="B938" s="1" t="n"/>
      <c r="C938" s="1" t="n"/>
      <c r="D938" s="1" t="n"/>
      <c r="E938" s="1" t="n"/>
      <c r="F938" s="1" t="n"/>
      <c r="G938" s="1" t="n"/>
      <c r="H938" s="1" t="n"/>
      <c r="I938" s="1" t="n"/>
      <c r="J938" s="1" t="n"/>
      <c r="K938" s="1" t="n"/>
      <c r="L938" s="1" t="n"/>
      <c r="M938" s="1" t="n"/>
      <c r="N938" s="1" t="n"/>
    </row>
    <row r="939" ht="15.75" customHeight="1" s="311">
      <c r="A939" s="1" t="n"/>
      <c r="B939" s="1" t="n"/>
      <c r="C939" s="1" t="n"/>
      <c r="D939" s="1" t="n"/>
      <c r="E939" s="1" t="n"/>
      <c r="F939" s="1" t="n"/>
      <c r="G939" s="1" t="n"/>
      <c r="H939" s="1" t="n"/>
      <c r="I939" s="1" t="n"/>
      <c r="J939" s="1" t="n"/>
      <c r="K939" s="1" t="n"/>
      <c r="L939" s="1" t="n"/>
      <c r="M939" s="1" t="n"/>
      <c r="N939" s="1" t="n"/>
    </row>
    <row r="940" ht="15.75" customHeight="1" s="311">
      <c r="A940" s="1" t="n"/>
      <c r="B940" s="1" t="n"/>
      <c r="C940" s="1" t="n"/>
      <c r="D940" s="1" t="n"/>
      <c r="E940" s="1" t="n"/>
      <c r="F940" s="1" t="n"/>
      <c r="G940" s="1" t="n"/>
      <c r="H940" s="1" t="n"/>
      <c r="I940" s="1" t="n"/>
      <c r="J940" s="1" t="n"/>
      <c r="K940" s="1" t="n"/>
      <c r="L940" s="1" t="n"/>
      <c r="M940" s="1" t="n"/>
      <c r="N940" s="1" t="n"/>
    </row>
    <row r="941" ht="15.75" customHeight="1" s="311">
      <c r="A941" s="1" t="n"/>
      <c r="B941" s="1" t="n"/>
      <c r="C941" s="1" t="n"/>
      <c r="D941" s="1" t="n"/>
      <c r="E941" s="1" t="n"/>
      <c r="F941" s="1" t="n"/>
      <c r="G941" s="1" t="n"/>
      <c r="H941" s="1" t="n"/>
      <c r="I941" s="1" t="n"/>
      <c r="J941" s="1" t="n"/>
      <c r="K941" s="1" t="n"/>
      <c r="L941" s="1" t="n"/>
      <c r="M941" s="1" t="n"/>
      <c r="N941" s="1" t="n"/>
    </row>
    <row r="942" ht="15.75" customHeight="1" s="311">
      <c r="A942" s="1" t="n"/>
      <c r="B942" s="1" t="n"/>
      <c r="C942" s="1" t="n"/>
      <c r="D942" s="1" t="n"/>
      <c r="E942" s="1" t="n"/>
      <c r="F942" s="1" t="n"/>
      <c r="G942" s="1" t="n"/>
      <c r="H942" s="1" t="n"/>
      <c r="I942" s="1" t="n"/>
      <c r="J942" s="1" t="n"/>
      <c r="K942" s="1" t="n"/>
      <c r="L942" s="1" t="n"/>
      <c r="M942" s="1" t="n"/>
      <c r="N942" s="1" t="n"/>
    </row>
    <row r="943" ht="15.75" customHeight="1" s="311">
      <c r="A943" s="1" t="n"/>
      <c r="B943" s="1" t="n"/>
      <c r="C943" s="1" t="n"/>
      <c r="D943" s="1" t="n"/>
      <c r="E943" s="1" t="n"/>
      <c r="F943" s="1" t="n"/>
      <c r="G943" s="1" t="n"/>
      <c r="H943" s="1" t="n"/>
      <c r="I943" s="1" t="n"/>
      <c r="J943" s="1" t="n"/>
      <c r="K943" s="1" t="n"/>
      <c r="L943" s="1" t="n"/>
      <c r="M943" s="1" t="n"/>
      <c r="N943" s="1" t="n"/>
    </row>
    <row r="944" ht="15.75" customHeight="1" s="311">
      <c r="A944" s="1" t="n"/>
      <c r="B944" s="1" t="n"/>
      <c r="C944" s="1" t="n"/>
      <c r="D944" s="1" t="n"/>
      <c r="E944" s="1" t="n"/>
      <c r="F944" s="1" t="n"/>
      <c r="G944" s="1" t="n"/>
      <c r="H944" s="1" t="n"/>
      <c r="I944" s="1" t="n"/>
      <c r="J944" s="1" t="n"/>
      <c r="K944" s="1" t="n"/>
      <c r="L944" s="1" t="n"/>
      <c r="M944" s="1" t="n"/>
      <c r="N944" s="1" t="n"/>
    </row>
    <row r="945" ht="15.75" customHeight="1" s="311">
      <c r="A945" s="1" t="n"/>
      <c r="B945" s="1" t="n"/>
      <c r="C945" s="1" t="n"/>
      <c r="D945" s="1" t="n"/>
      <c r="E945" s="1" t="n"/>
      <c r="F945" s="1" t="n"/>
      <c r="G945" s="1" t="n"/>
      <c r="H945" s="1" t="n"/>
      <c r="I945" s="1" t="n"/>
      <c r="J945" s="1" t="n"/>
      <c r="K945" s="1" t="n"/>
      <c r="L945" s="1" t="n"/>
      <c r="M945" s="1" t="n"/>
      <c r="N945" s="1" t="n"/>
    </row>
    <row r="946" ht="15.75" customHeight="1" s="311">
      <c r="A946" s="1" t="n"/>
      <c r="B946" s="1" t="n"/>
      <c r="C946" s="1" t="n"/>
      <c r="D946" s="1" t="n"/>
      <c r="E946" s="1" t="n"/>
      <c r="F946" s="1" t="n"/>
      <c r="G946" s="1" t="n"/>
      <c r="H946" s="1" t="n"/>
      <c r="I946" s="1" t="n"/>
      <c r="J946" s="1" t="n"/>
      <c r="K946" s="1" t="n"/>
      <c r="L946" s="1" t="n"/>
      <c r="M946" s="1" t="n"/>
      <c r="N946" s="1" t="n"/>
    </row>
    <row r="947" ht="15.75" customHeight="1" s="311">
      <c r="A947" s="1" t="n"/>
      <c r="B947" s="1" t="n"/>
      <c r="C947" s="1" t="n"/>
      <c r="D947" s="1" t="n"/>
      <c r="E947" s="1" t="n"/>
      <c r="F947" s="1" t="n"/>
      <c r="G947" s="1" t="n"/>
      <c r="H947" s="1" t="n"/>
      <c r="I947" s="1" t="n"/>
      <c r="J947" s="1" t="n"/>
      <c r="K947" s="1" t="n"/>
      <c r="L947" s="1" t="n"/>
      <c r="M947" s="1" t="n"/>
      <c r="N947" s="1" t="n"/>
    </row>
    <row r="948" ht="15.75" customHeight="1" s="311">
      <c r="A948" s="1" t="n"/>
      <c r="B948" s="1" t="n"/>
      <c r="C948" s="1" t="n"/>
      <c r="D948" s="1" t="n"/>
      <c r="E948" s="1" t="n"/>
      <c r="F948" s="1" t="n"/>
      <c r="G948" s="1" t="n"/>
      <c r="H948" s="1" t="n"/>
      <c r="I948" s="1" t="n"/>
      <c r="J948" s="1" t="n"/>
      <c r="K948" s="1" t="n"/>
      <c r="L948" s="1" t="n"/>
      <c r="M948" s="1" t="n"/>
      <c r="N948" s="1" t="n"/>
    </row>
    <row r="949" ht="15.75" customHeight="1" s="311">
      <c r="A949" s="1" t="n"/>
      <c r="B949" s="1" t="n"/>
      <c r="C949" s="1" t="n"/>
      <c r="D949" s="1" t="n"/>
      <c r="E949" s="1" t="n"/>
      <c r="F949" s="1" t="n"/>
      <c r="G949" s="1" t="n"/>
      <c r="H949" s="1" t="n"/>
      <c r="I949" s="1" t="n"/>
      <c r="J949" s="1" t="n"/>
      <c r="K949" s="1" t="n"/>
      <c r="L949" s="1" t="n"/>
      <c r="M949" s="1" t="n"/>
      <c r="N949" s="1" t="n"/>
    </row>
    <row r="950" ht="15.75" customHeight="1" s="311">
      <c r="A950" s="1" t="n"/>
      <c r="B950" s="1" t="n"/>
      <c r="C950" s="1" t="n"/>
      <c r="D950" s="1" t="n"/>
      <c r="E950" s="1" t="n"/>
      <c r="F950" s="1" t="n"/>
      <c r="G950" s="1" t="n"/>
      <c r="H950" s="1" t="n"/>
      <c r="I950" s="1" t="n"/>
      <c r="J950" s="1" t="n"/>
      <c r="K950" s="1" t="n"/>
      <c r="L950" s="1" t="n"/>
      <c r="M950" s="1" t="n"/>
      <c r="N950" s="1" t="n"/>
    </row>
    <row r="951" ht="15.75" customHeight="1" s="311">
      <c r="A951" s="1" t="n"/>
      <c r="B951" s="1" t="n"/>
      <c r="C951" s="1" t="n"/>
      <c r="D951" s="1" t="n"/>
      <c r="E951" s="1" t="n"/>
      <c r="F951" s="1" t="n"/>
      <c r="G951" s="1" t="n"/>
      <c r="H951" s="1" t="n"/>
      <c r="I951" s="1" t="n"/>
      <c r="J951" s="1" t="n"/>
      <c r="K951" s="1" t="n"/>
      <c r="L951" s="1" t="n"/>
      <c r="M951" s="1" t="n"/>
      <c r="N951" s="1" t="n"/>
    </row>
    <row r="952" ht="15.75" customHeight="1" s="311">
      <c r="A952" s="1" t="n"/>
      <c r="B952" s="1" t="n"/>
      <c r="C952" s="1" t="n"/>
      <c r="D952" s="1" t="n"/>
      <c r="E952" s="1" t="n"/>
      <c r="F952" s="1" t="n"/>
      <c r="G952" s="1" t="n"/>
      <c r="H952" s="1" t="n"/>
      <c r="I952" s="1" t="n"/>
      <c r="J952" s="1" t="n"/>
      <c r="K952" s="1" t="n"/>
      <c r="L952" s="1" t="n"/>
      <c r="M952" s="1" t="n"/>
      <c r="N952" s="1" t="n"/>
    </row>
    <row r="953" ht="15.75" customHeight="1" s="311">
      <c r="A953" s="1" t="n"/>
      <c r="B953" s="1" t="n"/>
      <c r="C953" s="1" t="n"/>
      <c r="D953" s="1" t="n"/>
      <c r="E953" s="1" t="n"/>
      <c r="F953" s="1" t="n"/>
      <c r="G953" s="1" t="n"/>
      <c r="H953" s="1" t="n"/>
      <c r="I953" s="1" t="n"/>
      <c r="J953" s="1" t="n"/>
      <c r="K953" s="1" t="n"/>
      <c r="L953" s="1" t="n"/>
      <c r="M953" s="1" t="n"/>
      <c r="N953" s="1" t="n"/>
    </row>
    <row r="954" ht="15.75" customHeight="1" s="311">
      <c r="A954" s="1" t="n"/>
      <c r="B954" s="1" t="n"/>
      <c r="C954" s="1" t="n"/>
      <c r="D954" s="1" t="n"/>
      <c r="E954" s="1" t="n"/>
      <c r="F954" s="1" t="n"/>
      <c r="G954" s="1" t="n"/>
      <c r="H954" s="1" t="n"/>
      <c r="I954" s="1" t="n"/>
      <c r="J954" s="1" t="n"/>
      <c r="K954" s="1" t="n"/>
      <c r="L954" s="1" t="n"/>
      <c r="M954" s="1" t="n"/>
      <c r="N954" s="1" t="n"/>
    </row>
    <row r="955" ht="15.75" customHeight="1" s="311">
      <c r="A955" s="1" t="n"/>
      <c r="B955" s="1" t="n"/>
      <c r="C955" s="1" t="n"/>
      <c r="D955" s="1" t="n"/>
      <c r="E955" s="1" t="n"/>
      <c r="F955" s="1" t="n"/>
      <c r="G955" s="1" t="n"/>
      <c r="H955" s="1" t="n"/>
      <c r="I955" s="1" t="n"/>
      <c r="J955" s="1" t="n"/>
      <c r="K955" s="1" t="n"/>
      <c r="L955" s="1" t="n"/>
      <c r="M955" s="1" t="n"/>
      <c r="N955" s="1" t="n"/>
    </row>
    <row r="956" ht="15.75" customHeight="1" s="311">
      <c r="A956" s="1" t="n"/>
      <c r="B956" s="1" t="n"/>
      <c r="C956" s="1" t="n"/>
      <c r="D956" s="1" t="n"/>
      <c r="E956" s="1" t="n"/>
      <c r="F956" s="1" t="n"/>
      <c r="G956" s="1" t="n"/>
      <c r="H956" s="1" t="n"/>
      <c r="I956" s="1" t="n"/>
      <c r="J956" s="1" t="n"/>
      <c r="K956" s="1" t="n"/>
      <c r="L956" s="1" t="n"/>
      <c r="M956" s="1" t="n"/>
      <c r="N956" s="1" t="n"/>
    </row>
    <row r="957" ht="15.75" customHeight="1" s="311">
      <c r="A957" s="1" t="n"/>
      <c r="B957" s="1" t="n"/>
      <c r="C957" s="1" t="n"/>
      <c r="D957" s="1" t="n"/>
      <c r="E957" s="1" t="n"/>
      <c r="F957" s="1" t="n"/>
      <c r="G957" s="1" t="n"/>
      <c r="H957" s="1" t="n"/>
      <c r="I957" s="1" t="n"/>
      <c r="J957" s="1" t="n"/>
      <c r="K957" s="1" t="n"/>
      <c r="L957" s="1" t="n"/>
      <c r="M957" s="1" t="n"/>
      <c r="N957" s="1" t="n"/>
    </row>
    <row r="958" ht="15.75" customHeight="1" s="311">
      <c r="A958" s="1" t="n"/>
      <c r="B958" s="1" t="n"/>
      <c r="C958" s="1" t="n"/>
      <c r="D958" s="1" t="n"/>
      <c r="E958" s="1" t="n"/>
      <c r="F958" s="1" t="n"/>
      <c r="G958" s="1" t="n"/>
      <c r="H958" s="1" t="n"/>
      <c r="I958" s="1" t="n"/>
      <c r="J958" s="1" t="n"/>
      <c r="K958" s="1" t="n"/>
      <c r="L958" s="1" t="n"/>
      <c r="M958" s="1" t="n"/>
      <c r="N958" s="1" t="n"/>
    </row>
    <row r="959" ht="15.75" customHeight="1" s="311">
      <c r="A959" s="1" t="n"/>
      <c r="B959" s="1" t="n"/>
      <c r="C959" s="1" t="n"/>
      <c r="D959" s="1" t="n"/>
      <c r="E959" s="1" t="n"/>
      <c r="F959" s="1" t="n"/>
      <c r="G959" s="1" t="n"/>
      <c r="H959" s="1" t="n"/>
      <c r="I959" s="1" t="n"/>
      <c r="J959" s="1" t="n"/>
      <c r="K959" s="1" t="n"/>
      <c r="L959" s="1" t="n"/>
      <c r="M959" s="1" t="n"/>
      <c r="N959" s="1" t="n"/>
    </row>
    <row r="960" ht="15.75" customHeight="1" s="311">
      <c r="A960" s="1" t="n"/>
      <c r="B960" s="1" t="n"/>
      <c r="C960" s="1" t="n"/>
      <c r="D960" s="1" t="n"/>
      <c r="E960" s="1" t="n"/>
      <c r="F960" s="1" t="n"/>
      <c r="G960" s="1" t="n"/>
      <c r="H960" s="1" t="n"/>
      <c r="I960" s="1" t="n"/>
      <c r="J960" s="1" t="n"/>
      <c r="K960" s="1" t="n"/>
      <c r="L960" s="1" t="n"/>
      <c r="M960" s="1" t="n"/>
      <c r="N960" s="1" t="n"/>
    </row>
    <row r="961" ht="15.75" customHeight="1" s="311">
      <c r="A961" s="1" t="n"/>
      <c r="B961" s="1" t="n"/>
      <c r="C961" s="1" t="n"/>
      <c r="D961" s="1" t="n"/>
      <c r="E961" s="1" t="n"/>
      <c r="F961" s="1" t="n"/>
      <c r="G961" s="1" t="n"/>
      <c r="H961" s="1" t="n"/>
      <c r="I961" s="1" t="n"/>
      <c r="J961" s="1" t="n"/>
      <c r="K961" s="1" t="n"/>
      <c r="L961" s="1" t="n"/>
      <c r="M961" s="1" t="n"/>
      <c r="N961" s="1" t="n"/>
    </row>
    <row r="962" ht="15.75" customHeight="1" s="311">
      <c r="A962" s="1" t="n"/>
      <c r="B962" s="1" t="n"/>
      <c r="C962" s="1" t="n"/>
      <c r="D962" s="1" t="n"/>
      <c r="E962" s="1" t="n"/>
      <c r="F962" s="1" t="n"/>
      <c r="G962" s="1" t="n"/>
      <c r="H962" s="1" t="n"/>
      <c r="I962" s="1" t="n"/>
      <c r="J962" s="1" t="n"/>
      <c r="K962" s="1" t="n"/>
      <c r="L962" s="1" t="n"/>
      <c r="M962" s="1" t="n"/>
      <c r="N962" s="1" t="n"/>
    </row>
    <row r="963" ht="15.75" customHeight="1" s="311">
      <c r="A963" s="1" t="n"/>
      <c r="B963" s="1" t="n"/>
      <c r="C963" s="1" t="n"/>
      <c r="D963" s="1" t="n"/>
      <c r="E963" s="1" t="n"/>
      <c r="F963" s="1" t="n"/>
      <c r="G963" s="1" t="n"/>
      <c r="H963" s="1" t="n"/>
      <c r="I963" s="1" t="n"/>
      <c r="J963" s="1" t="n"/>
      <c r="K963" s="1" t="n"/>
      <c r="L963" s="1" t="n"/>
      <c r="M963" s="1" t="n"/>
      <c r="N963" s="1" t="n"/>
    </row>
    <row r="964" ht="15.75" customHeight="1" s="311">
      <c r="A964" s="1" t="n"/>
      <c r="B964" s="1" t="n"/>
      <c r="C964" s="1" t="n"/>
      <c r="D964" s="1" t="n"/>
      <c r="E964" s="1" t="n"/>
      <c r="F964" s="1" t="n"/>
      <c r="G964" s="1" t="n"/>
      <c r="H964" s="1" t="n"/>
      <c r="I964" s="1" t="n"/>
      <c r="J964" s="1" t="n"/>
      <c r="K964" s="1" t="n"/>
      <c r="L964" s="1" t="n"/>
      <c r="M964" s="1" t="n"/>
      <c r="N964" s="1" t="n"/>
    </row>
    <row r="965" ht="15.75" customHeight="1" s="311">
      <c r="A965" s="1" t="n"/>
      <c r="B965" s="1" t="n"/>
      <c r="C965" s="1" t="n"/>
      <c r="D965" s="1" t="n"/>
      <c r="E965" s="1" t="n"/>
      <c r="F965" s="1" t="n"/>
      <c r="G965" s="1" t="n"/>
      <c r="H965" s="1" t="n"/>
      <c r="I965" s="1" t="n"/>
      <c r="J965" s="1" t="n"/>
      <c r="K965" s="1" t="n"/>
      <c r="L965" s="1" t="n"/>
      <c r="M965" s="1" t="n"/>
      <c r="N965" s="1" t="n"/>
    </row>
    <row r="966" ht="15.75" customHeight="1" s="311">
      <c r="A966" s="1" t="n"/>
      <c r="B966" s="1" t="n"/>
      <c r="C966" s="1" t="n"/>
      <c r="D966" s="1" t="n"/>
      <c r="E966" s="1" t="n"/>
      <c r="F966" s="1" t="n"/>
      <c r="G966" s="1" t="n"/>
      <c r="H966" s="1" t="n"/>
      <c r="I966" s="1" t="n"/>
      <c r="J966" s="1" t="n"/>
      <c r="K966" s="1" t="n"/>
      <c r="L966" s="1" t="n"/>
      <c r="M966" s="1" t="n"/>
      <c r="N966" s="1" t="n"/>
    </row>
    <row r="967" ht="15.75" customHeight="1" s="311">
      <c r="A967" s="1" t="n"/>
      <c r="B967" s="1" t="n"/>
      <c r="C967" s="1" t="n"/>
      <c r="D967" s="1" t="n"/>
      <c r="E967" s="1" t="n"/>
      <c r="F967" s="1" t="n"/>
      <c r="G967" s="1" t="n"/>
      <c r="H967" s="1" t="n"/>
      <c r="I967" s="1" t="n"/>
      <c r="J967" s="1" t="n"/>
      <c r="K967" s="1" t="n"/>
      <c r="L967" s="1" t="n"/>
      <c r="M967" s="1" t="n"/>
      <c r="N967" s="1" t="n"/>
    </row>
    <row r="968" ht="15.75" customHeight="1" s="311">
      <c r="A968" s="1" t="n"/>
      <c r="B968" s="1" t="n"/>
      <c r="C968" s="1" t="n"/>
      <c r="D968" s="1" t="n"/>
      <c r="E968" s="1" t="n"/>
      <c r="F968" s="1" t="n"/>
      <c r="G968" s="1" t="n"/>
      <c r="H968" s="1" t="n"/>
      <c r="I968" s="1" t="n"/>
      <c r="J968" s="1" t="n"/>
      <c r="K968" s="1" t="n"/>
      <c r="L968" s="1" t="n"/>
      <c r="M968" s="1" t="n"/>
      <c r="N968" s="1" t="n"/>
    </row>
    <row r="969" ht="15.75" customHeight="1" s="311">
      <c r="A969" s="1" t="n"/>
      <c r="B969" s="1" t="n"/>
      <c r="C969" s="1" t="n"/>
      <c r="D969" s="1" t="n"/>
      <c r="E969" s="1" t="n"/>
      <c r="F969" s="1" t="n"/>
      <c r="G969" s="1" t="n"/>
      <c r="H969" s="1" t="n"/>
      <c r="I969" s="1" t="n"/>
      <c r="J969" s="1" t="n"/>
      <c r="K969" s="1" t="n"/>
      <c r="L969" s="1" t="n"/>
      <c r="M969" s="1" t="n"/>
      <c r="N969" s="1" t="n"/>
    </row>
    <row r="970" ht="15.75" customHeight="1" s="311">
      <c r="A970" s="1" t="n"/>
      <c r="B970" s="1" t="n"/>
      <c r="C970" s="1" t="n"/>
      <c r="D970" s="1" t="n"/>
      <c r="E970" s="1" t="n"/>
      <c r="F970" s="1" t="n"/>
      <c r="G970" s="1" t="n"/>
      <c r="H970" s="1" t="n"/>
      <c r="I970" s="1" t="n"/>
      <c r="J970" s="1" t="n"/>
      <c r="K970" s="1" t="n"/>
      <c r="L970" s="1" t="n"/>
      <c r="M970" s="1" t="n"/>
      <c r="N970" s="1" t="n"/>
    </row>
    <row r="971" ht="15.75" customHeight="1" s="311">
      <c r="A971" s="1" t="n"/>
      <c r="B971" s="1" t="n"/>
      <c r="C971" s="1" t="n"/>
      <c r="D971" s="1" t="n"/>
      <c r="E971" s="1" t="n"/>
      <c r="F971" s="1" t="n"/>
      <c r="G971" s="1" t="n"/>
      <c r="H971" s="1" t="n"/>
      <c r="I971" s="1" t="n"/>
      <c r="J971" s="1" t="n"/>
      <c r="K971" s="1" t="n"/>
      <c r="L971" s="1" t="n"/>
      <c r="M971" s="1" t="n"/>
      <c r="N971" s="1" t="n"/>
    </row>
    <row r="972" ht="15.75" customHeight="1" s="311">
      <c r="A972" s="1" t="n"/>
      <c r="B972" s="1" t="n"/>
      <c r="C972" s="1" t="n"/>
      <c r="D972" s="1" t="n"/>
      <c r="E972" s="1" t="n"/>
      <c r="F972" s="1" t="n"/>
      <c r="G972" s="1" t="n"/>
      <c r="H972" s="1" t="n"/>
      <c r="I972" s="1" t="n"/>
      <c r="J972" s="1" t="n"/>
      <c r="K972" s="1" t="n"/>
      <c r="L972" s="1" t="n"/>
      <c r="M972" s="1" t="n"/>
      <c r="N972" s="1" t="n"/>
    </row>
    <row r="973" ht="15.75" customHeight="1" s="311">
      <c r="A973" s="1" t="n"/>
      <c r="B973" s="1" t="n"/>
      <c r="C973" s="1" t="n"/>
      <c r="D973" s="1" t="n"/>
      <c r="E973" s="1" t="n"/>
      <c r="F973" s="1" t="n"/>
      <c r="G973" s="1" t="n"/>
      <c r="H973" s="1" t="n"/>
      <c r="I973" s="1" t="n"/>
      <c r="J973" s="1" t="n"/>
      <c r="K973" s="1" t="n"/>
      <c r="L973" s="1" t="n"/>
      <c r="M973" s="1" t="n"/>
      <c r="N973" s="1" t="n"/>
    </row>
    <row r="974" ht="15.75" customHeight="1" s="311">
      <c r="A974" s="1" t="n"/>
      <c r="B974" s="1" t="n"/>
      <c r="C974" s="1" t="n"/>
      <c r="D974" s="1" t="n"/>
      <c r="E974" s="1" t="n"/>
      <c r="F974" s="1" t="n"/>
      <c r="G974" s="1" t="n"/>
      <c r="H974" s="1" t="n"/>
      <c r="I974" s="1" t="n"/>
      <c r="J974" s="1" t="n"/>
      <c r="K974" s="1" t="n"/>
      <c r="L974" s="1" t="n"/>
      <c r="M974" s="1" t="n"/>
      <c r="N974" s="1" t="n"/>
    </row>
    <row r="975" ht="15.75" customHeight="1" s="311">
      <c r="A975" s="1" t="n"/>
      <c r="B975" s="1" t="n"/>
      <c r="C975" s="1" t="n"/>
      <c r="D975" s="1" t="n"/>
      <c r="E975" s="1" t="n"/>
      <c r="F975" s="1" t="n"/>
      <c r="G975" s="1" t="n"/>
      <c r="H975" s="1" t="n"/>
      <c r="I975" s="1" t="n"/>
      <c r="J975" s="1" t="n"/>
      <c r="K975" s="1" t="n"/>
      <c r="L975" s="1" t="n"/>
      <c r="M975" s="1" t="n"/>
      <c r="N975" s="1" t="n"/>
    </row>
    <row r="976" ht="15.75" customHeight="1" s="311">
      <c r="A976" s="1" t="n"/>
      <c r="B976" s="1" t="n"/>
      <c r="C976" s="1" t="n"/>
      <c r="D976" s="1" t="n"/>
      <c r="E976" s="1" t="n"/>
      <c r="F976" s="1" t="n"/>
      <c r="G976" s="1" t="n"/>
      <c r="H976" s="1" t="n"/>
      <c r="I976" s="1" t="n"/>
      <c r="J976" s="1" t="n"/>
      <c r="K976" s="1" t="n"/>
      <c r="L976" s="1" t="n"/>
      <c r="M976" s="1" t="n"/>
      <c r="N976" s="1" t="n"/>
    </row>
    <row r="977" ht="15.75" customHeight="1" s="311">
      <c r="A977" s="1" t="n"/>
      <c r="B977" s="1" t="n"/>
      <c r="C977" s="1" t="n"/>
      <c r="D977" s="1" t="n"/>
      <c r="E977" s="1" t="n"/>
      <c r="F977" s="1" t="n"/>
      <c r="G977" s="1" t="n"/>
      <c r="H977" s="1" t="n"/>
      <c r="I977" s="1" t="n"/>
      <c r="J977" s="1" t="n"/>
      <c r="K977" s="1" t="n"/>
      <c r="L977" s="1" t="n"/>
      <c r="M977" s="1" t="n"/>
      <c r="N977" s="1" t="n"/>
    </row>
    <row r="978" ht="15.75" customHeight="1" s="311">
      <c r="A978" s="1" t="n"/>
      <c r="B978" s="1" t="n"/>
      <c r="C978" s="1" t="n"/>
      <c r="D978" s="1" t="n"/>
      <c r="E978" s="1" t="n"/>
      <c r="F978" s="1" t="n"/>
      <c r="G978" s="1" t="n"/>
      <c r="H978" s="1" t="n"/>
      <c r="I978" s="1" t="n"/>
      <c r="J978" s="1" t="n"/>
      <c r="K978" s="1" t="n"/>
      <c r="L978" s="1" t="n"/>
      <c r="M978" s="1" t="n"/>
      <c r="N978" s="1" t="n"/>
    </row>
    <row r="979" ht="15.75" customHeight="1" s="311">
      <c r="A979" s="1" t="n"/>
      <c r="B979" s="1" t="n"/>
      <c r="C979" s="1" t="n"/>
      <c r="D979" s="1" t="n"/>
      <c r="E979" s="1" t="n"/>
      <c r="F979" s="1" t="n"/>
      <c r="G979" s="1" t="n"/>
      <c r="H979" s="1" t="n"/>
      <c r="I979" s="1" t="n"/>
      <c r="J979" s="1" t="n"/>
      <c r="K979" s="1" t="n"/>
      <c r="L979" s="1" t="n"/>
      <c r="M979" s="1" t="n"/>
      <c r="N979" s="1" t="n"/>
    </row>
    <row r="980" ht="15.75" customHeight="1" s="311">
      <c r="A980" s="1" t="n"/>
      <c r="B980" s="1" t="n"/>
      <c r="C980" s="1" t="n"/>
      <c r="D980" s="1" t="n"/>
      <c r="E980" s="1" t="n"/>
      <c r="F980" s="1" t="n"/>
      <c r="G980" s="1" t="n"/>
      <c r="H980" s="1" t="n"/>
      <c r="I980" s="1" t="n"/>
      <c r="J980" s="1" t="n"/>
      <c r="K980" s="1" t="n"/>
      <c r="L980" s="1" t="n"/>
      <c r="M980" s="1" t="n"/>
      <c r="N980" s="1" t="n"/>
    </row>
    <row r="981" ht="15.75" customHeight="1" s="311">
      <c r="A981" s="1" t="n"/>
      <c r="B981" s="1" t="n"/>
      <c r="C981" s="1" t="n"/>
      <c r="D981" s="1" t="n"/>
      <c r="E981" s="1" t="n"/>
      <c r="F981" s="1" t="n"/>
      <c r="G981" s="1" t="n"/>
      <c r="H981" s="1" t="n"/>
      <c r="I981" s="1" t="n"/>
      <c r="J981" s="1" t="n"/>
      <c r="K981" s="1" t="n"/>
      <c r="L981" s="1" t="n"/>
      <c r="M981" s="1" t="n"/>
      <c r="N981" s="1" t="n"/>
    </row>
    <row r="982" ht="15.75" customHeight="1" s="311">
      <c r="A982" s="1" t="n"/>
      <c r="B982" s="1" t="n"/>
      <c r="C982" s="1" t="n"/>
      <c r="D982" s="1" t="n"/>
      <c r="E982" s="1" t="n"/>
      <c r="F982" s="1" t="n"/>
      <c r="G982" s="1" t="n"/>
      <c r="H982" s="1" t="n"/>
      <c r="I982" s="1" t="n"/>
      <c r="J982" s="1" t="n"/>
      <c r="K982" s="1" t="n"/>
      <c r="L982" s="1" t="n"/>
      <c r="M982" s="1" t="n"/>
      <c r="N982" s="1" t="n"/>
    </row>
    <row r="983" ht="15.75" customHeight="1" s="311">
      <c r="A983" s="1" t="n"/>
      <c r="B983" s="1" t="n"/>
      <c r="C983" s="1" t="n"/>
      <c r="D983" s="1" t="n"/>
      <c r="E983" s="1" t="n"/>
      <c r="F983" s="1" t="n"/>
      <c r="G983" s="1" t="n"/>
      <c r="H983" s="1" t="n"/>
      <c r="I983" s="1" t="n"/>
      <c r="J983" s="1" t="n"/>
      <c r="K983" s="1" t="n"/>
      <c r="L983" s="1" t="n"/>
      <c r="M983" s="1" t="n"/>
      <c r="N983" s="1" t="n"/>
    </row>
    <row r="984" ht="15.75" customHeight="1" s="311">
      <c r="A984" s="1" t="n"/>
      <c r="B984" s="1" t="n"/>
      <c r="C984" s="1" t="n"/>
      <c r="D984" s="1" t="n"/>
      <c r="E984" s="1" t="n"/>
      <c r="F984" s="1" t="n"/>
      <c r="G984" s="1" t="n"/>
      <c r="H984" s="1" t="n"/>
      <c r="I984" s="1" t="n"/>
      <c r="J984" s="1" t="n"/>
      <c r="K984" s="1" t="n"/>
      <c r="L984" s="1" t="n"/>
      <c r="M984" s="1" t="n"/>
      <c r="N984" s="1" t="n"/>
    </row>
    <row r="985" ht="15.75" customHeight="1" s="311">
      <c r="A985" s="1" t="n"/>
      <c r="B985" s="1" t="n"/>
      <c r="C985" s="1" t="n"/>
      <c r="D985" s="1" t="n"/>
      <c r="E985" s="1" t="n"/>
      <c r="F985" s="1" t="n"/>
      <c r="G985" s="1" t="n"/>
      <c r="H985" s="1" t="n"/>
      <c r="I985" s="1" t="n"/>
      <c r="J985" s="1" t="n"/>
      <c r="K985" s="1" t="n"/>
      <c r="L985" s="1" t="n"/>
      <c r="M985" s="1" t="n"/>
      <c r="N985" s="1" t="n"/>
    </row>
    <row r="986" ht="15.75" customHeight="1" s="311">
      <c r="A986" s="1" t="n"/>
      <c r="B986" s="1" t="n"/>
      <c r="C986" s="1" t="n"/>
      <c r="D986" s="1" t="n"/>
      <c r="E986" s="1" t="n"/>
      <c r="F986" s="1" t="n"/>
      <c r="G986" s="1" t="n"/>
      <c r="H986" s="1" t="n"/>
      <c r="I986" s="1" t="n"/>
      <c r="J986" s="1" t="n"/>
      <c r="K986" s="1" t="n"/>
      <c r="L986" s="1" t="n"/>
      <c r="M986" s="1" t="n"/>
      <c r="N986" s="1" t="n"/>
    </row>
    <row r="987" ht="15.75" customHeight="1" s="311">
      <c r="A987" s="1" t="n"/>
      <c r="B987" s="1" t="n"/>
      <c r="C987" s="1" t="n"/>
      <c r="D987" s="1" t="n"/>
      <c r="E987" s="1" t="n"/>
      <c r="F987" s="1" t="n"/>
      <c r="G987" s="1" t="n"/>
      <c r="H987" s="1" t="n"/>
      <c r="I987" s="1" t="n"/>
      <c r="J987" s="1" t="n"/>
      <c r="K987" s="1" t="n"/>
      <c r="L987" s="1" t="n"/>
      <c r="M987" s="1" t="n"/>
      <c r="N987" s="1" t="n"/>
    </row>
    <row r="988" ht="15.75" customHeight="1" s="311">
      <c r="A988" s="1" t="n"/>
      <c r="B988" s="1" t="n"/>
      <c r="C988" s="1" t="n"/>
      <c r="D988" s="1" t="n"/>
      <c r="E988" s="1" t="n"/>
      <c r="F988" s="1" t="n"/>
      <c r="G988" s="1" t="n"/>
      <c r="H988" s="1" t="n"/>
      <c r="I988" s="1" t="n"/>
      <c r="J988" s="1" t="n"/>
      <c r="K988" s="1" t="n"/>
      <c r="L988" s="1" t="n"/>
      <c r="M988" s="1" t="n"/>
      <c r="N988" s="1" t="n"/>
    </row>
    <row r="989" ht="15.75" customHeight="1" s="311">
      <c r="A989" s="1" t="n"/>
      <c r="B989" s="1" t="n"/>
      <c r="C989" s="1" t="n"/>
      <c r="D989" s="1" t="n"/>
      <c r="E989" s="1" t="n"/>
      <c r="F989" s="1" t="n"/>
      <c r="G989" s="1" t="n"/>
      <c r="H989" s="1" t="n"/>
      <c r="I989" s="1" t="n"/>
      <c r="J989" s="1" t="n"/>
      <c r="K989" s="1" t="n"/>
      <c r="L989" s="1" t="n"/>
      <c r="M989" s="1" t="n"/>
      <c r="N989" s="1" t="n"/>
    </row>
    <row r="990" ht="15.75" customHeight="1" s="311">
      <c r="A990" s="1" t="n"/>
      <c r="B990" s="1" t="n"/>
      <c r="C990" s="1" t="n"/>
      <c r="D990" s="1" t="n"/>
      <c r="E990" s="1" t="n"/>
      <c r="F990" s="1" t="n"/>
      <c r="G990" s="1" t="n"/>
      <c r="H990" s="1" t="n"/>
      <c r="I990" s="1" t="n"/>
      <c r="J990" s="1" t="n"/>
      <c r="K990" s="1" t="n"/>
      <c r="L990" s="1" t="n"/>
      <c r="M990" s="1" t="n"/>
      <c r="N990" s="1" t="n"/>
    </row>
    <row r="991" ht="15.75" customHeight="1" s="311">
      <c r="A991" s="1" t="n"/>
      <c r="B991" s="1" t="n"/>
      <c r="C991" s="1" t="n"/>
      <c r="D991" s="1" t="n"/>
      <c r="E991" s="1" t="n"/>
      <c r="F991" s="1" t="n"/>
      <c r="G991" s="1" t="n"/>
      <c r="H991" s="1" t="n"/>
      <c r="I991" s="1" t="n"/>
      <c r="J991" s="1" t="n"/>
      <c r="K991" s="1" t="n"/>
      <c r="L991" s="1" t="n"/>
      <c r="M991" s="1" t="n"/>
      <c r="N991" s="1" t="n"/>
    </row>
    <row r="992" ht="15.75" customHeight="1" s="311">
      <c r="A992" s="1" t="n"/>
      <c r="B992" s="1" t="n"/>
      <c r="C992" s="1" t="n"/>
      <c r="D992" s="1" t="n"/>
      <c r="E992" s="1" t="n"/>
      <c r="F992" s="1" t="n"/>
      <c r="G992" s="1" t="n"/>
      <c r="H992" s="1" t="n"/>
      <c r="I992" s="1" t="n"/>
      <c r="J992" s="1" t="n"/>
      <c r="K992" s="1" t="n"/>
      <c r="L992" s="1" t="n"/>
      <c r="M992" s="1" t="n"/>
      <c r="N992" s="1" t="n"/>
    </row>
    <row r="993" ht="15.75" customHeight="1" s="311">
      <c r="A993" s="1" t="n"/>
      <c r="B993" s="1" t="n"/>
      <c r="C993" s="1" t="n"/>
      <c r="D993" s="1" t="n"/>
      <c r="E993" s="1" t="n"/>
      <c r="F993" s="1" t="n"/>
      <c r="G993" s="1" t="n"/>
      <c r="H993" s="1" t="n"/>
      <c r="I993" s="1" t="n"/>
      <c r="J993" s="1" t="n"/>
      <c r="K993" s="1" t="n"/>
      <c r="L993" s="1" t="n"/>
      <c r="M993" s="1" t="n"/>
      <c r="N993" s="1" t="n"/>
    </row>
    <row r="994" ht="15.75" customHeight="1" s="311">
      <c r="A994" s="1" t="n"/>
      <c r="B994" s="1" t="n"/>
      <c r="C994" s="1" t="n"/>
      <c r="D994" s="1" t="n"/>
      <c r="E994" s="1" t="n"/>
      <c r="F994" s="1" t="n"/>
      <c r="G994" s="1" t="n"/>
      <c r="H994" s="1" t="n"/>
      <c r="I994" s="1" t="n"/>
      <c r="J994" s="1" t="n"/>
      <c r="K994" s="1" t="n"/>
      <c r="L994" s="1" t="n"/>
      <c r="M994" s="1" t="n"/>
      <c r="N994" s="1" t="n"/>
    </row>
    <row r="995" ht="15.75" customHeight="1" s="311">
      <c r="A995" s="1" t="n"/>
      <c r="B995" s="1" t="n"/>
      <c r="C995" s="1" t="n"/>
      <c r="D995" s="1" t="n"/>
      <c r="E995" s="1" t="n"/>
      <c r="F995" s="1" t="n"/>
      <c r="G995" s="1" t="n"/>
      <c r="H995" s="1" t="n"/>
      <c r="I995" s="1" t="n"/>
      <c r="J995" s="1" t="n"/>
      <c r="K995" s="1" t="n"/>
      <c r="L995" s="1" t="n"/>
      <c r="M995" s="1" t="n"/>
      <c r="N995" s="1" t="n"/>
    </row>
    <row r="996" ht="15.75" customHeight="1" s="311">
      <c r="A996" s="1" t="n"/>
      <c r="B996" s="1" t="n"/>
      <c r="C996" s="1" t="n"/>
      <c r="D996" s="1" t="n"/>
      <c r="E996" s="1" t="n"/>
      <c r="F996" s="1" t="n"/>
      <c r="G996" s="1" t="n"/>
      <c r="H996" s="1" t="n"/>
      <c r="I996" s="1" t="n"/>
      <c r="J996" s="1" t="n"/>
      <c r="K996" s="1" t="n"/>
      <c r="L996" s="1" t="n"/>
      <c r="M996" s="1" t="n"/>
      <c r="N996" s="1" t="n"/>
    </row>
    <row r="997" ht="15.75" customHeight="1" s="311">
      <c r="A997" s="1" t="n"/>
      <c r="B997" s="1" t="n"/>
      <c r="C997" s="1" t="n"/>
      <c r="D997" s="1" t="n"/>
      <c r="E997" s="1" t="n"/>
      <c r="F997" s="1" t="n"/>
      <c r="G997" s="1" t="n"/>
      <c r="H997" s="1" t="n"/>
      <c r="I997" s="1" t="n"/>
      <c r="J997" s="1" t="n"/>
      <c r="K997" s="1" t="n"/>
      <c r="L997" s="1" t="n"/>
      <c r="M997" s="1" t="n"/>
      <c r="N997" s="1" t="n"/>
    </row>
    <row r="998" ht="15.75" customHeight="1" s="311">
      <c r="A998" s="1" t="n"/>
      <c r="B998" s="1" t="n"/>
      <c r="C998" s="1" t="n"/>
      <c r="D998" s="1" t="n"/>
      <c r="E998" s="1" t="n"/>
      <c r="F998" s="1" t="n"/>
      <c r="G998" s="1" t="n"/>
      <c r="H998" s="1" t="n"/>
      <c r="I998" s="1" t="n"/>
      <c r="J998" s="1" t="n"/>
      <c r="K998" s="1" t="n"/>
      <c r="L998" s="1" t="n"/>
      <c r="M998" s="1" t="n"/>
      <c r="N998" s="1" t="n"/>
    </row>
    <row r="999" ht="15.75" customHeight="1" s="311">
      <c r="A999" s="1" t="n"/>
      <c r="B999" s="1" t="n"/>
      <c r="C999" s="1" t="n"/>
      <c r="D999" s="1" t="n"/>
      <c r="E999" s="1" t="n"/>
      <c r="F999" s="1" t="n"/>
      <c r="G999" s="1" t="n"/>
      <c r="H999" s="1" t="n"/>
      <c r="I999" s="1" t="n"/>
      <c r="J999" s="1" t="n"/>
      <c r="K999" s="1" t="n"/>
      <c r="L999" s="1" t="n"/>
      <c r="M999" s="1" t="n"/>
      <c r="N999" s="1" t="n"/>
    </row>
    <row r="1000" ht="15.75" customHeight="1" s="311">
      <c r="A1000" s="1" t="n"/>
      <c r="B1000" s="1" t="n"/>
      <c r="C1000" s="1" t="n"/>
      <c r="D1000" s="1" t="n"/>
      <c r="E1000" s="1" t="n"/>
      <c r="F1000" s="1" t="n"/>
      <c r="G1000" s="1" t="n"/>
      <c r="H1000" s="1" t="n"/>
      <c r="I1000" s="1" t="n"/>
      <c r="J1000" s="1" t="n"/>
      <c r="K1000" s="1" t="n"/>
      <c r="L1000" s="1" t="n"/>
      <c r="M1000" s="1" t="n"/>
      <c r="N1000" s="1" t="n"/>
    </row>
  </sheetData>
  <mergeCells count="2">
    <mergeCell ref="B2:F2"/>
    <mergeCell ref="B34:F35"/>
  </mergeCells>
  <conditionalFormatting sqref="D5:H32">
    <cfRule type="expression" priority="1" dxfId="14">
      <formula>AND($C5&lt;&gt;"",$C5&lt;&gt;"—",D$4=$C5)</formula>
    </cfRule>
  </conditionalFormatting>
  <pageMargins left="0.75" right="0.75" top="1" bottom="1" header="0" footer="0"/>
  <pageSetup orientation="portrait" paperSize="9"/>
  <drawing xmlns:r="http://schemas.openxmlformats.org/officeDocument/2006/relationships" r:id="rId1"/>
</worksheet>
</file>

<file path=xl/worksheets/sheet18.xml><?xml version="1.0" encoding="utf-8"?>
<worksheet xmlns="http://schemas.openxmlformats.org/spreadsheetml/2006/main">
  <sheetPr>
    <tabColor rgb="FF9AA7B4"/>
    <outlinePr summaryBelow="1" summaryRight="1"/>
    <pageSetUpPr/>
  </sheetPr>
  <dimension ref="A1:Z1000"/>
  <sheetViews>
    <sheetView showGridLines="0" workbookViewId="0">
      <selection activeCell="A1" sqref="A1"/>
    </sheetView>
  </sheetViews>
  <sheetFormatPr baseColWidth="8" defaultColWidth="14.43" defaultRowHeight="15" customHeight="1"/>
  <cols>
    <col width="4" customWidth="1" style="311" min="1" max="1"/>
    <col width="26" customWidth="1" style="311" min="2" max="2"/>
    <col width="84" customWidth="1" style="311" min="3" max="3"/>
    <col width="72" customWidth="1" style="311" min="4" max="4"/>
    <col width="8.710000000000001" customWidth="1" style="311" min="5" max="6"/>
  </cols>
  <sheetData>
    <row r="1" ht="19.5" customHeight="1" s="311">
      <c r="A1" s="145" t="n"/>
      <c r="B1" s="264" t="inlineStr">
        <is>
          <t>LÉEME  —  Tesorería y escenarios</t>
        </is>
      </c>
      <c r="C1" s="145" t="n"/>
      <c r="D1" s="145" t="n"/>
      <c r="E1" s="145" t="n"/>
      <c r="F1" s="145" t="n"/>
      <c r="G1" s="145" t="n"/>
      <c r="H1" s="145" t="n"/>
      <c r="I1" s="145" t="n"/>
      <c r="J1" s="145" t="n"/>
      <c r="K1" s="145" t="n"/>
      <c r="L1" s="145" t="n"/>
      <c r="M1" s="145" t="n"/>
      <c r="N1" s="145" t="n"/>
      <c r="O1" s="145" t="n"/>
      <c r="P1" s="145" t="n"/>
      <c r="Q1" s="145" t="n"/>
      <c r="R1" s="145" t="n"/>
      <c r="S1" s="145" t="n"/>
      <c r="T1" s="145" t="n"/>
      <c r="U1" s="145" t="n"/>
      <c r="V1" s="145" t="n"/>
      <c r="W1" s="145" t="n"/>
      <c r="X1" s="145" t="n"/>
      <c r="Y1" s="145" t="n"/>
      <c r="Z1" s="145" t="n"/>
    </row>
    <row r="2" ht="42.75" customHeight="1" s="311">
      <c r="A2" s="145" t="n"/>
      <c r="B2" s="20" t="inlineStr">
        <is>
          <t>Libro nuevo construido a partir de tu "Tesoreria Diaria.xlsx". Original, con gráficos, y probado para Google Sheets.</t>
        </is>
      </c>
      <c r="C2" s="145" t="n"/>
      <c r="D2" s="145" t="n"/>
      <c r="E2" s="145" t="n"/>
      <c r="F2" s="145" t="n"/>
      <c r="G2" s="145" t="n"/>
      <c r="H2" s="145" t="n"/>
      <c r="I2" s="145" t="n"/>
      <c r="J2" s="145" t="n"/>
      <c r="K2" s="145" t="n"/>
      <c r="L2" s="145" t="n"/>
      <c r="M2" s="145" t="n"/>
      <c r="N2" s="145" t="n"/>
      <c r="O2" s="145" t="n"/>
      <c r="P2" s="145" t="n"/>
      <c r="Q2" s="145" t="n"/>
      <c r="R2" s="145" t="n"/>
      <c r="S2" s="145" t="n"/>
      <c r="T2" s="145" t="n"/>
      <c r="U2" s="145" t="n"/>
      <c r="V2" s="145" t="n"/>
      <c r="W2" s="145" t="n"/>
      <c r="X2" s="145" t="n"/>
      <c r="Y2" s="145" t="n"/>
      <c r="Z2" s="145" t="n"/>
    </row>
    <row r="3">
      <c r="A3" s="145" t="n"/>
      <c r="B3" s="145" t="n"/>
      <c r="C3" s="145" t="n"/>
      <c r="D3" s="145" t="n"/>
      <c r="E3" s="145" t="n"/>
      <c r="F3" s="145" t="n"/>
      <c r="G3" s="145" t="n"/>
      <c r="H3" s="145" t="n"/>
      <c r="I3" s="145" t="n"/>
      <c r="J3" s="145" t="n"/>
      <c r="K3" s="145" t="n"/>
      <c r="L3" s="145" t="n"/>
      <c r="M3" s="145" t="n"/>
      <c r="N3" s="145" t="n"/>
      <c r="O3" s="145" t="n"/>
      <c r="P3" s="145" t="n"/>
      <c r="Q3" s="145" t="n"/>
      <c r="R3" s="145" t="n"/>
      <c r="S3" s="145" t="n"/>
      <c r="T3" s="145" t="n"/>
      <c r="U3" s="145" t="n"/>
      <c r="V3" s="145" t="n"/>
      <c r="W3" s="145" t="n"/>
      <c r="X3" s="145" t="n"/>
      <c r="Y3" s="145" t="n"/>
      <c r="Z3" s="145" t="n"/>
    </row>
    <row r="4" ht="21.75" customHeight="1" s="311">
      <c r="A4" s="21" t="inlineStr">
        <is>
          <t>1.  LAS 20 HOJAS</t>
        </is>
      </c>
      <c r="B4" s="22" t="n"/>
      <c r="C4" s="22" t="n"/>
      <c r="D4" s="22" t="n"/>
      <c r="E4" s="145" t="n"/>
      <c r="F4" s="145" t="n"/>
      <c r="G4" s="145" t="n"/>
      <c r="H4" s="145" t="n"/>
      <c r="I4" s="145" t="n"/>
      <c r="J4" s="145" t="n"/>
      <c r="K4" s="145" t="n"/>
      <c r="L4" s="145" t="n"/>
      <c r="M4" s="145" t="n"/>
      <c r="N4" s="145" t="n"/>
      <c r="O4" s="145" t="n"/>
      <c r="P4" s="145" t="n"/>
      <c r="Q4" s="145" t="n"/>
      <c r="R4" s="145" t="n"/>
      <c r="S4" s="145" t="n"/>
      <c r="T4" s="145" t="n"/>
      <c r="U4" s="145" t="n"/>
      <c r="V4" s="145" t="n"/>
      <c r="W4" s="145" t="n"/>
      <c r="X4" s="145" t="n"/>
      <c r="Y4" s="145" t="n"/>
      <c r="Z4" s="145" t="n"/>
    </row>
    <row r="5" ht="24" customHeight="1" s="311">
      <c r="A5" s="265" t="n"/>
      <c r="B5" s="265" t="inlineStr">
        <is>
          <t>Hoja</t>
        </is>
      </c>
      <c r="C5" s="265" t="inlineStr">
        <is>
          <t>Para qué sirve</t>
        </is>
      </c>
      <c r="D5" s="265" t="inlineStr">
        <is>
          <t>Escribes aquí</t>
        </is>
      </c>
      <c r="E5" s="145" t="n"/>
      <c r="F5" s="145" t="n"/>
      <c r="G5" s="145" t="n"/>
      <c r="H5" s="145" t="n"/>
      <c r="I5" s="145" t="n"/>
      <c r="J5" s="145" t="n"/>
      <c r="K5" s="145" t="n"/>
      <c r="L5" s="145" t="n"/>
      <c r="M5" s="145" t="n"/>
      <c r="N5" s="145" t="n"/>
      <c r="O5" s="145" t="n"/>
      <c r="P5" s="145" t="n"/>
      <c r="Q5" s="145" t="n"/>
      <c r="R5" s="145" t="n"/>
      <c r="S5" s="145" t="n"/>
      <c r="T5" s="145" t="n"/>
      <c r="U5" s="145" t="n"/>
      <c r="V5" s="145" t="n"/>
      <c r="W5" s="145" t="n"/>
      <c r="X5" s="145" t="n"/>
      <c r="Y5" s="145" t="n"/>
      <c r="Z5" s="145" t="n"/>
    </row>
    <row r="6" ht="41.25" customHeight="1" s="311">
      <c r="A6" s="145" t="n"/>
      <c r="B6" s="266" t="inlineStr">
        <is>
          <t>Panel</t>
        </is>
      </c>
      <c r="C6" s="267" t="inlineStr">
        <is>
          <t>Tu cuadro de mando. Eliges escenario en el desplegable y todo cambia: importes, semáforos y gráficos. Responde a las cuatro preguntas: dónde vivir, si te alcanza este mes, cuándo llegas a la independencia financiera y cómo va la casa.</t>
        </is>
      </c>
      <c r="D6" s="268" t="inlineStr">
        <is>
          <t>Solo el desplegable del escenario</t>
        </is>
      </c>
      <c r="E6" s="145" t="n"/>
      <c r="F6" s="145" t="n"/>
      <c r="G6" s="145" t="n"/>
      <c r="H6" s="145" t="n"/>
      <c r="I6" s="145" t="n"/>
      <c r="J6" s="145" t="n"/>
      <c r="K6" s="145" t="n"/>
      <c r="L6" s="145" t="n"/>
      <c r="M6" s="145" t="n"/>
      <c r="N6" s="145" t="n"/>
      <c r="O6" s="145" t="n"/>
      <c r="P6" s="145" t="n"/>
      <c r="Q6" s="145" t="n"/>
      <c r="R6" s="145" t="n"/>
      <c r="S6" s="145" t="n"/>
      <c r="T6" s="145" t="n"/>
      <c r="U6" s="145" t="n"/>
      <c r="V6" s="145" t="n"/>
      <c r="W6" s="145" t="n"/>
      <c r="X6" s="145" t="n"/>
      <c r="Y6" s="145" t="n"/>
      <c r="Z6" s="145" t="n"/>
    </row>
    <row r="7" ht="28.5" customHeight="1" s="311">
      <c r="A7" s="145" t="n"/>
      <c r="B7" s="266" t="inlineStr">
        <is>
          <t>Comparativa</t>
        </is>
      </c>
      <c r="C7" s="267" t="inlineStr">
        <is>
          <t>Los cinco escenarios en una sola tabla, con la columna "Mejor" y tres gráficos. Sustituye a tus cuatro hojas idénticas.</t>
        </is>
      </c>
      <c r="D7" s="268" t="inlineStr">
        <is>
          <t>Nada: se calcula</t>
        </is>
      </c>
      <c r="E7" s="145" t="n"/>
      <c r="F7" s="145" t="n"/>
      <c r="G7" s="145" t="n"/>
      <c r="H7" s="145" t="n"/>
      <c r="I7" s="145" t="n"/>
      <c r="J7" s="145" t="n"/>
      <c r="K7" s="145" t="n"/>
      <c r="L7" s="145" t="n"/>
      <c r="M7" s="145" t="n"/>
      <c r="N7" s="145" t="n"/>
      <c r="O7" s="145" t="n"/>
      <c r="P7" s="145" t="n"/>
      <c r="Q7" s="145" t="n"/>
      <c r="R7" s="145" t="n"/>
      <c r="S7" s="145" t="n"/>
      <c r="T7" s="145" t="n"/>
      <c r="U7" s="145" t="n"/>
      <c r="V7" s="145" t="n"/>
      <c r="W7" s="145" t="n"/>
      <c r="X7" s="145" t="n"/>
      <c r="Y7" s="145" t="n"/>
      <c r="Z7" s="145" t="n"/>
    </row>
    <row r="8" ht="63.75" customHeight="1" s="311">
      <c r="A8" s="145" t="n"/>
      <c r="B8" s="266" t="inlineStr">
        <is>
          <t>Facturas</t>
        </is>
      </c>
      <c r="C8" s="267" t="inlineStr">
        <is>
          <t>Registro único de facturas con importe, ABONOS (pagos a cuenta o notas de abono) y SALDO pendiente. Clasificadas por categoría y fecha, con días restantes, semáforo y cuatro resúmenes: categoría, urgencia, abonos y saldos, y mes de vencimiento. Dos gráficos. Todo el libro trabaja con el saldo vivo, no con el importe original.</t>
        </is>
      </c>
      <c r="D8" s="268" t="inlineStr">
        <is>
          <t>Columnas B a L (el saldo se calcula)</t>
        </is>
      </c>
      <c r="E8" s="145" t="n"/>
      <c r="F8" s="145" t="n"/>
      <c r="G8" s="145" t="n"/>
      <c r="H8" s="145" t="n"/>
      <c r="I8" s="145" t="n"/>
      <c r="J8" s="145" t="n"/>
      <c r="K8" s="145" t="n"/>
      <c r="L8" s="145" t="n"/>
      <c r="M8" s="145" t="n"/>
      <c r="N8" s="145" t="n"/>
      <c r="O8" s="145" t="n"/>
      <c r="P8" s="145" t="n"/>
      <c r="Q8" s="145" t="n"/>
      <c r="R8" s="145" t="n"/>
      <c r="S8" s="145" t="n"/>
      <c r="T8" s="145" t="n"/>
      <c r="U8" s="145" t="n"/>
      <c r="V8" s="145" t="n"/>
      <c r="W8" s="145" t="n"/>
      <c r="X8" s="145" t="n"/>
      <c r="Y8" s="145" t="n"/>
      <c r="Z8" s="145" t="n"/>
    </row>
    <row r="9" ht="41.25" customHeight="1" s="311">
      <c r="A9" s="145" t="n"/>
      <c r="B9" s="266" t="inlineStr">
        <is>
          <t>Disponibilidad</t>
        </is>
      </c>
      <c r="C9" s="267" t="inlineStr">
        <is>
          <t>Reporte de disponibilidad bancaria: saldos, retenciones, lo comprometido, líneas de crédito y cuánto te queda de verdad después de las facturas. Incluye concentración por entidad.</t>
        </is>
      </c>
      <c r="D9" s="268" t="inlineStr">
        <is>
          <t>Saldos, retenciones y límites</t>
        </is>
      </c>
      <c r="E9" s="145" t="n"/>
      <c r="F9" s="145" t="n"/>
      <c r="G9" s="145" t="n"/>
      <c r="H9" s="145" t="n"/>
      <c r="I9" s="145" t="n"/>
      <c r="J9" s="145" t="n"/>
      <c r="K9" s="145" t="n"/>
      <c r="L9" s="145" t="n"/>
      <c r="M9" s="145" t="n"/>
      <c r="N9" s="145" t="n"/>
      <c r="O9" s="145" t="n"/>
      <c r="P9" s="145" t="n"/>
      <c r="Q9" s="145" t="n"/>
      <c r="R9" s="145" t="n"/>
      <c r="S9" s="145" t="n"/>
      <c r="T9" s="145" t="n"/>
      <c r="U9" s="145" t="n"/>
      <c r="V9" s="145" t="n"/>
      <c r="W9" s="145" t="n"/>
      <c r="X9" s="145" t="n"/>
      <c r="Y9" s="145" t="n"/>
      <c r="Z9" s="145" t="n"/>
    </row>
    <row r="10" ht="28.5" customHeight="1" s="311">
      <c r="A10" s="145" t="n"/>
      <c r="B10" s="266" t="inlineStr">
        <is>
          <t>Tesoreria</t>
        </is>
      </c>
      <c r="C10" s="267" t="inlineStr">
        <is>
          <t>Cruza las facturas con el disponible: urgencia, las 8 facturas más próximas y proyección de saldo a 30 días con gráfico.</t>
        </is>
      </c>
      <c r="D10" s="268" t="inlineStr">
        <is>
          <t>Solo los ingresos previstos</t>
        </is>
      </c>
      <c r="E10" s="145" t="n"/>
      <c r="F10" s="145" t="n"/>
      <c r="G10" s="145" t="n"/>
      <c r="H10" s="145" t="n"/>
      <c r="I10" s="145" t="n"/>
      <c r="J10" s="145" t="n"/>
      <c r="K10" s="145" t="n"/>
      <c r="L10" s="145" t="n"/>
      <c r="M10" s="145" t="n"/>
      <c r="N10" s="145" t="n"/>
      <c r="O10" s="145" t="n"/>
      <c r="P10" s="145" t="n"/>
      <c r="Q10" s="145" t="n"/>
      <c r="R10" s="145" t="n"/>
      <c r="S10" s="145" t="n"/>
      <c r="T10" s="145" t="n"/>
      <c r="U10" s="145" t="n"/>
      <c r="V10" s="145" t="n"/>
      <c r="W10" s="145" t="n"/>
      <c r="X10" s="145" t="n"/>
      <c r="Y10" s="145" t="n"/>
      <c r="Z10" s="145" t="n"/>
    </row>
    <row r="11" ht="16.5" customHeight="1" s="311">
      <c r="A11" s="145" t="n"/>
      <c r="B11" s="266" t="inlineStr">
        <is>
          <t>Escenarios</t>
        </is>
      </c>
      <c r="C11" s="267" t="inlineStr">
        <is>
          <t>El motor. Aquí viven TODOS los números y porcentajes de los cinco escenarios.</t>
        </is>
      </c>
      <c r="D11" s="268" t="inlineStr">
        <is>
          <t>Todo el fondo crema</t>
        </is>
      </c>
      <c r="E11" s="145" t="n"/>
      <c r="F11" s="145" t="n"/>
      <c r="G11" s="145" t="n"/>
      <c r="H11" s="145" t="n"/>
      <c r="I11" s="145" t="n"/>
      <c r="J11" s="145" t="n"/>
      <c r="K11" s="145" t="n"/>
      <c r="L11" s="145" t="n"/>
      <c r="M11" s="145" t="n"/>
      <c r="N11" s="145" t="n"/>
      <c r="O11" s="145" t="n"/>
      <c r="P11" s="145" t="n"/>
      <c r="Q11" s="145" t="n"/>
      <c r="R11" s="145" t="n"/>
      <c r="S11" s="145" t="n"/>
      <c r="T11" s="145" t="n"/>
      <c r="U11" s="145" t="n"/>
      <c r="V11" s="145" t="n"/>
      <c r="W11" s="145" t="n"/>
      <c r="X11" s="145" t="n"/>
      <c r="Y11" s="145" t="n"/>
      <c r="Z11" s="145" t="n"/>
    </row>
    <row r="12" ht="16.5" customHeight="1" s="311">
      <c r="A12" s="145" t="n"/>
      <c r="B12" s="266" t="inlineStr">
        <is>
          <t>LEEME</t>
        </is>
      </c>
      <c r="C12" s="267" t="inlineStr">
        <is>
          <t>Esta hoja.</t>
        </is>
      </c>
      <c r="D12" s="268" t="inlineStr">
        <is>
          <t>Nada</t>
        </is>
      </c>
      <c r="E12" s="145" t="n"/>
      <c r="F12" s="145" t="n"/>
      <c r="G12" s="145" t="n"/>
      <c r="H12" s="145" t="n"/>
      <c r="I12" s="145" t="n"/>
      <c r="J12" s="145" t="n"/>
      <c r="K12" s="145" t="n"/>
      <c r="L12" s="145" t="n"/>
      <c r="M12" s="145" t="n"/>
      <c r="N12" s="145" t="n"/>
      <c r="O12" s="145" t="n"/>
      <c r="P12" s="145" t="n"/>
      <c r="Q12" s="145" t="n"/>
      <c r="R12" s="145" t="n"/>
      <c r="S12" s="145" t="n"/>
      <c r="T12" s="145" t="n"/>
      <c r="U12" s="145" t="n"/>
      <c r="V12" s="145" t="n"/>
      <c r="W12" s="145" t="n"/>
      <c r="X12" s="145" t="n"/>
      <c r="Y12" s="145" t="n"/>
      <c r="Z12" s="145" t="n"/>
    </row>
    <row r="13" ht="54" customHeight="1" s="311">
      <c r="A13" s="145" t="n"/>
      <c r="B13" s="266" t="inlineStr">
        <is>
          <t>Resultados</t>
        </is>
      </c>
      <c r="C13" s="267" t="inlineStr">
        <is>
          <t>Estado de resultados en base de devengo, con tres columnas: tu economía, la del hogar y el consolidado, más una línea que ELIMINA tu aporte a la casa para no contarlo dos veces. Compara el presupuesto con las facturas realmente emitidas en el mes. Separa intereses (gasto) de amortización de principal (no es gasto). Dos gráficos.</t>
        </is>
      </c>
      <c r="D13" s="268" t="inlineStr">
        <is>
          <t>Mes analizado, tipos de interés y las filas en crema</t>
        </is>
      </c>
      <c r="E13" s="145" t="n"/>
      <c r="F13" s="145" t="n"/>
      <c r="G13" s="145" t="n"/>
      <c r="H13" s="145" t="n"/>
      <c r="I13" s="145" t="n"/>
      <c r="J13" s="145" t="n"/>
      <c r="K13" s="145" t="n"/>
      <c r="L13" s="145" t="n"/>
      <c r="M13" s="145" t="n"/>
      <c r="N13" s="145" t="n"/>
      <c r="O13" s="145" t="n"/>
      <c r="P13" s="145" t="n"/>
      <c r="Q13" s="145" t="n"/>
      <c r="R13" s="145" t="n"/>
      <c r="S13" s="145" t="n"/>
      <c r="T13" s="145" t="n"/>
      <c r="U13" s="145" t="n"/>
      <c r="V13" s="145" t="n"/>
      <c r="W13" s="145" t="n"/>
      <c r="X13" s="145" t="n"/>
      <c r="Y13" s="145" t="n"/>
      <c r="Z13" s="145" t="n"/>
    </row>
    <row r="14" ht="54" customHeight="1" s="311">
      <c r="A14" s="145" t="n"/>
      <c r="B14" s="266" t="inlineStr">
        <is>
          <t>Balance</t>
        </is>
      </c>
      <c r="C14" s="267" t="inlineStr">
        <is>
          <t>Balance general a día de hoy: activo corriente y no corriente, pasivo, y patrimonio neto como resta. Evita el doble conteo descontando de las facturas pendientes las categorías cuya deuda ya figura entera en las líneas de crédito. Seis ratios con semáforo y dos gráficos.</t>
        </is>
      </c>
      <c r="D14" s="268" t="inlineStr">
        <is>
          <t>Vivienda, hipoteca pendiente y principal de préstamos</t>
        </is>
      </c>
      <c r="E14" s="145" t="n"/>
      <c r="F14" s="145" t="n"/>
      <c r="G14" s="145" t="n"/>
      <c r="H14" s="145" t="n"/>
      <c r="I14" s="145" t="n"/>
      <c r="J14" s="145" t="n"/>
      <c r="K14" s="145" t="n"/>
      <c r="L14" s="145" t="n"/>
      <c r="M14" s="145" t="n"/>
      <c r="N14" s="145" t="n"/>
      <c r="O14" s="145" t="n"/>
      <c r="P14" s="145" t="n"/>
      <c r="Q14" s="145" t="n"/>
      <c r="R14" s="145" t="n"/>
      <c r="S14" s="145" t="n"/>
      <c r="T14" s="145" t="n"/>
      <c r="U14" s="145" t="n"/>
      <c r="V14" s="145" t="n"/>
      <c r="W14" s="145" t="n"/>
      <c r="X14" s="145" t="n"/>
      <c r="Y14" s="145" t="n"/>
      <c r="Z14" s="145" t="n"/>
    </row>
    <row r="15" ht="54" customHeight="1" s="311">
      <c r="A15" s="145" t="n"/>
      <c r="B15" s="266" t="inlineStr">
        <is>
          <t>FlujoCaja</t>
        </is>
      </c>
      <c r="C15" s="267" t="inlineStr">
        <is>
          <t>Estado de flujo de caja por el método directo: operación, inversión y financiación, con la conciliación que explica por qué el resultado del mes y el dinero de la cuenta no coinciden. Incluye proyección de caja a 12 meses con el calendario real de facturas y su gráfico.</t>
        </is>
      </c>
      <c r="D15" s="268" t="inlineStr">
        <is>
          <t>Recibos no registrados y ajustes de caja</t>
        </is>
      </c>
      <c r="E15" s="145" t="n"/>
      <c r="F15" s="145" t="n"/>
      <c r="G15" s="145" t="n"/>
      <c r="H15" s="145" t="n"/>
      <c r="I15" s="145" t="n"/>
      <c r="J15" s="145" t="n"/>
      <c r="K15" s="145" t="n"/>
      <c r="L15" s="145" t="n"/>
      <c r="M15" s="145" t="n"/>
      <c r="N15" s="145" t="n"/>
      <c r="O15" s="145" t="n"/>
      <c r="P15" s="145" t="n"/>
      <c r="Q15" s="145" t="n"/>
      <c r="R15" s="145" t="n"/>
      <c r="S15" s="145" t="n"/>
      <c r="T15" s="145" t="n"/>
      <c r="U15" s="145" t="n"/>
      <c r="V15" s="145" t="n"/>
      <c r="W15" s="145" t="n"/>
      <c r="X15" s="145" t="n"/>
      <c r="Y15" s="145" t="n"/>
      <c r="Z15" s="145" t="n"/>
    </row>
    <row r="16" ht="66" customHeight="1" s="311">
      <c r="A16" s="145" t="n"/>
      <c r="B16" s="266" t="inlineStr">
        <is>
          <t>Inversiones</t>
        </is>
      </c>
      <c r="C16" s="267" t="inlineStr">
        <is>
          <t>Registro de toda tu cartera: acciones, ETF, fondos, cripto, cuentas remuneradas, depósitos, P2P y capital riesgo. Controla lo aportado, el valor actual, las comisiones de compra y las acumuladas, los dividendos e intereses cobrados, el resultado, el ROI y el ROI anualizado de cada posición. Una columna "¿Sumar al Balance?" evita duplicar las cuentas que ya están en Disponibilidad. Tres gráficos.</t>
        </is>
      </c>
      <c r="D16" s="268" t="inlineStr">
        <is>
          <t>Posiciones, aportado y comisiones</t>
        </is>
      </c>
      <c r="E16" s="145" t="n"/>
      <c r="F16" s="145" t="n"/>
      <c r="G16" s="145" t="n"/>
      <c r="H16" s="145" t="n"/>
      <c r="I16" s="145" t="n"/>
      <c r="J16" s="145" t="n"/>
      <c r="K16" s="145" t="n"/>
      <c r="L16" s="145" t="n"/>
      <c r="M16" s="145" t="n"/>
      <c r="N16" s="145" t="n"/>
      <c r="O16" s="145" t="n"/>
      <c r="P16" s="145" t="n"/>
      <c r="Q16" s="145" t="n"/>
      <c r="R16" s="145" t="n"/>
      <c r="S16" s="145" t="n"/>
      <c r="T16" s="145" t="n"/>
      <c r="U16" s="145" t="n"/>
      <c r="V16" s="145" t="n"/>
      <c r="W16" s="145" t="n"/>
      <c r="X16" s="145" t="n"/>
      <c r="Y16" s="145" t="n"/>
      <c r="Z16" s="145" t="n"/>
    </row>
    <row r="17" ht="66" customHeight="1" s="311">
      <c r="A17" s="145" t="n"/>
      <c r="B17" s="266" t="inlineStr">
        <is>
          <t>Ratios</t>
        </is>
      </c>
      <c r="C17" s="267" t="inlineStr">
        <is>
          <t>27 ratios financieros calculados desde los tres estados, más una evaluación del desempeño con puntuación sobre 100, diagnóstico escrito y plan de acción ordenado por urgencia. Los ratios de valoración de empresa de tu hoja antigua (EV/EBIT, EBIT/FCF, WACC, ROIC, Equity Multiplier) están traducidos a su equivalente personal, indicado ratio a ratio.</t>
        </is>
      </c>
      <c r="D17" s="268" t="inlineStr">
        <is>
          <t>Solo tres parámetros del principio</t>
        </is>
      </c>
      <c r="E17" s="145" t="n"/>
      <c r="F17" s="145" t="n"/>
      <c r="G17" s="145" t="n"/>
      <c r="H17" s="145" t="n"/>
      <c r="I17" s="145" t="n"/>
      <c r="J17" s="145" t="n"/>
      <c r="K17" s="145" t="n"/>
      <c r="L17" s="145" t="n"/>
      <c r="M17" s="145" t="n"/>
      <c r="N17" s="145" t="n"/>
      <c r="O17" s="145" t="n"/>
      <c r="P17" s="145" t="n"/>
      <c r="Q17" s="145" t="n"/>
      <c r="R17" s="145" t="n"/>
      <c r="S17" s="145" t="n"/>
      <c r="T17" s="145" t="n"/>
      <c r="U17" s="145" t="n"/>
      <c r="V17" s="145" t="n"/>
      <c r="W17" s="145" t="n"/>
      <c r="X17" s="145" t="n"/>
      <c r="Y17" s="145" t="n"/>
      <c r="Z17" s="145" t="n"/>
    </row>
    <row r="18" ht="66" customHeight="1" s="311">
      <c r="A18" s="145" t="n"/>
      <c r="B18" s="266" t="inlineStr">
        <is>
          <t>Caja</t>
        </is>
      </c>
      <c r="C18" s="267" t="inlineStr">
        <is>
          <t>Libro de cobros y pagos reales. Es lo que conecta las facturas con el banco: al registrar un pago y anotar el número de la factura en "Factura vinculada", baja el saldo de esa factura Y baja el saldo de la cuenta, con un solo apunte. Alimenta también la evolución mensual de ingresos y gastos y la conciliación bancaria de Disponibilidad.</t>
        </is>
      </c>
      <c r="D18" s="268" t="inlineStr">
        <is>
          <t>Fecha, tipo, concepto, categoría, cuenta, importe</t>
        </is>
      </c>
      <c r="E18" s="145" t="n"/>
      <c r="F18" s="145" t="n"/>
      <c r="G18" s="145" t="n"/>
      <c r="H18" s="145" t="n"/>
      <c r="I18" s="145" t="n"/>
      <c r="J18" s="145" t="n"/>
      <c r="K18" s="145" t="n"/>
      <c r="L18" s="145" t="n"/>
      <c r="M18" s="145" t="n"/>
      <c r="N18" s="145" t="n"/>
      <c r="O18" s="145" t="n"/>
      <c r="P18" s="145" t="n"/>
      <c r="Q18" s="145" t="n"/>
      <c r="R18" s="145" t="n"/>
      <c r="S18" s="145" t="n"/>
      <c r="T18" s="145" t="n"/>
      <c r="U18" s="145" t="n"/>
      <c r="V18" s="145" t="n"/>
      <c r="W18" s="145" t="n"/>
      <c r="X18" s="145" t="n"/>
      <c r="Y18" s="145" t="n"/>
      <c r="Z18" s="145" t="n"/>
    </row>
    <row r="19" ht="54" customHeight="1" s="311">
      <c r="A19" s="145" t="n"/>
      <c r="B19" s="266" t="inlineStr">
        <is>
          <t>Prioridad</t>
        </is>
      </c>
      <c r="C19" s="267" t="inlineStr">
        <is>
          <t>Cola de pago. Marcas facturas en la columna "PRIORIDAD DE PAGO" de la hoja Facturas y aparecen aquí solas, ordenadas por nivel y, dentro de cada nivel, por lo que antes vence. Suma el importe seleccionado, lo compara con tu disponible y te dice si alcanza. En cuanto una queda saldada desaparece de la lista y deja de sumar.</t>
        </is>
      </c>
      <c r="D19" s="268" t="inlineStr">
        <is>
          <t>Solo la columna de prioridad, en Facturas</t>
        </is>
      </c>
      <c r="E19" s="145" t="n"/>
      <c r="F19" s="145" t="n"/>
      <c r="G19" s="145" t="n"/>
      <c r="H19" s="145" t="n"/>
      <c r="I19" s="145" t="n"/>
      <c r="J19" s="145" t="n"/>
      <c r="K19" s="145" t="n"/>
      <c r="L19" s="145" t="n"/>
      <c r="M19" s="145" t="n"/>
      <c r="N19" s="145" t="n"/>
      <c r="O19" s="145" t="n"/>
      <c r="P19" s="145" t="n"/>
      <c r="Q19" s="145" t="n"/>
      <c r="R19" s="145" t="n"/>
      <c r="S19" s="145" t="n"/>
      <c r="T19" s="145" t="n"/>
      <c r="U19" s="145" t="n"/>
      <c r="V19" s="145" t="n"/>
      <c r="W19" s="145" t="n"/>
      <c r="X19" s="145" t="n"/>
      <c r="Y19" s="145" t="n"/>
      <c r="Z19" s="145" t="n"/>
    </row>
    <row r="20" ht="28.5" customHeight="1" s="311">
      <c r="A20" s="145" t="n"/>
      <c r="B20" s="266" t="inlineStr">
        <is>
          <t>Citas</t>
        </is>
      </c>
      <c r="C20" s="267" t="inlineStr">
        <is>
          <t>Calendario de citas con el mes actual (o el que elijas) en grande arriba, y los doce meses del año debajo de un vistazo. Escribes fecha, hora, asunto, con quién, lugar y prioridad en el registro, y cada día se pinta con el color de la prioridad más alta de ese día. Incluye enlace directo para crear la cita en Google Calendar y un script opcional para sincronizar en los dos sentidos.</t>
        </is>
      </c>
      <c r="D20" s="268" t="inlineStr">
        <is>
          <t>Fecha, hora, asunto y prioridad; el mes a destacar arriba</t>
        </is>
      </c>
      <c r="E20" s="145" t="n"/>
      <c r="F20" s="145" t="n"/>
      <c r="G20" s="145" t="n"/>
      <c r="H20" s="145" t="n"/>
      <c r="I20" s="145" t="n"/>
      <c r="J20" s="145" t="n"/>
      <c r="K20" s="145" t="n"/>
      <c r="L20" s="145" t="n"/>
      <c r="M20" s="145" t="n"/>
      <c r="N20" s="145" t="n"/>
      <c r="O20" s="145" t="n"/>
      <c r="P20" s="145" t="n"/>
      <c r="Q20" s="145" t="n"/>
      <c r="R20" s="145" t="n"/>
      <c r="S20" s="145" t="n"/>
      <c r="T20" s="145" t="n"/>
      <c r="U20" s="145" t="n"/>
      <c r="V20" s="145" t="n"/>
      <c r="W20" s="145" t="n"/>
      <c r="X20" s="145" t="n"/>
      <c r="Y20" s="145" t="n"/>
      <c r="Z20" s="145" t="n"/>
    </row>
    <row r="21" ht="41.25" customHeight="1" s="311">
      <c r="A21" s="21" t="inlineStr">
        <is>
          <t>2.  LO QUE HE CORREGIDO Y MEJORADO</t>
        </is>
      </c>
      <c r="B21" s="22" t="n"/>
      <c r="C21" s="22" t="n"/>
      <c r="D21" s="22" t="n"/>
      <c r="E21" s="145" t="n"/>
      <c r="F21" s="145" t="n"/>
      <c r="G21" s="145" t="n"/>
      <c r="H21" s="145" t="n"/>
      <c r="I21" s="145" t="n"/>
      <c r="J21" s="145" t="n"/>
      <c r="K21" s="145" t="n"/>
      <c r="L21" s="145" t="n"/>
      <c r="M21" s="145" t="n"/>
      <c r="N21" s="145" t="n"/>
      <c r="O21" s="145" t="n"/>
      <c r="P21" s="145" t="n"/>
      <c r="Q21" s="145" t="n"/>
      <c r="R21" s="145" t="n"/>
      <c r="S21" s="145" t="n"/>
      <c r="T21" s="145" t="n"/>
      <c r="U21" s="145" t="n"/>
      <c r="V21" s="145" t="n"/>
      <c r="W21" s="145" t="n"/>
      <c r="X21" s="145" t="n"/>
      <c r="Y21" s="145" t="n"/>
      <c r="Z21" s="145" t="n"/>
    </row>
    <row r="22" ht="41.25" customHeight="1" s="311">
      <c r="A22" s="265" t="inlineStr">
        <is>
          <t>#</t>
        </is>
      </c>
      <c r="B22" s="265" t="inlineStr">
        <is>
          <t>Dónde</t>
        </is>
      </c>
      <c r="C22" s="265" t="inlineStr">
        <is>
          <t>Qué pasaba antes</t>
        </is>
      </c>
      <c r="D22" s="265" t="inlineStr">
        <is>
          <t>Cómo queda ahora</t>
        </is>
      </c>
      <c r="E22" s="145" t="n"/>
      <c r="F22" s="145" t="n"/>
      <c r="G22" s="145" t="n"/>
      <c r="H22" s="145" t="n"/>
      <c r="I22" s="145" t="n"/>
      <c r="J22" s="145" t="n"/>
      <c r="K22" s="145" t="n"/>
      <c r="L22" s="145" t="n"/>
      <c r="M22" s="145" t="n"/>
      <c r="N22" s="145" t="n"/>
      <c r="O22" s="145" t="n"/>
      <c r="P22" s="145" t="n"/>
      <c r="Q22" s="145" t="n"/>
      <c r="R22" s="145" t="n"/>
      <c r="S22" s="145" t="n"/>
      <c r="T22" s="145" t="n"/>
      <c r="U22" s="145" t="n"/>
      <c r="V22" s="145" t="n"/>
      <c r="W22" s="145" t="n"/>
      <c r="X22" s="145" t="n"/>
      <c r="Y22" s="145" t="n"/>
      <c r="Z22" s="145" t="n"/>
    </row>
    <row r="23" ht="28.5" customHeight="1" s="311">
      <c r="A23" s="270" t="n">
        <v>1</v>
      </c>
      <c r="B23" s="270" t="inlineStr">
        <is>
          <t>Las 4 hojas</t>
        </is>
      </c>
      <c r="C23" s="272" t="inlineStr">
        <is>
          <t>Tenías cuatro hojas idénticas (Actual, Irlanda, Madrid, La Coruña) y para comparar había que ir saltando entre ellas y recordar los números de memoria.</t>
        </is>
      </c>
      <c r="D23" s="273" t="inlineStr">
        <is>
          <t>Una hoja Escenarios con los cinco escenarios en columnas y una Comparativa que los pone lado a lado, con la columna "Mejor" y gráficos.</t>
        </is>
      </c>
      <c r="E23" s="145" t="n"/>
      <c r="F23" s="145" t="n"/>
      <c r="G23" s="145" t="n"/>
      <c r="H23" s="145" t="n"/>
      <c r="I23" s="145" t="n"/>
      <c r="J23" s="145" t="n"/>
      <c r="K23" s="145" t="n"/>
      <c r="L23" s="145" t="n"/>
      <c r="M23" s="145" t="n"/>
      <c r="N23" s="145" t="n"/>
      <c r="O23" s="145" t="n"/>
      <c r="P23" s="145" t="n"/>
      <c r="Q23" s="145" t="n"/>
      <c r="R23" s="145" t="n"/>
      <c r="S23" s="145" t="n"/>
      <c r="T23" s="145" t="n"/>
      <c r="U23" s="145" t="n"/>
      <c r="V23" s="145" t="n"/>
      <c r="W23" s="145" t="n"/>
      <c r="X23" s="145" t="n"/>
      <c r="Y23" s="145" t="n"/>
      <c r="Z23" s="145" t="n"/>
    </row>
    <row r="24" ht="41.25" customHeight="1" s="311">
      <c r="A24" s="274" t="n">
        <v>2</v>
      </c>
      <c r="B24" s="274" t="inlineStr">
        <is>
          <t>Los 5 puntos</t>
        </is>
      </c>
      <c r="C24" s="275" t="inlineStr">
        <is>
          <t>Los porcentajes (0,14 · 0,06 · 0,30 · 0,50) estaban escritos DENTRO de las fórmulas: para cambiar tu política de ahorro había que editar cuatro hojas fórmula a fórmula.</t>
        </is>
      </c>
      <c r="D24" s="276" t="inlineStr">
        <is>
          <t>Cada porcentaje es una celda editable, con un CONTROL que avisa si los cuatro no suman 100%.</t>
        </is>
      </c>
      <c r="E24" s="145" t="n"/>
      <c r="F24" s="145" t="n"/>
      <c r="G24" s="145" t="n"/>
      <c r="H24" s="145" t="n"/>
      <c r="I24" s="145" t="n"/>
      <c r="J24" s="145" t="n"/>
      <c r="K24" s="145" t="n"/>
      <c r="L24" s="145" t="n"/>
      <c r="M24" s="145" t="n"/>
      <c r="N24" s="145" t="n"/>
      <c r="O24" s="145" t="n"/>
      <c r="P24" s="145" t="n"/>
      <c r="Q24" s="145" t="n"/>
      <c r="R24" s="145" t="n"/>
      <c r="S24" s="145" t="n"/>
      <c r="T24" s="145" t="n"/>
      <c r="U24" s="145" t="n"/>
      <c r="V24" s="145" t="n"/>
      <c r="W24" s="145" t="n"/>
      <c r="X24" s="145" t="n"/>
      <c r="Y24" s="145" t="n"/>
      <c r="Z24" s="145" t="n"/>
    </row>
    <row r="25" ht="28.5" customHeight="1" s="311">
      <c r="A25" s="270" t="n">
        <v>3</v>
      </c>
      <c r="B25" s="270" t="inlineStr">
        <is>
          <t>Hoja "Actual"</t>
        </is>
      </c>
      <c r="C25" s="272" t="inlineStr">
        <is>
          <t>Con el ingreso a 0, todas las divisiones daban #¡DIV/0! y la hoja no servía para nada.</t>
        </is>
      </c>
      <c r="D25" s="273" t="inlineStr">
        <is>
          <t>"Actual" está rellena con tu nómina real de 2.966 € y tu presupuesto de Irlanda, así puedes comparar tu situación de HOY con las tres opciones. Y todas las divisiones están protegidas.</t>
        </is>
      </c>
      <c r="E25" s="145" t="n"/>
      <c r="F25" s="145" t="n"/>
      <c r="G25" s="145" t="n"/>
      <c r="H25" s="145" t="n"/>
      <c r="I25" s="145" t="n"/>
      <c r="J25" s="145" t="n"/>
      <c r="K25" s="145" t="n"/>
      <c r="L25" s="145" t="n"/>
      <c r="M25" s="145" t="n"/>
      <c r="N25" s="145" t="n"/>
      <c r="O25" s="145" t="n"/>
      <c r="P25" s="145" t="n"/>
      <c r="Q25" s="145" t="n"/>
      <c r="R25" s="145" t="n"/>
      <c r="S25" s="145" t="n"/>
      <c r="T25" s="145" t="n"/>
      <c r="U25" s="145" t="n"/>
      <c r="V25" s="145" t="n"/>
      <c r="W25" s="145" t="n"/>
      <c r="X25" s="145" t="n"/>
      <c r="Y25" s="145" t="n"/>
      <c r="Z25" s="145" t="n"/>
    </row>
    <row r="26" ht="28.5" customHeight="1" s="311">
      <c r="A26" s="274" t="n">
        <v>4</v>
      </c>
      <c r="B26" s="274" t="inlineStr">
        <is>
          <t>Aporte a la hipoteca</t>
        </is>
      </c>
      <c r="C26" s="275" t="inlineStr">
        <is>
          <t>Estaba como −435 en F9, se sumaba al estilo de vida (G9 = E8+F9) y luego se volvía a sumar en positivo con abs(F9) en L21. Un número que entra y sale con signos distintos en tres celdas es un error esperando a ocurrir.</t>
        </is>
      </c>
      <c r="D26" s="276" t="inlineStr">
        <is>
          <t>Un solo número positivo, restado una vez del estilo de vida y sumado una vez a lo que aportas a la casa. Con un control que comprueba que el reparto del ingreso cuadra al céntimo.</t>
        </is>
      </c>
      <c r="E26" s="145" t="n"/>
      <c r="F26" s="145" t="n"/>
      <c r="G26" s="145" t="n"/>
      <c r="H26" s="145" t="n"/>
      <c r="I26" s="145" t="n"/>
      <c r="J26" s="145" t="n"/>
      <c r="K26" s="145" t="n"/>
      <c r="L26" s="145" t="n"/>
      <c r="M26" s="145" t="n"/>
      <c r="N26" s="145" t="n"/>
      <c r="O26" s="145" t="n"/>
      <c r="P26" s="145" t="n"/>
      <c r="Q26" s="145" t="n"/>
      <c r="R26" s="145" t="n"/>
      <c r="S26" s="145" t="n"/>
      <c r="T26" s="145" t="n"/>
      <c r="U26" s="145" t="n"/>
      <c r="V26" s="145" t="n"/>
      <c r="W26" s="145" t="n"/>
      <c r="X26" s="145" t="n"/>
      <c r="Y26" s="145" t="n"/>
      <c r="Z26" s="145" t="n"/>
    </row>
    <row r="27" ht="61.5" customHeight="1" s="311">
      <c r="A27" s="270" t="n">
        <v>5</v>
      </c>
      <c r="B27" s="270" t="inlineStr">
        <is>
          <t>Porcentajes M10:M14</t>
        </is>
      </c>
      <c r="C27" s="272" t="inlineStr">
        <is>
          <t>M10 usaba =L10/E10 y las demás filas =L11/E$10: anclajes distintos en la misma columna. Al copiar o insertar filas, unas se rompían y otras no.</t>
        </is>
      </c>
      <c r="D27" s="273" t="inlineStr">
        <is>
          <t>Referencias homogéneas en toda la columna.</t>
        </is>
      </c>
      <c r="E27" s="145" t="n"/>
      <c r="F27" s="145" t="n"/>
      <c r="G27" s="145" t="n"/>
      <c r="H27" s="145" t="n"/>
      <c r="I27" s="145" t="n"/>
      <c r="J27" s="145" t="n"/>
      <c r="K27" s="145" t="n"/>
      <c r="L27" s="145" t="n"/>
      <c r="M27" s="145" t="n"/>
      <c r="N27" s="145" t="n"/>
      <c r="O27" s="145" t="n"/>
      <c r="P27" s="145" t="n"/>
      <c r="Q27" s="145" t="n"/>
      <c r="R27" s="145" t="n"/>
      <c r="S27" s="145" t="n"/>
      <c r="T27" s="145" t="n"/>
      <c r="U27" s="145" t="n"/>
      <c r="V27" s="145" t="n"/>
      <c r="W27" s="145" t="n"/>
      <c r="X27" s="145" t="n"/>
      <c r="Y27" s="145" t="n"/>
      <c r="Z27" s="145" t="n"/>
    </row>
    <row r="28" ht="61.5" customHeight="1" s="311">
      <c r="A28" s="274" t="n">
        <v>6</v>
      </c>
      <c r="B28" s="274" t="inlineStr">
        <is>
          <t>"Vivir sin trabajar"</t>
        </is>
      </c>
      <c r="C28" s="275" t="inlineStr">
        <is>
          <t>H5 = salario × 120. Dos problemas: se calculaba sobre el SALARIO (que desaparece justo cuando dejas de trabajar) y 120 meses son 10 años de gasto, no independencia perpetua.</t>
        </is>
      </c>
      <c r="D28" s="276" t="inlineStr">
        <is>
          <t>Se calcula sobre el GASTO, y verás dos objetivos: el tuyo de 120 meses y el de la regla del 4% (300 meses). Además los años que faltan para cada uno, con tu aporte y rentabilidad reales.</t>
        </is>
      </c>
      <c r="E28" s="145" t="n"/>
      <c r="F28" s="145" t="n"/>
      <c r="G28" s="145" t="n"/>
      <c r="H28" s="145" t="n"/>
      <c r="I28" s="145" t="n"/>
      <c r="J28" s="145" t="n"/>
      <c r="K28" s="145" t="n"/>
      <c r="L28" s="145" t="n"/>
      <c r="M28" s="145" t="n"/>
      <c r="N28" s="145" t="n"/>
      <c r="O28" s="145" t="n"/>
      <c r="P28" s="145" t="n"/>
      <c r="Q28" s="145" t="n"/>
      <c r="R28" s="145" t="n"/>
      <c r="S28" s="145" t="n"/>
      <c r="T28" s="145" t="n"/>
      <c r="U28" s="145" t="n"/>
      <c r="V28" s="145" t="n"/>
      <c r="W28" s="145" t="n"/>
      <c r="X28" s="145" t="n"/>
      <c r="Y28" s="145" t="n"/>
      <c r="Z28" s="145" t="n"/>
    </row>
    <row r="29" ht="41.25" customHeight="1" s="311">
      <c r="A29" s="270" t="n">
        <v>7</v>
      </c>
      <c r="B29" s="270" t="inlineStr">
        <is>
          <t>Etiquetas copiadas</t>
        </is>
      </c>
      <c r="C29" s="272" t="inlineStr">
        <is>
          <t>Las hojas Madrid y La Coruña seguían diciendo "ingresos en Irlanda" en B3, y La Coruña ponía "Presupuesto personal en Madrid" en K9. Es fácil leer la hoja equivocada y no darse cuenta.</t>
        </is>
      </c>
      <c r="D29" s="273" t="inlineStr">
        <is>
          <t>Los nombres de escenario son una sola fila de cabecera; no hay etiquetas duplicadas que puedan desincronizarse.</t>
        </is>
      </c>
      <c r="E29" s="145" t="n"/>
      <c r="F29" s="145" t="n"/>
      <c r="G29" s="145" t="n"/>
      <c r="H29" s="145" t="n"/>
      <c r="I29" s="145" t="n"/>
      <c r="J29" s="145" t="n"/>
      <c r="K29" s="145" t="n"/>
      <c r="L29" s="145" t="n"/>
      <c r="M29" s="145" t="n"/>
      <c r="N29" s="145" t="n"/>
      <c r="O29" s="145" t="n"/>
      <c r="P29" s="145" t="n"/>
      <c r="Q29" s="145" t="n"/>
      <c r="R29" s="145" t="n"/>
      <c r="S29" s="145" t="n"/>
      <c r="T29" s="145" t="n"/>
      <c r="U29" s="145" t="n"/>
      <c r="V29" s="145" t="n"/>
      <c r="W29" s="145" t="n"/>
      <c r="X29" s="145" t="n"/>
      <c r="Y29" s="145" t="n"/>
      <c r="Z29" s="145" t="n"/>
    </row>
    <row r="30" ht="41.25" customHeight="1" s="311">
      <c r="A30" s="274" t="n">
        <v>8</v>
      </c>
      <c r="B30" s="274" t="inlineStr">
        <is>
          <t>Total E12</t>
        </is>
      </c>
      <c r="C30" s="275" t="inlineStr">
        <is>
          <t>La fórmula =SUMA(E6:E10) mezclaba metas de ahorro con presupuesto de gasto en un mismo "Total". Sumaba justo el 100% del salario, pero no explicaba nada.</t>
        </is>
      </c>
      <c r="D30" s="276" t="inlineStr">
        <is>
          <t>El reparto se ve entero en un gráfico circular y en un control numérico que compara el total asignado con el ingreso.</t>
        </is>
      </c>
      <c r="E30" s="145" t="n"/>
      <c r="F30" s="145" t="n"/>
      <c r="G30" s="145" t="n"/>
      <c r="H30" s="145" t="n"/>
      <c r="I30" s="145" t="n"/>
      <c r="J30" s="145" t="n"/>
      <c r="K30" s="145" t="n"/>
      <c r="L30" s="145" t="n"/>
      <c r="M30" s="145" t="n"/>
      <c r="N30" s="145" t="n"/>
      <c r="O30" s="145" t="n"/>
      <c r="P30" s="145" t="n"/>
      <c r="Q30" s="145" t="n"/>
      <c r="R30" s="145" t="n"/>
      <c r="S30" s="145" t="n"/>
      <c r="T30" s="145" t="n"/>
      <c r="U30" s="145" t="n"/>
      <c r="V30" s="145" t="n"/>
      <c r="W30" s="145" t="n"/>
      <c r="X30" s="145" t="n"/>
      <c r="Y30" s="145" t="n"/>
      <c r="Z30" s="145" t="n"/>
    </row>
    <row r="31" ht="28.5" customHeight="1" s="311">
      <c r="A31" s="270" t="n">
        <v>9</v>
      </c>
      <c r="B31" s="270" t="inlineStr">
        <is>
          <t>Hoja "tesoreria"</t>
        </is>
      </c>
      <c r="C31" s="272" t="inlineStr">
        <is>
          <t>Tres facturas sueltas y un SUMA. Ni días restantes, ni urgencia, ni relación con el dinero que tienes en el banco. No podía responder a "¿me alcanza?".</t>
        </is>
      </c>
      <c r="D31" s="273" t="inlineStr">
        <is>
          <t>Hoja Facturas (registro clasificado por categoría y fecha) + Disponibilidad (cuánto puedes usar hoy) + Tesorería (urgencia, las 8 más próximas y proyección de saldo a 30 días).</t>
        </is>
      </c>
      <c r="E31" s="145" t="n"/>
      <c r="F31" s="145" t="n"/>
      <c r="G31" s="145" t="n"/>
      <c r="H31" s="145" t="n"/>
      <c r="I31" s="145" t="n"/>
      <c r="J31" s="145" t="n"/>
      <c r="K31" s="145" t="n"/>
      <c r="L31" s="145" t="n"/>
      <c r="M31" s="145" t="n"/>
      <c r="N31" s="145" t="n"/>
      <c r="O31" s="145" t="n"/>
      <c r="P31" s="145" t="n"/>
      <c r="Q31" s="145" t="n"/>
      <c r="R31" s="145" t="n"/>
      <c r="S31" s="145" t="n"/>
      <c r="T31" s="145" t="n"/>
      <c r="U31" s="145" t="n"/>
      <c r="V31" s="145" t="n"/>
      <c r="W31" s="145" t="n"/>
      <c r="X31" s="145" t="n"/>
      <c r="Y31" s="145" t="n"/>
      <c r="Z31" s="145" t="n"/>
    </row>
    <row r="32" ht="66" customHeight="1" s="311">
      <c r="A32" s="274" t="n">
        <v>10</v>
      </c>
      <c r="B32" s="274" t="inlineStr">
        <is>
          <t>abs() en minúscula</t>
        </is>
      </c>
      <c r="C32" s="275" t="inlineStr">
        <is>
          <t>L21 usaba abs(F9). Funciona, pero mezclado con el signo negativo de F9 hacía muy difícil seguir el rastro del dinero.</t>
        </is>
      </c>
      <c r="D32" s="276" t="inlineStr">
        <is>
          <t>Sin valores absolutos: los signos son coherentes en todo el libro.</t>
        </is>
      </c>
      <c r="E32" s="145" t="n"/>
      <c r="F32" s="145" t="n"/>
      <c r="G32" s="145" t="n"/>
      <c r="H32" s="145" t="n"/>
      <c r="I32" s="145" t="n"/>
      <c r="J32" s="145" t="n"/>
      <c r="K32" s="145" t="n"/>
      <c r="L32" s="145" t="n"/>
      <c r="M32" s="145" t="n"/>
      <c r="N32" s="145" t="n"/>
      <c r="O32" s="145" t="n"/>
      <c r="P32" s="145" t="n"/>
      <c r="Q32" s="145" t="n"/>
      <c r="R32" s="145" t="n"/>
      <c r="S32" s="145" t="n"/>
      <c r="T32" s="145" t="n"/>
      <c r="U32" s="145" t="n"/>
      <c r="V32" s="145" t="n"/>
      <c r="W32" s="145" t="n"/>
      <c r="X32" s="145" t="n"/>
      <c r="Y32" s="145" t="n"/>
      <c r="Z32" s="145" t="n"/>
    </row>
    <row r="33" ht="41.25" customHeight="1" s="311">
      <c r="A33" s="270" t="n">
        <v>11</v>
      </c>
      <c r="B33" s="270" t="inlineStr">
        <is>
          <t>Nada visual</t>
        </is>
      </c>
      <c r="C33" s="272" t="inlineStr">
        <is>
          <t>El archivo era todo números en celdas. Para ver si un escenario era mejor que otro había que hacer las restas a mano.</t>
        </is>
      </c>
      <c r="D33" s="273" t="inlineStr">
        <is>
          <t>Ocho gráficos, barras de datos, barras en celda con caracteres de bloque y semáforos de color en cada indicador.</t>
        </is>
      </c>
      <c r="E33" s="145" t="n"/>
      <c r="F33" s="145" t="n"/>
      <c r="G33" s="145" t="n"/>
      <c r="H33" s="145" t="n"/>
      <c r="I33" s="145" t="n"/>
      <c r="J33" s="145" t="n"/>
      <c r="K33" s="145" t="n"/>
      <c r="L33" s="145" t="n"/>
      <c r="M33" s="145" t="n"/>
      <c r="N33" s="145" t="n"/>
      <c r="O33" s="145" t="n"/>
      <c r="P33" s="145" t="n"/>
      <c r="Q33" s="145" t="n"/>
      <c r="R33" s="145" t="n"/>
      <c r="S33" s="145" t="n"/>
      <c r="T33" s="145" t="n"/>
      <c r="U33" s="145" t="n"/>
      <c r="V33" s="145" t="n"/>
      <c r="W33" s="145" t="n"/>
      <c r="X33" s="145" t="n"/>
      <c r="Y33" s="145" t="n"/>
      <c r="Z33" s="145" t="n"/>
    </row>
    <row r="34" ht="75.75" customHeight="1" s="311">
      <c r="A34" s="270" t="n">
        <v>12</v>
      </c>
      <c r="B34" s="270" t="inlineStr">
        <is>
          <t>Facturas</t>
        </is>
      </c>
      <c r="C34" s="272" t="inlineStr">
        <is>
          <t>Las facturas eran una lista plana: importe y poco más. No había manera de registrar un pago parcial ni una nota de abono, así que una factura de 357 € de la que ya hubieras pagado 200 € seguía pesando 357 € en todos los cálculos.</t>
        </is>
      </c>
      <c r="D34" s="273" t="inlineStr">
        <is>
          <t>Cada factura tiene ahora Importe, Abonado y SALDO PENDIENTE. Tesorería, Disponibilidad, el Panel y los gráficos trabajan con el saldo vivo: en cuanto anotas un abono, baja todo solo. Hay un bloque nuevo "Abonos y saldos" con el total facturado, el total abonado y el % abonado.</t>
        </is>
      </c>
      <c r="E34" s="145" t="n"/>
      <c r="F34" s="145" t="n"/>
      <c r="G34" s="145" t="n"/>
      <c r="H34" s="145" t="n"/>
      <c r="I34" s="145" t="n"/>
      <c r="J34" s="145" t="n"/>
      <c r="K34" s="145" t="n"/>
      <c r="L34" s="145" t="n"/>
      <c r="M34" s="145" t="n"/>
      <c r="N34" s="145" t="n"/>
      <c r="O34" s="145" t="n"/>
      <c r="P34" s="145" t="n"/>
      <c r="Q34" s="145" t="n"/>
      <c r="R34" s="145" t="n"/>
      <c r="S34" s="145" t="n"/>
      <c r="T34" s="145" t="n"/>
      <c r="U34" s="145" t="n"/>
      <c r="V34" s="145" t="n"/>
      <c r="W34" s="145" t="n"/>
      <c r="X34" s="145" t="n"/>
      <c r="Y34" s="145" t="n"/>
      <c r="Z34" s="145" t="n"/>
    </row>
    <row r="35" ht="75.75" customHeight="1" s="311">
      <c r="A35" s="274" t="n">
        <v>13</v>
      </c>
      <c r="B35" s="274" t="inlineStr">
        <is>
          <t>Facturas</t>
        </is>
      </c>
      <c r="C35" s="275" t="inlineStr">
        <is>
          <t>Tus facturas reales estaban en HomeBank, fuera de este libro.</t>
        </is>
      </c>
      <c r="D35" s="276" t="inlineStr">
        <is>
          <t>Importadas las 30 líneas de tu captura, saltando las 2 que ya tenías (Veolia de 98,20 € y la cuota de Hacienda de agosto). El saldo pendiente pasa de 1.322,68 € a 3.162,84 €. También cambié la categoría "Ocio" (sin uso) por "Préstamos y empeños", que es donde van Quick Gold, CloverIntergold e Imagin Crédito.</t>
        </is>
      </c>
      <c r="E35" s="145" t="n"/>
      <c r="F35" s="145" t="n"/>
      <c r="G35" s="145" t="n"/>
      <c r="H35" s="145" t="n"/>
      <c r="I35" s="145" t="n"/>
      <c r="J35" s="145" t="n"/>
      <c r="K35" s="145" t="n"/>
      <c r="L35" s="145" t="n"/>
      <c r="M35" s="145" t="n"/>
      <c r="N35" s="145" t="n"/>
      <c r="O35" s="145" t="n"/>
      <c r="P35" s="145" t="n"/>
      <c r="Q35" s="145" t="n"/>
      <c r="R35" s="145" t="n"/>
      <c r="S35" s="145" t="n"/>
      <c r="T35" s="145" t="n"/>
      <c r="U35" s="145" t="n"/>
      <c r="V35" s="145" t="n"/>
      <c r="W35" s="145" t="n"/>
      <c r="X35" s="145" t="n"/>
      <c r="Y35" s="145" t="n"/>
      <c r="Z35" s="145" t="n"/>
    </row>
    <row r="36" ht="41.25" customHeight="1" s="311">
      <c r="A36" s="270" t="n">
        <v>14</v>
      </c>
      <c r="B36" s="270" t="inlineStr">
        <is>
          <t>Todas</t>
        </is>
      </c>
      <c r="C36" s="272" t="inlineStr">
        <is>
          <t>No había estados financieros: podías ver el mes a mes, pero no responder a "¿cuánto valgo?", "¿gano o pierdo?" ni "¿por qué si gano dinero no me queda en la cuenta?".</t>
        </is>
      </c>
      <c r="D36" s="273" t="inlineStr">
        <is>
          <t>Tres estados enlazados entre sí y con lo que ya tenías: Resultados, Balance y FlujoCaja. Con eliminación del aporte interno, separación de intereses y principal, y dos controles que deben dar cero: Activo − Pasivo − Patrimonio, y conciliación − variación de caja.</t>
        </is>
      </c>
      <c r="E36" s="145" t="n"/>
      <c r="F36" s="145" t="n"/>
      <c r="G36" s="145" t="n"/>
      <c r="H36" s="145" t="n"/>
      <c r="I36" s="145" t="n"/>
      <c r="J36" s="145" t="n"/>
      <c r="K36" s="145" t="n"/>
      <c r="L36" s="145" t="n"/>
      <c r="M36" s="145" t="n"/>
      <c r="N36" s="145" t="n"/>
      <c r="O36" s="145" t="n"/>
      <c r="P36" s="145" t="n"/>
      <c r="Q36" s="145" t="n"/>
      <c r="R36" s="145" t="n"/>
      <c r="S36" s="145" t="n"/>
      <c r="T36" s="145" t="n"/>
      <c r="U36" s="145" t="n"/>
      <c r="V36" s="145" t="n"/>
      <c r="W36" s="145" t="n"/>
      <c r="X36" s="145" t="n"/>
      <c r="Y36" s="145" t="n"/>
      <c r="Z36" s="145" t="n"/>
    </row>
    <row r="37" ht="79.5" customHeight="1" s="311">
      <c r="A37" s="270" t="n">
        <v>15</v>
      </c>
      <c r="B37" s="270" t="inlineStr">
        <is>
          <t>Panel + estados</t>
        </is>
      </c>
      <c r="C37" s="272" t="inlineStr">
        <is>
          <t>Los estados financieros miraban siempre al mes en curso. No había forma de ver "¿qué pasó en mayo?" ni de comparar meses.</t>
        </is>
      </c>
      <c r="D37" s="273" t="inlineStr">
        <is>
          <t>Un único desplegable de PERIODO en el Panel filtra los tres estados a la vez: el gasto devengado de Resultados, la fecha y los pasivos del Balance, y el arranque de la proyección de FlujoCaja. Resultados incorpora además una evolución de 12 meses con gráfico, y Balance un histórico de saldos de cierre para que la foto de un mes pasado use los saldos de ese mes y no los de hoy.</t>
        </is>
      </c>
      <c r="E37" s="145" t="n"/>
      <c r="F37" s="145" t="n"/>
      <c r="G37" s="145" t="n"/>
      <c r="H37" s="145" t="n"/>
      <c r="I37" s="145" t="n"/>
      <c r="J37" s="145" t="n"/>
      <c r="K37" s="145" t="n"/>
      <c r="L37" s="145" t="n"/>
      <c r="M37" s="145" t="n"/>
      <c r="N37" s="145" t="n"/>
      <c r="O37" s="145" t="n"/>
      <c r="P37" s="145" t="n"/>
      <c r="Q37" s="145" t="n"/>
      <c r="R37" s="145" t="n"/>
      <c r="S37" s="145" t="n"/>
      <c r="T37" s="145" t="n"/>
      <c r="U37" s="145" t="n"/>
      <c r="V37" s="145" t="n"/>
      <c r="W37" s="145" t="n"/>
      <c r="X37" s="145" t="n"/>
      <c r="Y37" s="145" t="n"/>
      <c r="Z37" s="145" t="n"/>
    </row>
    <row r="38" ht="41.25" customHeight="1" s="311">
      <c r="A38" s="274" t="n">
        <v>16</v>
      </c>
      <c r="B38" s="274" t="inlineStr">
        <is>
          <t>Inversiones</t>
        </is>
      </c>
      <c r="C38" s="275" t="inlineStr">
        <is>
          <t>Tu patrimonio invertido era un único número escrito a mano (549,49 €) en la hoja Escenarios. No sabías qué parte venía de cada sitio, ni cuánto habías puesto, ni cuánto se llevaban las comisiones.</t>
        </is>
      </c>
      <c r="D38" s="276" t="inlineStr">
        <is>
          <t>Hoja nueva con las 12 posiciones, ROI por posición y del conjunto, comisiones separadas entre compra y acumuladas, dividendos e intereses, distribución por tipo de activo y peso de cada posición. El Balance y el cálculo de independencia financiera ya leen de aquí en lugar de un número fijo.</t>
        </is>
      </c>
      <c r="E38" s="145" t="n"/>
      <c r="F38" s="145" t="n"/>
      <c r="G38" s="145" t="n"/>
      <c r="H38" s="145" t="n"/>
      <c r="I38" s="145" t="n"/>
      <c r="J38" s="145" t="n"/>
      <c r="K38" s="145" t="n"/>
      <c r="L38" s="145" t="n"/>
      <c r="M38" s="145" t="n"/>
      <c r="N38" s="145" t="n"/>
      <c r="O38" s="145" t="n"/>
      <c r="P38" s="145" t="n"/>
      <c r="Q38" s="145" t="n"/>
      <c r="R38" s="145" t="n"/>
      <c r="S38" s="145" t="n"/>
      <c r="T38" s="145" t="n"/>
      <c r="U38" s="145" t="n"/>
      <c r="V38" s="145" t="n"/>
      <c r="W38" s="145" t="n"/>
      <c r="X38" s="145" t="n"/>
      <c r="Y38" s="145" t="n"/>
      <c r="Z38" s="145" t="n"/>
    </row>
    <row r="39" ht="78" customHeight="1" s="311">
      <c r="A39" s="270" t="n">
        <v>17</v>
      </c>
      <c r="B39" s="270" t="inlineStr">
        <is>
          <t>Ratios</t>
        </is>
      </c>
      <c r="C39" s="272" t="inlineStr">
        <is>
          <t>En tu Balance antiguo había un bloque "Common Financial Ratios" en inglés donde ROIC, EV/EBIT, EBIT/FCF, Equity Multiplier y WACC leían casi todos la misma celda de texto, e ISBETWEEN dejaba tres semáforos en ❌ permanente.</t>
        </is>
      </c>
      <c r="D39" s="273" t="inlineStr">
        <is>
          <t>Hoja nueva en español con 27 ratios que sí leen los estados financieros. Los cinco de valoración de empresa están adaptados: el WACC pasa a ser el coste medio de TU deuda, el EV/EBIT a los años de resultado necesarios para saldar la deuda neta, el EBIT/FCF a cuánto de tu resultado acaba siendo dinero, y el ROIC a la rentabilidad real de tu cartera. Termina con puntuación sobre 100, diagnóstico y plan de acción.</t>
        </is>
      </c>
      <c r="E39" s="145" t="n"/>
      <c r="F39" s="145" t="n"/>
      <c r="G39" s="145" t="n"/>
      <c r="H39" s="145" t="n"/>
      <c r="I39" s="145" t="n"/>
      <c r="J39" s="145" t="n"/>
      <c r="K39" s="145" t="n"/>
      <c r="L39" s="145" t="n"/>
      <c r="M39" s="145" t="n"/>
      <c r="N39" s="145" t="n"/>
      <c r="O39" s="145" t="n"/>
      <c r="P39" s="145" t="n"/>
      <c r="Q39" s="145" t="n"/>
      <c r="R39" s="145" t="n"/>
      <c r="S39" s="145" t="n"/>
      <c r="T39" s="145" t="n"/>
      <c r="U39" s="145" t="n"/>
      <c r="V39" s="145" t="n"/>
      <c r="W39" s="145" t="n"/>
      <c r="X39" s="145" t="n"/>
      <c r="Y39" s="145" t="n"/>
      <c r="Z39" s="145" t="n"/>
    </row>
    <row r="40" ht="78" customHeight="1" s="311">
      <c r="A40" s="270" t="n">
        <v>18</v>
      </c>
      <c r="B40" s="270" t="inlineStr">
        <is>
          <t>Caja + Disponibilidad</t>
        </is>
      </c>
      <c r="C40" s="272" t="inlineStr">
        <is>
          <t>Pagar una factura bajaba la deuda pero no bajaba el dinero del banco, porque los saldos se escribían a mano. Si pagabas 500 € y no actualizabas la cuenta, tu patrimonio neto subía 500 € de la nada.</t>
        </is>
      </c>
      <c r="D40" s="273" t="inlineStr">
        <is>
          <t>Libro de Caja nuevo: un apunte de pago con el número de factura descuenta el saldo de la factura y el de la cuenta a la vez. Y Disponibilidad incorpora una conciliación bancaria: saldo de apertura + movimientos de Caja = saldo teórico, comparado con el saldo real, con aviso si no cuadra.</t>
        </is>
      </c>
      <c r="E40" s="145" t="n"/>
      <c r="F40" s="145" t="n"/>
      <c r="G40" s="145" t="n"/>
      <c r="H40" s="145" t="n"/>
      <c r="I40" s="145" t="n"/>
      <c r="J40" s="145" t="n"/>
      <c r="K40" s="145" t="n"/>
      <c r="L40" s="145" t="n"/>
      <c r="M40" s="145" t="n"/>
      <c r="N40" s="145" t="n"/>
      <c r="O40" s="145" t="n"/>
      <c r="P40" s="145" t="n"/>
      <c r="Q40" s="145" t="n"/>
      <c r="R40" s="145" t="n"/>
      <c r="S40" s="145" t="n"/>
      <c r="T40" s="145" t="n"/>
      <c r="U40" s="145" t="n"/>
      <c r="V40" s="145" t="n"/>
      <c r="W40" s="145" t="n"/>
      <c r="X40" s="145" t="n"/>
      <c r="Y40" s="145" t="n"/>
      <c r="Z40" s="145" t="n"/>
    </row>
    <row r="41" ht="78" customHeight="1" s="311">
      <c r="A41" s="274" t="n">
        <v>19</v>
      </c>
      <c r="B41" s="274" t="inlineStr">
        <is>
          <t>Resultados</t>
        </is>
      </c>
      <c r="C41" s="275" t="inlineStr">
        <is>
          <t>La evolución mensual solo podía usar el presupuesto y las facturas, que no cubren tus gastos personales del día a día.</t>
        </is>
      </c>
      <c r="D41" s="276" t="inlineStr">
        <is>
          <t>Bloque de evolución con ingresos, gastos, resultado, variación mensual de cada uno y tasa de ahorro, más tres gráficos: barras comparando ingresos frente a gastos mes a mes, línea del resultado y línea de la tasa de ahorro. Un selector permite elegir entre datos reales de Caja, estimación, o automático.</t>
        </is>
      </c>
      <c r="E41" s="145" t="n"/>
      <c r="F41" s="145" t="n"/>
      <c r="G41" s="145" t="n"/>
      <c r="H41" s="145" t="n"/>
      <c r="I41" s="145" t="n"/>
      <c r="J41" s="145" t="n"/>
      <c r="K41" s="145" t="n"/>
      <c r="L41" s="145" t="n"/>
      <c r="M41" s="145" t="n"/>
      <c r="N41" s="145" t="n"/>
      <c r="O41" s="145" t="n"/>
      <c r="P41" s="145" t="n"/>
      <c r="Q41" s="145" t="n"/>
      <c r="R41" s="145" t="n"/>
      <c r="S41" s="145" t="n"/>
      <c r="T41" s="145" t="n"/>
      <c r="U41" s="145" t="n"/>
      <c r="V41" s="145" t="n"/>
      <c r="W41" s="145" t="n"/>
      <c r="X41" s="145" t="n"/>
      <c r="Y41" s="145" t="n"/>
      <c r="Z41" s="145" t="n"/>
    </row>
    <row r="42" ht="65.25" customHeight="1" s="311">
      <c r="A42" s="270" t="n">
        <v>20</v>
      </c>
      <c r="B42" s="270" t="inlineStr">
        <is>
          <t>Facturas + Resultados</t>
        </is>
      </c>
      <c r="C42" s="272" t="inlineStr">
        <is>
          <t>Las cinco facturas de Quick Gold estaban como "Préstamos y empeños", una categoría patrimonial: se descontaban del pasivo por facturas y no llegaban al Estado de Resultados. En realidad son intereses del empeño, es decir gasto puro.</t>
        </is>
      </c>
      <c r="D42" s="273" t="inlineStr">
        <is>
          <t>Categoría nueva "Intereses de empeño" (ocupa el hueco de "Salud", que no usabas). Los 580,90 € pasan a gastos financieros y dejan de descontarse del pasivo. La fila "Intereses de empeño y préstamos" del Estado de Resultados ya no es una celda a rellenar: se calcula sola desde Facturas según el periodo elegido.</t>
        </is>
      </c>
      <c r="E42" s="145" t="n"/>
      <c r="F42" s="145" t="n"/>
      <c r="G42" s="145" t="n"/>
      <c r="H42" s="145" t="n"/>
      <c r="I42" s="145" t="n"/>
      <c r="J42" s="145" t="n"/>
      <c r="K42" s="145" t="n"/>
      <c r="L42" s="145" t="n"/>
      <c r="M42" s="145" t="n"/>
      <c r="N42" s="145" t="n"/>
      <c r="O42" s="145" t="n"/>
      <c r="P42" s="145" t="n"/>
      <c r="Q42" s="145" t="n"/>
      <c r="R42" s="145" t="n"/>
      <c r="S42" s="145" t="n"/>
      <c r="T42" s="145" t="n"/>
      <c r="U42" s="145" t="n"/>
      <c r="V42" s="145" t="n"/>
      <c r="W42" s="145" t="n"/>
      <c r="X42" s="145" t="n"/>
      <c r="Y42" s="145" t="n"/>
      <c r="Z42" s="145" t="n"/>
    </row>
    <row r="43" ht="78" customHeight="1" s="311">
      <c r="A43" s="270" t="n">
        <v>21</v>
      </c>
      <c r="B43" s="270" t="inlineStr">
        <is>
          <t>Facturas + Prioridad</t>
        </is>
      </c>
      <c r="C43" s="272" t="inlineStr">
        <is>
          <t>Podías ver todas las facturas pendientes, pero no había forma de apartar las que querías pagar primero ni de saber cuánto sumaban esas en concreto.</t>
        </is>
      </c>
      <c r="D43" s="273" t="inlineStr">
        <is>
          <t>Columna "PRIORIDAD DE PAGO" en Facturas (Urgente · Alta · Media · Baja) y hoja Prioridad nueva que las recoge con vencimiento, número, categoría, estado, importe, abonado y saldo. Calcula el total seleccionado, lo compara con el disponible y reparte por nivel de urgencia con gráfico. Al saldar una factura desaparece sola de la cola.</t>
        </is>
      </c>
      <c r="E43" s="145" t="n"/>
      <c r="F43" s="145" t="n"/>
      <c r="G43" s="145" t="n"/>
      <c r="H43" s="145" t="n"/>
      <c r="I43" s="145" t="n"/>
      <c r="J43" s="145" t="n"/>
      <c r="K43" s="145" t="n"/>
      <c r="L43" s="145" t="n"/>
      <c r="M43" s="145" t="n"/>
      <c r="N43" s="145" t="n"/>
      <c r="O43" s="145" t="n"/>
      <c r="P43" s="145" t="n"/>
      <c r="Q43" s="145" t="n"/>
      <c r="R43" s="145" t="n"/>
      <c r="S43" s="145" t="n"/>
      <c r="T43" s="145" t="n"/>
      <c r="U43" s="145" t="n"/>
      <c r="V43" s="145" t="n"/>
      <c r="W43" s="145" t="n"/>
      <c r="X43" s="145" t="n"/>
      <c r="Y43" s="145" t="n"/>
      <c r="Z43" s="145" t="n"/>
    </row>
    <row r="44" ht="28.5" customHeight="1" s="311">
      <c r="A44" s="145" t="n"/>
      <c r="B44" s="145" t="n"/>
      <c r="C44" s="145" t="n"/>
      <c r="D44" s="145" t="n"/>
      <c r="E44" s="145" t="n"/>
      <c r="F44" s="145" t="n"/>
      <c r="G44" s="145" t="n"/>
      <c r="H44" s="145" t="n"/>
      <c r="I44" s="145" t="n"/>
      <c r="J44" s="145" t="n"/>
      <c r="K44" s="145" t="n"/>
      <c r="L44" s="145" t="n"/>
      <c r="M44" s="145" t="n"/>
      <c r="N44" s="145" t="n"/>
      <c r="O44" s="145" t="n"/>
      <c r="P44" s="145" t="n"/>
      <c r="Q44" s="145" t="n"/>
      <c r="R44" s="145" t="n"/>
      <c r="S44" s="145" t="n"/>
      <c r="T44" s="145" t="n"/>
      <c r="U44" s="145" t="n"/>
      <c r="V44" s="145" t="n"/>
      <c r="W44" s="145" t="n"/>
      <c r="X44" s="145" t="n"/>
      <c r="Y44" s="145" t="n"/>
      <c r="Z44" s="145" t="n"/>
    </row>
    <row r="45" ht="54" customHeight="1" s="311">
      <c r="A45" s="21" t="inlineStr">
        <is>
          <t>3.  LO QUE DICEN LOS NÚMEROS</t>
        </is>
      </c>
      <c r="B45" s="22" t="n"/>
      <c r="C45" s="22" t="n"/>
      <c r="D45" s="22" t="n"/>
      <c r="E45" s="145" t="n"/>
      <c r="F45" s="145" t="n"/>
      <c r="G45" s="145" t="n"/>
      <c r="H45" s="145" t="n"/>
      <c r="I45" s="145" t="n"/>
      <c r="J45" s="145" t="n"/>
      <c r="K45" s="145" t="n"/>
      <c r="L45" s="145" t="n"/>
      <c r="M45" s="145" t="n"/>
      <c r="N45" s="145" t="n"/>
      <c r="O45" s="145" t="n"/>
      <c r="P45" s="145" t="n"/>
      <c r="Q45" s="145" t="n"/>
      <c r="R45" s="145" t="n"/>
      <c r="S45" s="145" t="n"/>
      <c r="T45" s="145" t="n"/>
      <c r="U45" s="145" t="n"/>
      <c r="V45" s="145" t="n"/>
      <c r="W45" s="145" t="n"/>
      <c r="X45" s="145" t="n"/>
      <c r="Y45" s="145" t="n"/>
      <c r="Z45" s="145" t="n"/>
    </row>
    <row r="46" ht="40.5" customHeight="1" s="311">
      <c r="A46" s="145" t="n"/>
      <c r="B46" s="266" t="inlineStr">
        <is>
          <t>La Coruña es una trampa aparente</t>
        </is>
      </c>
      <c r="C46" s="267" t="inlineStr">
        <is>
          <t>Es donde más aportas a la casa (983 €) y donde mejor sale la tasa de ahorro del sistema, pero solo te deja 1,80 € libres al mes: el 30% de estilo de vida (436,80 €) apenas cubre los 435 € de la hipoteca. Un escenario sin ningún margen para imprevistos.</t>
        </is>
      </c>
      <c r="D46" s="145" t="n"/>
      <c r="E46" s="145" t="n"/>
      <c r="F46" s="145" t="n"/>
      <c r="G46" s="145" t="n"/>
      <c r="H46" s="145" t="n"/>
      <c r="I46" s="145" t="n"/>
      <c r="J46" s="145" t="n"/>
      <c r="K46" s="145" t="n"/>
      <c r="L46" s="145" t="n"/>
      <c r="M46" s="145" t="n"/>
      <c r="N46" s="145" t="n"/>
      <c r="O46" s="145" t="n"/>
      <c r="P46" s="145" t="n"/>
      <c r="Q46" s="145" t="n"/>
      <c r="R46" s="145" t="n"/>
      <c r="S46" s="145" t="n"/>
      <c r="T46" s="145" t="n"/>
      <c r="U46" s="145" t="n"/>
      <c r="V46" s="145" t="n"/>
      <c r="W46" s="145" t="n"/>
      <c r="X46" s="145" t="n"/>
      <c r="Y46" s="145" t="n"/>
      <c r="Z46" s="145" t="n"/>
    </row>
    <row r="47" ht="37.5" customHeight="1" s="311">
      <c r="A47" s="145" t="n"/>
      <c r="B47" s="266" t="inlineStr">
        <is>
          <t>Quedarte donde estás gana en casi todo</t>
        </is>
      </c>
      <c r="C47" s="267" t="inlineStr">
        <is>
          <t>Con 2.966 € (tu nómina real) tienes la mayor capacidad de ahorro total, 454,80 € libres al mes y las mismas cuentas del hogar cubiertas. Mudarte a Irlanda con 2.400 € te cuesta unos 330 € de capacidad de ahorro al mes.</t>
        </is>
      </c>
      <c r="D47" s="145" t="n"/>
      <c r="E47" s="145" t="n"/>
      <c r="F47" s="145" t="n"/>
      <c r="G47" s="145" t="n"/>
      <c r="H47" s="145" t="n"/>
      <c r="I47" s="145" t="n"/>
      <c r="J47" s="145" t="n"/>
      <c r="K47" s="145" t="n"/>
      <c r="L47" s="145" t="n"/>
      <c r="M47" s="145" t="n"/>
      <c r="N47" s="145" t="n"/>
      <c r="O47" s="145" t="n"/>
      <c r="P47" s="145" t="n"/>
      <c r="Q47" s="145" t="n"/>
      <c r="R47" s="145" t="n"/>
      <c r="S47" s="145" t="n"/>
      <c r="T47" s="145" t="n"/>
      <c r="U47" s="145" t="n"/>
      <c r="V47" s="145" t="n"/>
      <c r="W47" s="145" t="n"/>
      <c r="X47" s="145" t="n"/>
      <c r="Y47" s="145" t="n"/>
      <c r="Z47" s="145" t="n"/>
    </row>
    <row r="48" ht="28.5" customHeight="1" s="311">
      <c r="A48" s="145" t="n"/>
      <c r="B48" s="266" t="inlineStr">
        <is>
          <t>Madrid deja el hogar más justo</t>
        </is>
      </c>
      <c r="C48" s="267" t="inlineStr">
        <is>
          <t>Madrid es el escenario con menor superávit del hogar y solo 120 € libres para ti. Baja el alquiler, pero también baja bastante el ingreso.</t>
        </is>
      </c>
      <c r="D48" s="145" t="n"/>
      <c r="E48" s="145" t="n"/>
      <c r="F48" s="145" t="n"/>
      <c r="G48" s="145" t="n"/>
      <c r="H48" s="145" t="n"/>
      <c r="I48" s="145" t="n"/>
      <c r="J48" s="145" t="n"/>
      <c r="K48" s="145" t="n"/>
      <c r="L48" s="145" t="n"/>
      <c r="M48" s="145" t="n"/>
      <c r="N48" s="145" t="n"/>
      <c r="O48" s="145" t="n"/>
      <c r="P48" s="145" t="n"/>
      <c r="Q48" s="145" t="n"/>
      <c r="R48" s="145" t="n"/>
      <c r="S48" s="145" t="n"/>
      <c r="T48" s="145" t="n"/>
      <c r="U48" s="145" t="n"/>
      <c r="V48" s="145" t="n"/>
      <c r="W48" s="145" t="n"/>
      <c r="X48" s="145" t="n"/>
      <c r="Y48" s="145" t="n"/>
      <c r="Z48" s="145" t="n"/>
    </row>
    <row r="49" ht="28.5" customHeight="1" s="311">
      <c r="A49" s="145" t="n"/>
      <c r="B49" s="266" t="inlineStr">
        <is>
          <t>El crédito no es un colchón</t>
        </is>
      </c>
      <c r="C49" s="267" t="inlineStr">
        <is>
          <t>Entre las dos tarjetas tienes 6.500 € de límite y 6.461,04 € dispuestos: apenas 38,96 € de margen. En la práctica no tienes red de seguridad, así que el fondo de emergencia deja de ser teoría.</t>
        </is>
      </c>
      <c r="D49" s="145" t="n"/>
      <c r="E49" s="145" t="n"/>
      <c r="F49" s="145" t="n"/>
      <c r="G49" s="145" t="n"/>
      <c r="H49" s="145" t="n"/>
      <c r="I49" s="145" t="n"/>
      <c r="J49" s="145" t="n"/>
      <c r="K49" s="145" t="n"/>
      <c r="L49" s="145" t="n"/>
      <c r="M49" s="145" t="n"/>
      <c r="N49" s="145" t="n"/>
      <c r="O49" s="145" t="n"/>
      <c r="P49" s="145" t="n"/>
      <c r="Q49" s="145" t="n"/>
      <c r="R49" s="145" t="n"/>
      <c r="S49" s="145" t="n"/>
      <c r="T49" s="145" t="n"/>
      <c r="U49" s="145" t="n"/>
      <c r="V49" s="145" t="n"/>
      <c r="W49" s="145" t="n"/>
      <c r="X49" s="145" t="n"/>
      <c r="Y49" s="145" t="n"/>
      <c r="Z49" s="145" t="n"/>
    </row>
    <row r="50" ht="48" customHeight="1" s="311">
      <c r="A50" s="145" t="n"/>
      <c r="B50" s="266" t="inlineStr">
        <is>
          <t>Ojo con la cuenta que paga las facturas</t>
        </is>
      </c>
      <c r="C50" s="267" t="inlineStr">
        <is>
          <t>Casi todas las facturas salen de CaixaBank corriente, que en tus datos tiene 1,81 €. Aunque el disponible total sea holgado, si el dinero no está en esa cuenta el recibo se devuelve y te cobran comisión.</t>
        </is>
      </c>
      <c r="D50" s="145" t="n"/>
      <c r="E50" s="145" t="n"/>
      <c r="F50" s="145" t="n"/>
      <c r="G50" s="145" t="n"/>
      <c r="H50" s="145" t="n"/>
      <c r="I50" s="145" t="n"/>
      <c r="J50" s="145" t="n"/>
      <c r="K50" s="145" t="n"/>
      <c r="L50" s="145" t="n"/>
      <c r="M50" s="145" t="n"/>
      <c r="N50" s="145" t="n"/>
      <c r="O50" s="145" t="n"/>
      <c r="P50" s="145" t="n"/>
      <c r="Q50" s="145" t="n"/>
      <c r="R50" s="145" t="n"/>
      <c r="S50" s="145" t="n"/>
      <c r="T50" s="145" t="n"/>
      <c r="U50" s="145" t="n"/>
      <c r="V50" s="145" t="n"/>
      <c r="W50" s="145" t="n"/>
      <c r="X50" s="145" t="n"/>
      <c r="Y50" s="145" t="n"/>
      <c r="Z50" s="145" t="n"/>
    </row>
    <row r="51" ht="15.75" customHeight="1" s="311">
      <c r="A51" s="145" t="n"/>
      <c r="B51" s="145" t="n"/>
      <c r="C51" s="145" t="n"/>
      <c r="D51" s="145" t="n"/>
      <c r="E51" s="145" t="n"/>
      <c r="F51" s="145" t="n"/>
      <c r="G51" s="145" t="n"/>
      <c r="H51" s="145" t="n"/>
      <c r="I51" s="145" t="n"/>
      <c r="J51" s="145" t="n"/>
      <c r="K51" s="145" t="n"/>
      <c r="L51" s="145" t="n"/>
      <c r="M51" s="145" t="n"/>
      <c r="N51" s="145" t="n"/>
      <c r="O51" s="145" t="n"/>
      <c r="P51" s="145" t="n"/>
      <c r="Q51" s="145" t="n"/>
      <c r="R51" s="145" t="n"/>
      <c r="S51" s="145" t="n"/>
      <c r="T51" s="145" t="n"/>
      <c r="U51" s="145" t="n"/>
      <c r="V51" s="145" t="n"/>
      <c r="W51" s="145" t="n"/>
      <c r="X51" s="145" t="n"/>
      <c r="Y51" s="145" t="n"/>
      <c r="Z51" s="145" t="n"/>
    </row>
    <row r="52" ht="15.75" customHeight="1" s="311">
      <c r="A52" s="21" t="inlineStr">
        <is>
          <t>4.  GOOGLE SHEETS</t>
        </is>
      </c>
      <c r="B52" s="22" t="n"/>
      <c r="C52" s="22" t="n"/>
      <c r="D52" s="22" t="n"/>
      <c r="E52" s="145" t="n"/>
      <c r="F52" s="145" t="n"/>
      <c r="G52" s="145" t="n"/>
      <c r="H52" s="145" t="n"/>
      <c r="I52" s="145" t="n"/>
      <c r="J52" s="145" t="n"/>
      <c r="K52" s="145" t="n"/>
      <c r="L52" s="145" t="n"/>
      <c r="M52" s="145" t="n"/>
      <c r="N52" s="145" t="n"/>
      <c r="O52" s="145" t="n"/>
      <c r="P52" s="145" t="n"/>
      <c r="Q52" s="145" t="n"/>
      <c r="R52" s="145" t="n"/>
      <c r="S52" s="145" t="n"/>
      <c r="T52" s="145" t="n"/>
      <c r="U52" s="145" t="n"/>
      <c r="V52" s="145" t="n"/>
      <c r="W52" s="145" t="n"/>
      <c r="X52" s="145" t="n"/>
      <c r="Y52" s="145" t="n"/>
      <c r="Z52" s="145" t="n"/>
    </row>
    <row r="53" ht="42.75" customHeight="1" s="311">
      <c r="A53" s="145" t="n"/>
      <c r="B53" s="266" t="inlineStr">
        <is>
          <t>Subirlo y convertirlo</t>
        </is>
      </c>
      <c r="C53" s="267" t="inlineStr">
        <is>
          <t>En Drive: Nuevo → Subir archivo. Ábrelo y usa Archivo → Guardar como Hojas de cálculo de Google. Así los desplegables, los gráficos y el formato condicional quedan nativos.</t>
        </is>
      </c>
      <c r="D53" s="145" t="n"/>
      <c r="E53" s="145" t="n"/>
      <c r="F53" s="145" t="n"/>
      <c r="G53" s="145" t="n"/>
      <c r="H53" s="145" t="n"/>
      <c r="I53" s="145" t="n"/>
      <c r="J53" s="145" t="n"/>
      <c r="K53" s="145" t="n"/>
      <c r="L53" s="145" t="n"/>
      <c r="M53" s="145" t="n"/>
      <c r="N53" s="145" t="n"/>
      <c r="O53" s="145" t="n"/>
      <c r="P53" s="145" t="n"/>
      <c r="Q53" s="145" t="n"/>
      <c r="R53" s="145" t="n"/>
      <c r="S53" s="145" t="n"/>
      <c r="T53" s="145" t="n"/>
      <c r="U53" s="145" t="n"/>
      <c r="V53" s="145" t="n"/>
      <c r="W53" s="145" t="n"/>
      <c r="X53" s="145" t="n"/>
      <c r="Y53" s="145" t="n"/>
      <c r="Z53" s="145" t="n"/>
    </row>
    <row r="54" ht="48" customHeight="1" s="311">
      <c r="A54" s="145" t="n"/>
      <c r="B54" s="266" t="inlineStr">
        <is>
          <t>Los gráficos</t>
        </is>
      </c>
      <c r="C54" s="267" t="inlineStr">
        <is>
          <t>Los 12 gráficos son nativos de hoja de cálculo, no imágenes: se actualizan al cambiar de escenario. Google Sheets puede recolocarlos o cambiarles el estilo al importar; arrástralos donde quieras.</t>
        </is>
      </c>
      <c r="D54" s="145" t="n"/>
      <c r="E54" s="145" t="n"/>
      <c r="F54" s="145" t="n"/>
      <c r="G54" s="145" t="n"/>
      <c r="H54" s="145" t="n"/>
      <c r="I54" s="145" t="n"/>
      <c r="J54" s="145" t="n"/>
      <c r="K54" s="145" t="n"/>
      <c r="L54" s="145" t="n"/>
      <c r="M54" s="145" t="n"/>
      <c r="N54" s="145" t="n"/>
      <c r="O54" s="145" t="n"/>
      <c r="P54" s="145" t="n"/>
      <c r="Q54" s="145" t="n"/>
      <c r="R54" s="145" t="n"/>
      <c r="S54" s="145" t="n"/>
      <c r="T54" s="145" t="n"/>
      <c r="U54" s="145" t="n"/>
      <c r="V54" s="145" t="n"/>
      <c r="W54" s="145" t="n"/>
      <c r="X54" s="145" t="n"/>
      <c r="Y54" s="145" t="n"/>
      <c r="Z54" s="145" t="n"/>
    </row>
    <row r="55" ht="36.75" customHeight="1" s="311">
      <c r="A55" s="145" t="n"/>
      <c r="B55" s="266" t="inlineStr">
        <is>
          <t>Lo que NO he usado</t>
        </is>
      </c>
      <c r="C55" s="267" t="inlineStr">
        <is>
          <t>Ni macros, ni tablas dinámicas, ni tablas de Excel, ni XLOOKUP, ni FILTER, ni ARRAYFORMULA. Son justo las cosas que se rompen o se truncan al convertir. Solo funciones que existen igual en los dos programas.</t>
        </is>
      </c>
      <c r="D55" s="145" t="n"/>
      <c r="E55" s="145" t="n"/>
      <c r="F55" s="145" t="n"/>
      <c r="G55" s="145" t="n"/>
      <c r="H55" s="145" t="n"/>
      <c r="I55" s="145" t="n"/>
      <c r="J55" s="145" t="n"/>
      <c r="K55" s="145" t="n"/>
      <c r="L55" s="145" t="n"/>
      <c r="M55" s="145" t="n"/>
      <c r="N55" s="145" t="n"/>
      <c r="O55" s="145" t="n"/>
      <c r="P55" s="145" t="n"/>
      <c r="Q55" s="145" t="n"/>
      <c r="R55" s="145" t="n"/>
      <c r="S55" s="145" t="n"/>
      <c r="T55" s="145" t="n"/>
      <c r="U55" s="145" t="n"/>
      <c r="V55" s="145" t="n"/>
      <c r="W55" s="145" t="n"/>
      <c r="X55" s="145" t="n"/>
      <c r="Y55" s="145" t="n"/>
      <c r="Z55" s="145" t="n"/>
    </row>
    <row r="56" ht="15.75" customHeight="1" s="311">
      <c r="A56" s="145" t="n"/>
      <c r="B56" s="266" t="inlineStr">
        <is>
          <t>Fechas y decimales</t>
        </is>
      </c>
      <c r="C56" s="267" t="inlineStr">
        <is>
          <t>Si ves fechas raras: Archivo → Configuración → Idioma "España". Los formatos de moneda ya vienen puestos.</t>
        </is>
      </c>
      <c r="D56" s="145" t="n"/>
      <c r="E56" s="145" t="n"/>
      <c r="F56" s="145" t="n"/>
      <c r="G56" s="145" t="n"/>
      <c r="H56" s="145" t="n"/>
      <c r="I56" s="145" t="n"/>
      <c r="J56" s="145" t="n"/>
      <c r="K56" s="145" t="n"/>
      <c r="L56" s="145" t="n"/>
      <c r="M56" s="145" t="n"/>
      <c r="N56" s="145" t="n"/>
      <c r="O56" s="145" t="n"/>
      <c r="P56" s="145" t="n"/>
      <c r="Q56" s="145" t="n"/>
      <c r="R56" s="145" t="n"/>
      <c r="S56" s="145" t="n"/>
      <c r="T56" s="145" t="n"/>
      <c r="U56" s="145" t="n"/>
      <c r="V56" s="145" t="n"/>
      <c r="W56" s="145" t="n"/>
      <c r="X56" s="145" t="n"/>
      <c r="Y56" s="145" t="n"/>
      <c r="Z56" s="145" t="n"/>
    </row>
    <row r="57" ht="45" customHeight="1" s="311">
      <c r="A57" s="145" t="n"/>
      <c r="B57" s="266" t="inlineStr">
        <is>
          <t>Tipos de cambio automáticos</t>
        </is>
      </c>
      <c r="C57" s="267" t="inlineStr">
        <is>
          <t>En Disponibilidad, celda N7, puedes cambiar el 0,92 por =GOOGLEFINANCE("CURRENCY:USDEUR"). Igual con DOP y GBP. Solo funciona en Google Sheets.</t>
        </is>
      </c>
      <c r="D57" s="145" t="n"/>
      <c r="E57" s="145" t="n"/>
      <c r="F57" s="145" t="n"/>
      <c r="G57" s="145" t="n"/>
      <c r="H57" s="145" t="n"/>
      <c r="I57" s="145" t="n"/>
      <c r="J57" s="145" t="n"/>
      <c r="K57" s="145" t="n"/>
      <c r="L57" s="145" t="n"/>
      <c r="M57" s="145" t="n"/>
      <c r="N57" s="145" t="n"/>
      <c r="O57" s="145" t="n"/>
      <c r="P57" s="145" t="n"/>
      <c r="Q57" s="145" t="n"/>
      <c r="R57" s="145" t="n"/>
      <c r="S57" s="145" t="n"/>
      <c r="T57" s="145" t="n"/>
      <c r="U57" s="145" t="n"/>
      <c r="V57" s="145" t="n"/>
      <c r="W57" s="145" t="n"/>
      <c r="X57" s="145" t="n"/>
      <c r="Y57" s="145" t="n"/>
      <c r="Z57" s="145" t="n"/>
    </row>
    <row r="58" ht="15.75" customHeight="1" s="311">
      <c r="A58" s="145" t="n"/>
      <c r="B58" s="145" t="n"/>
      <c r="C58" s="145" t="n"/>
      <c r="D58" s="145" t="n"/>
      <c r="E58" s="145" t="n"/>
      <c r="F58" s="145" t="n"/>
      <c r="G58" s="145" t="n"/>
      <c r="H58" s="145" t="n"/>
      <c r="I58" s="145" t="n"/>
      <c r="J58" s="145" t="n"/>
      <c r="K58" s="145" t="n"/>
      <c r="L58" s="145" t="n"/>
      <c r="M58" s="145" t="n"/>
      <c r="N58" s="145" t="n"/>
      <c r="O58" s="145" t="n"/>
      <c r="P58" s="145" t="n"/>
      <c r="Q58" s="145" t="n"/>
      <c r="R58" s="145" t="n"/>
      <c r="S58" s="145" t="n"/>
      <c r="T58" s="145" t="n"/>
      <c r="U58" s="145" t="n"/>
      <c r="V58" s="145" t="n"/>
      <c r="W58" s="145" t="n"/>
      <c r="X58" s="145" t="n"/>
      <c r="Y58" s="145" t="n"/>
      <c r="Z58" s="145" t="n"/>
    </row>
    <row r="59" ht="15.75" customHeight="1" s="311">
      <c r="A59" s="21" t="inlineStr">
        <is>
          <t>5.  SUPUESTOS QUE DEBES REVISAR</t>
        </is>
      </c>
      <c r="B59" s="22" t="n"/>
      <c r="C59" s="22" t="n"/>
      <c r="D59" s="22" t="n"/>
      <c r="E59" s="145" t="n"/>
      <c r="F59" s="145" t="n"/>
      <c r="G59" s="145" t="n"/>
      <c r="H59" s="145" t="n"/>
      <c r="I59" s="145" t="n"/>
      <c r="J59" s="145" t="n"/>
      <c r="K59" s="145" t="n"/>
      <c r="L59" s="145" t="n"/>
      <c r="M59" s="145" t="n"/>
      <c r="N59" s="145" t="n"/>
      <c r="O59" s="145" t="n"/>
      <c r="P59" s="145" t="n"/>
      <c r="Q59" s="145" t="n"/>
      <c r="R59" s="145" t="n"/>
      <c r="S59" s="145" t="n"/>
      <c r="T59" s="145" t="n"/>
      <c r="U59" s="145" t="n"/>
      <c r="V59" s="145" t="n"/>
      <c r="W59" s="145" t="n"/>
      <c r="X59" s="145" t="n"/>
      <c r="Y59" s="145" t="n"/>
      <c r="Z59" s="145" t="n"/>
    </row>
    <row r="60" ht="33.75" customHeight="1" s="311">
      <c r="A60" s="145" t="n"/>
      <c r="B60" s="266" t="inlineStr">
        <is>
          <t>Saldos bancarios</t>
        </is>
      </c>
      <c r="C60" s="267" t="inlineStr">
        <is>
          <t>Vienen de tu libro de finanzas personales (balance de noviembre-2025). Actualízalos en Disponibilidad antes de fiarte del diagnóstico.</t>
        </is>
      </c>
      <c r="D60" s="145" t="n"/>
      <c r="E60" s="145" t="n"/>
      <c r="F60" s="145" t="n"/>
      <c r="G60" s="145" t="n"/>
      <c r="H60" s="145" t="n"/>
      <c r="I60" s="145" t="n"/>
      <c r="J60" s="145" t="n"/>
      <c r="K60" s="145" t="n"/>
      <c r="L60" s="145" t="n"/>
      <c r="M60" s="145" t="n"/>
      <c r="N60" s="145" t="n"/>
      <c r="O60" s="145" t="n"/>
      <c r="P60" s="145" t="n"/>
      <c r="Q60" s="145" t="n"/>
      <c r="R60" s="145" t="n"/>
      <c r="S60" s="145" t="n"/>
      <c r="T60" s="145" t="n"/>
      <c r="U60" s="145" t="n"/>
      <c r="V60" s="145" t="n"/>
      <c r="W60" s="145" t="n"/>
      <c r="X60" s="145" t="n"/>
      <c r="Y60" s="145" t="n"/>
      <c r="Z60" s="145" t="n"/>
    </row>
    <row r="61" ht="31.5" customHeight="1" s="311">
      <c r="A61" s="145" t="n"/>
      <c r="B61" s="266" t="inlineStr">
        <is>
          <t>Moneda de Banreservas</t>
        </is>
      </c>
      <c r="C61" s="267" t="inlineStr">
        <is>
          <t>Mantuve 699,24 € tal cual, pero Banreservas opera en pesos dominicanos. Si son DOP, cámbialo y el disponible baja a unos 10,84 €.</t>
        </is>
      </c>
      <c r="D61" s="145" t="n"/>
      <c r="E61" s="145" t="n"/>
      <c r="F61" s="145" t="n"/>
      <c r="G61" s="145" t="n"/>
      <c r="H61" s="145" t="n"/>
      <c r="I61" s="145" t="n"/>
      <c r="J61" s="145" t="n"/>
      <c r="K61" s="145" t="n"/>
      <c r="L61" s="145" t="n"/>
      <c r="M61" s="145" t="n"/>
      <c r="N61" s="145" t="n"/>
      <c r="O61" s="145" t="n"/>
      <c r="P61" s="145" t="n"/>
      <c r="Q61" s="145" t="n"/>
      <c r="R61" s="145" t="n"/>
      <c r="S61" s="145" t="n"/>
      <c r="T61" s="145" t="n"/>
      <c r="U61" s="145" t="n"/>
      <c r="V61" s="145" t="n"/>
      <c r="W61" s="145" t="n"/>
      <c r="X61" s="145" t="n"/>
      <c r="Y61" s="145" t="n"/>
      <c r="Z61" s="145" t="n"/>
    </row>
    <row r="62" ht="51" customHeight="1" s="311">
      <c r="A62" s="145" t="n"/>
      <c r="B62" s="266" t="inlineStr">
        <is>
          <t>Facturas añadidas</t>
        </is>
      </c>
      <c r="C62" s="267" t="inlineStr">
        <is>
          <t>Tus tres facturas originales (Veolia 98,20 · CaixaBank 60 · Hacienda 76,48) son reales. Las otras seis (hipoteca, alimentación, datos, luz, comunidad, mínimo de BOI) las he creado a partir de tu presupuesto del hogar para que los gráficos y la proyección tengan sentido. Revisa fechas e importes o bórralas.</t>
        </is>
      </c>
      <c r="D62" s="145" t="n"/>
      <c r="E62" s="145" t="n"/>
      <c r="F62" s="145" t="n"/>
      <c r="G62" s="145" t="n"/>
      <c r="H62" s="145" t="n"/>
      <c r="I62" s="145" t="n"/>
      <c r="J62" s="145" t="n"/>
      <c r="K62" s="145" t="n"/>
      <c r="L62" s="145" t="n"/>
      <c r="M62" s="145" t="n"/>
      <c r="N62" s="145" t="n"/>
      <c r="O62" s="145" t="n"/>
      <c r="P62" s="145" t="n"/>
      <c r="Q62" s="145" t="n"/>
      <c r="R62" s="145" t="n"/>
      <c r="S62" s="145" t="n"/>
      <c r="T62" s="145" t="n"/>
      <c r="U62" s="145" t="n"/>
      <c r="V62" s="145" t="n"/>
      <c r="W62" s="145" t="n"/>
      <c r="X62" s="145" t="n"/>
      <c r="Y62" s="145" t="n"/>
      <c r="Z62" s="145" t="n"/>
    </row>
    <row r="63" ht="39.75" customHeight="1" s="311">
      <c r="A63" s="145" t="n"/>
      <c r="B63" s="266" t="inlineStr">
        <is>
          <t>Aporte a la hipoteca</t>
        </is>
      </c>
      <c r="C63" s="267" t="inlineStr">
        <is>
          <t>435 € en todos los escenarios, como en tu archivo. En tu otro libro el envío familiar era de 500 €: aclara cuál es la cifra buena.</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c r="W63" s="145" t="n"/>
      <c r="X63" s="145" t="n"/>
      <c r="Y63" s="145" t="n"/>
      <c r="Z63" s="145" t="n"/>
    </row>
    <row r="64" ht="44.25" customHeight="1" s="311">
      <c r="A64" s="145" t="n"/>
      <c r="B64" s="266" t="inlineStr">
        <is>
          <t>Patrimonio invertido</t>
        </is>
      </c>
      <c r="C64" s="267" t="inlineStr">
        <is>
          <t>549,49 € es la suma de tus inversiones y brokers. Si tienes más fuera de esas cuentas, actualízalo: cambia mucho los años hasta la independencia financiera.</t>
        </is>
      </c>
      <c r="D64" s="145" t="n"/>
      <c r="E64" s="145" t="n"/>
      <c r="F64" s="145" t="n"/>
      <c r="G64" s="145" t="n"/>
      <c r="H64" s="145" t="n"/>
      <c r="I64" s="145" t="n"/>
      <c r="J64" s="145" t="n"/>
      <c r="K64" s="145" t="n"/>
      <c r="L64" s="145" t="n"/>
      <c r="M64" s="145" t="n"/>
      <c r="N64" s="145" t="n"/>
      <c r="O64" s="145" t="n"/>
      <c r="P64" s="145" t="n"/>
      <c r="Q64" s="145" t="n"/>
      <c r="R64" s="145" t="n"/>
      <c r="S64" s="145" t="n"/>
      <c r="T64" s="145" t="n"/>
      <c r="U64" s="145" t="n"/>
      <c r="V64" s="145" t="n"/>
      <c r="W64" s="145" t="n"/>
      <c r="X64" s="145" t="n"/>
      <c r="Y64" s="145" t="n"/>
      <c r="Z64" s="145" t="n"/>
    </row>
    <row r="65" ht="34.5" customHeight="1" s="311">
      <c r="A65" s="145" t="n"/>
      <c r="B65" s="266" t="inlineStr">
        <is>
          <t>Rentabilidad del 6%</t>
        </is>
      </c>
      <c r="C65" s="267" t="inlineStr">
        <is>
          <t>Es una hipótesis de renta variable a largo plazo, no una garantía. Prueba también con 4% para ver el escenario pesimista.</t>
        </is>
      </c>
      <c r="D65" s="145" t="n"/>
      <c r="E65" s="145" t="n"/>
      <c r="F65" s="145" t="n"/>
      <c r="G65" s="145" t="n"/>
      <c r="H65" s="145" t="n"/>
      <c r="I65" s="145" t="n"/>
      <c r="J65" s="145" t="n"/>
      <c r="K65" s="145" t="n"/>
      <c r="L65" s="145" t="n"/>
      <c r="M65" s="145" t="n"/>
      <c r="N65" s="145" t="n"/>
      <c r="O65" s="145" t="n"/>
      <c r="P65" s="145" t="n"/>
      <c r="Q65" s="145" t="n"/>
      <c r="R65" s="145" t="n"/>
      <c r="S65" s="145" t="n"/>
      <c r="T65" s="145" t="n"/>
      <c r="U65" s="145" t="n"/>
      <c r="V65" s="145" t="n"/>
      <c r="W65" s="145" t="n"/>
      <c r="X65" s="145" t="n"/>
      <c r="Y65" s="145" t="n"/>
      <c r="Z65" s="145" t="n"/>
    </row>
    <row r="66" ht="15.75" customHeight="1" s="311">
      <c r="A66" s="145" t="n"/>
      <c r="B66" s="266" t="inlineStr">
        <is>
          <t>Pagos mínimos y tasas</t>
        </is>
      </c>
      <c r="C66" s="267" t="inlineStr">
        <is>
          <t>22,8% (BOI) y 21% (CaixaBank) son estimaciones de mercado. Busca el TAE real en tu contrato.</t>
        </is>
      </c>
      <c r="D66" s="145" t="n"/>
      <c r="E66" s="145" t="n"/>
      <c r="F66" s="145" t="n"/>
      <c r="G66" s="145" t="n"/>
      <c r="H66" s="145" t="n"/>
      <c r="I66" s="145" t="n"/>
      <c r="J66" s="145" t="n"/>
      <c r="K66" s="145" t="n"/>
      <c r="L66" s="145" t="n"/>
      <c r="M66" s="145" t="n"/>
      <c r="N66" s="145" t="n"/>
      <c r="O66" s="145" t="n"/>
      <c r="P66" s="145" t="n"/>
      <c r="Q66" s="145" t="n"/>
      <c r="R66" s="145" t="n"/>
      <c r="S66" s="145" t="n"/>
      <c r="T66" s="145" t="n"/>
      <c r="U66" s="145" t="n"/>
      <c r="V66" s="145" t="n"/>
      <c r="W66" s="145" t="n"/>
      <c r="X66" s="145" t="n"/>
      <c r="Y66" s="145" t="n"/>
      <c r="Z66" s="145" t="n"/>
    </row>
    <row r="67" ht="48" customHeight="1" s="311">
      <c r="A67" s="145" t="n"/>
      <c r="B67" s="266" t="inlineStr">
        <is>
          <t>La edad de 40 años</t>
        </is>
      </c>
      <c r="C67" s="267" t="inlineStr">
        <is>
          <t>En el Panel, la "edad estimada al llegar al 4%" da por hecho que hoy tienes 40. Cambia ese 40 en la fórmula si no es tu caso.</t>
        </is>
      </c>
      <c r="D67" s="145" t="n"/>
      <c r="E67" s="145" t="n"/>
      <c r="F67" s="145" t="n"/>
      <c r="G67" s="145" t="n"/>
      <c r="H67" s="145" t="n"/>
      <c r="I67" s="145" t="n"/>
      <c r="J67" s="145" t="n"/>
      <c r="K67" s="145" t="n"/>
      <c r="L67" s="145" t="n"/>
      <c r="M67" s="145" t="n"/>
      <c r="N67" s="145" t="n"/>
      <c r="O67" s="145" t="n"/>
      <c r="P67" s="145" t="n"/>
      <c r="Q67" s="145" t="n"/>
      <c r="R67" s="145" t="n"/>
      <c r="S67" s="145" t="n"/>
      <c r="T67" s="145" t="n"/>
      <c r="U67" s="145" t="n"/>
      <c r="V67" s="145" t="n"/>
      <c r="W67" s="145" t="n"/>
      <c r="X67" s="145" t="n"/>
      <c r="Y67" s="145" t="n"/>
      <c r="Z67" s="145" t="n"/>
    </row>
    <row r="68" ht="15.75" customHeight="1" s="311">
      <c r="A68" s="145" t="n"/>
      <c r="B68" s="145" t="n"/>
      <c r="C68" s="145" t="n"/>
      <c r="D68" s="145" t="n"/>
      <c r="E68" s="145" t="n"/>
      <c r="F68" s="145" t="n"/>
      <c r="G68" s="145" t="n"/>
      <c r="H68" s="145" t="n"/>
      <c r="I68" s="145" t="n"/>
      <c r="J68" s="145" t="n"/>
      <c r="K68" s="145" t="n"/>
      <c r="L68" s="145" t="n"/>
      <c r="M68" s="145" t="n"/>
      <c r="N68" s="145" t="n"/>
      <c r="O68" s="145" t="n"/>
      <c r="P68" s="145" t="n"/>
      <c r="Q68" s="145" t="n"/>
      <c r="R68" s="145" t="n"/>
      <c r="S68" s="145" t="n"/>
      <c r="T68" s="145" t="n"/>
      <c r="U68" s="145" t="n"/>
      <c r="V68" s="145" t="n"/>
      <c r="W68" s="145" t="n"/>
      <c r="X68" s="145" t="n"/>
      <c r="Y68" s="145" t="n"/>
      <c r="Z68" s="145" t="n"/>
    </row>
    <row r="69" ht="15.75" customHeight="1" s="311">
      <c r="A69" s="145" t="n"/>
      <c r="B69" s="20" t="inlineStr">
        <is>
          <t>Fuente de los datos migrados: tu archivo "Tesoreria Diaria.xlsx" (hojas tesoreria, Actual, Irlanda, Madrid, La Coruña) y "Finanzas-Personales-2026.xlsx".</t>
        </is>
      </c>
      <c r="E69" s="145" t="n"/>
      <c r="F69" s="145" t="n"/>
      <c r="G69" s="145" t="n"/>
      <c r="H69" s="145" t="n"/>
      <c r="I69" s="145" t="n"/>
      <c r="J69" s="145" t="n"/>
      <c r="K69" s="145" t="n"/>
      <c r="L69" s="145" t="n"/>
      <c r="M69" s="145" t="n"/>
      <c r="N69" s="145" t="n"/>
      <c r="O69" s="145" t="n"/>
      <c r="P69" s="145" t="n"/>
      <c r="Q69" s="145" t="n"/>
      <c r="R69" s="145" t="n"/>
      <c r="S69" s="145" t="n"/>
      <c r="T69" s="145" t="n"/>
      <c r="U69" s="145" t="n"/>
      <c r="V69" s="145" t="n"/>
      <c r="W69" s="145" t="n"/>
      <c r="X69" s="145" t="n"/>
      <c r="Y69" s="145" t="n"/>
      <c r="Z69" s="145" t="n"/>
    </row>
    <row r="70" ht="15.75" customHeight="1" s="311">
      <c r="A70" s="145" t="n"/>
      <c r="E70" s="145" t="n"/>
      <c r="F70" s="145" t="n"/>
      <c r="G70" s="145" t="n"/>
      <c r="H70" s="145" t="n"/>
      <c r="I70" s="145" t="n"/>
      <c r="J70" s="145" t="n"/>
      <c r="K70" s="145" t="n"/>
      <c r="L70" s="145" t="n"/>
      <c r="M70" s="145" t="n"/>
      <c r="N70" s="145" t="n"/>
      <c r="O70" s="145" t="n"/>
      <c r="P70" s="145" t="n"/>
      <c r="Q70" s="145" t="n"/>
      <c r="R70" s="145" t="n"/>
      <c r="S70" s="145" t="n"/>
      <c r="T70" s="145" t="n"/>
      <c r="U70" s="145" t="n"/>
      <c r="V70" s="145" t="n"/>
      <c r="W70" s="145" t="n"/>
      <c r="X70" s="145" t="n"/>
      <c r="Y70" s="145" t="n"/>
      <c r="Z70" s="145" t="n"/>
    </row>
    <row r="71" ht="15.75" customHeight="1" s="311">
      <c r="A71" s="145" t="n"/>
      <c r="E71" s="145" t="n"/>
      <c r="F71" s="145" t="n"/>
      <c r="G71" s="145" t="n"/>
      <c r="H71" s="145" t="n"/>
      <c r="I71" s="145" t="n"/>
      <c r="J71" s="145" t="n"/>
      <c r="K71" s="145" t="n"/>
      <c r="L71" s="145" t="n"/>
      <c r="M71" s="145" t="n"/>
      <c r="N71" s="145" t="n"/>
      <c r="O71" s="145" t="n"/>
      <c r="P71" s="145" t="n"/>
      <c r="Q71" s="145" t="n"/>
      <c r="R71" s="145" t="n"/>
      <c r="S71" s="145" t="n"/>
      <c r="T71" s="145" t="n"/>
      <c r="U71" s="145" t="n"/>
      <c r="V71" s="145" t="n"/>
      <c r="W71" s="145" t="n"/>
      <c r="X71" s="145" t="n"/>
      <c r="Y71" s="145" t="n"/>
      <c r="Z71" s="145" t="n"/>
    </row>
    <row r="72" ht="15.75" customHeight="1" s="311">
      <c r="A72" s="145" t="n"/>
      <c r="B72" s="145" t="n"/>
      <c r="C72" s="145" t="n"/>
      <c r="D72" s="145" t="n"/>
      <c r="E72" s="145" t="n"/>
      <c r="F72" s="145" t="n"/>
      <c r="G72" s="145" t="n"/>
      <c r="H72" s="145" t="n"/>
      <c r="I72" s="145" t="n"/>
      <c r="J72" s="145" t="n"/>
      <c r="K72" s="145" t="n"/>
      <c r="L72" s="145" t="n"/>
      <c r="M72" s="145" t="n"/>
      <c r="N72" s="145" t="n"/>
      <c r="O72" s="145" t="n"/>
      <c r="P72" s="145" t="n"/>
      <c r="Q72" s="145" t="n"/>
      <c r="R72" s="145" t="n"/>
      <c r="S72" s="145" t="n"/>
      <c r="T72" s="145" t="n"/>
      <c r="U72" s="145" t="n"/>
      <c r="V72" s="145" t="n"/>
      <c r="W72" s="145" t="n"/>
      <c r="X72" s="145" t="n"/>
      <c r="Y72" s="145" t="n"/>
      <c r="Z72" s="145" t="n"/>
    </row>
    <row r="73" ht="15.75" customHeight="1" s="311">
      <c r="A73" s="145" t="n"/>
      <c r="B73" s="145" t="n"/>
      <c r="C73" s="145" t="n"/>
      <c r="D73" s="145" t="n"/>
      <c r="E73" s="145" t="n"/>
      <c r="F73" s="145" t="n"/>
      <c r="G73" s="145" t="n"/>
      <c r="H73" s="145" t="n"/>
      <c r="I73" s="145" t="n"/>
      <c r="J73" s="145" t="n"/>
      <c r="K73" s="145" t="n"/>
      <c r="L73" s="145" t="n"/>
      <c r="M73" s="145" t="n"/>
      <c r="N73" s="145" t="n"/>
      <c r="O73" s="145" t="n"/>
      <c r="P73" s="145" t="n"/>
      <c r="Q73" s="145" t="n"/>
      <c r="R73" s="145" t="n"/>
      <c r="S73" s="145" t="n"/>
      <c r="T73" s="145" t="n"/>
      <c r="U73" s="145" t="n"/>
      <c r="V73" s="145" t="n"/>
      <c r="W73" s="145" t="n"/>
      <c r="X73" s="145" t="n"/>
      <c r="Y73" s="145" t="n"/>
      <c r="Z73" s="145" t="n"/>
    </row>
    <row r="74" ht="15.75" customHeight="1" s="311">
      <c r="A74" s="145" t="n"/>
      <c r="B74" s="145" t="n"/>
      <c r="C74" s="145" t="n"/>
      <c r="D74" s="145" t="n"/>
      <c r="E74" s="145" t="n"/>
      <c r="F74" s="145" t="n"/>
      <c r="G74" s="145" t="n"/>
      <c r="H74" s="145" t="n"/>
      <c r="I74" s="145" t="n"/>
      <c r="J74" s="145" t="n"/>
      <c r="K74" s="145" t="n"/>
      <c r="L74" s="145" t="n"/>
      <c r="M74" s="145" t="n"/>
      <c r="N74" s="145" t="n"/>
      <c r="O74" s="145" t="n"/>
      <c r="P74" s="145" t="n"/>
      <c r="Q74" s="145" t="n"/>
      <c r="R74" s="145" t="n"/>
      <c r="S74" s="145" t="n"/>
      <c r="T74" s="145" t="n"/>
      <c r="U74" s="145" t="n"/>
      <c r="V74" s="145" t="n"/>
      <c r="W74" s="145" t="n"/>
      <c r="X74" s="145" t="n"/>
      <c r="Y74" s="145" t="n"/>
      <c r="Z74" s="145" t="n"/>
    </row>
    <row r="75" ht="15.75" customHeight="1" s="311">
      <c r="A75" s="145" t="n"/>
      <c r="B75" s="145" t="n"/>
      <c r="C75" s="145" t="n"/>
      <c r="D75" s="145" t="n"/>
      <c r="E75" s="145" t="n"/>
      <c r="F75" s="145" t="n"/>
      <c r="G75" s="145" t="n"/>
      <c r="H75" s="145" t="n"/>
      <c r="I75" s="145" t="n"/>
      <c r="J75" s="145" t="n"/>
      <c r="K75" s="145" t="n"/>
      <c r="L75" s="145" t="n"/>
      <c r="M75" s="145" t="n"/>
      <c r="N75" s="145" t="n"/>
      <c r="O75" s="145" t="n"/>
      <c r="P75" s="145" t="n"/>
      <c r="Q75" s="145" t="n"/>
      <c r="R75" s="145" t="n"/>
      <c r="S75" s="145" t="n"/>
      <c r="T75" s="145" t="n"/>
      <c r="U75" s="145" t="n"/>
      <c r="V75" s="145" t="n"/>
      <c r="W75" s="145" t="n"/>
      <c r="X75" s="145" t="n"/>
      <c r="Y75" s="145" t="n"/>
      <c r="Z75" s="145" t="n"/>
    </row>
    <row r="76" ht="15.75" customHeight="1" s="311">
      <c r="A76" s="145" t="n"/>
      <c r="B76" s="145" t="n"/>
      <c r="C76" s="145" t="n"/>
      <c r="D76" s="145" t="n"/>
      <c r="E76" s="145" t="n"/>
      <c r="F76" s="145" t="n"/>
      <c r="G76" s="145" t="n"/>
      <c r="H76" s="145" t="n"/>
      <c r="I76" s="145" t="n"/>
      <c r="J76" s="145" t="n"/>
      <c r="K76" s="145" t="n"/>
      <c r="L76" s="145" t="n"/>
      <c r="M76" s="145" t="n"/>
      <c r="N76" s="145" t="n"/>
      <c r="O76" s="145" t="n"/>
      <c r="P76" s="145" t="n"/>
      <c r="Q76" s="145" t="n"/>
      <c r="R76" s="145" t="n"/>
      <c r="S76" s="145" t="n"/>
      <c r="T76" s="145" t="n"/>
      <c r="U76" s="145" t="n"/>
      <c r="V76" s="145" t="n"/>
      <c r="W76" s="145" t="n"/>
      <c r="X76" s="145" t="n"/>
      <c r="Y76" s="145" t="n"/>
      <c r="Z76" s="145" t="n"/>
    </row>
    <row r="77" ht="15.75" customHeight="1" s="311">
      <c r="A77" s="145" t="n"/>
      <c r="B77" s="145" t="n"/>
      <c r="C77" s="145" t="n"/>
      <c r="D77" s="145" t="n"/>
      <c r="E77" s="145" t="n"/>
      <c r="F77" s="145" t="n"/>
      <c r="G77" s="145" t="n"/>
      <c r="H77" s="145" t="n"/>
      <c r="I77" s="145" t="n"/>
      <c r="J77" s="145" t="n"/>
      <c r="K77" s="145" t="n"/>
      <c r="L77" s="145" t="n"/>
      <c r="M77" s="145" t="n"/>
      <c r="N77" s="145" t="n"/>
      <c r="O77" s="145" t="n"/>
      <c r="P77" s="145" t="n"/>
      <c r="Q77" s="145" t="n"/>
      <c r="R77" s="145" t="n"/>
      <c r="S77" s="145" t="n"/>
      <c r="T77" s="145" t="n"/>
      <c r="U77" s="145" t="n"/>
      <c r="V77" s="145" t="n"/>
      <c r="W77" s="145" t="n"/>
      <c r="X77" s="145" t="n"/>
      <c r="Y77" s="145" t="n"/>
      <c r="Z77" s="145" t="n"/>
    </row>
    <row r="78" ht="15.75" customHeight="1" s="311">
      <c r="A78" s="145" t="n"/>
      <c r="B78" s="145" t="n"/>
      <c r="C78" s="145" t="n"/>
      <c r="D78" s="145" t="n"/>
      <c r="E78" s="145" t="n"/>
      <c r="F78" s="145" t="n"/>
      <c r="G78" s="145" t="n"/>
      <c r="H78" s="145" t="n"/>
      <c r="I78" s="145" t="n"/>
      <c r="J78" s="145" t="n"/>
      <c r="K78" s="145" t="n"/>
      <c r="L78" s="145" t="n"/>
      <c r="M78" s="145" t="n"/>
      <c r="N78" s="145" t="n"/>
      <c r="O78" s="145" t="n"/>
      <c r="P78" s="145" t="n"/>
      <c r="Q78" s="145" t="n"/>
      <c r="R78" s="145" t="n"/>
      <c r="S78" s="145" t="n"/>
      <c r="T78" s="145" t="n"/>
      <c r="U78" s="145" t="n"/>
      <c r="V78" s="145" t="n"/>
      <c r="W78" s="145" t="n"/>
      <c r="X78" s="145" t="n"/>
      <c r="Y78" s="145" t="n"/>
      <c r="Z78" s="145" t="n"/>
    </row>
    <row r="79" ht="15.75" customHeight="1" s="311">
      <c r="A79" s="145" t="n"/>
      <c r="B79" s="145" t="n"/>
      <c r="C79" s="145" t="n"/>
      <c r="D79" s="145" t="n"/>
      <c r="E79" s="145" t="n"/>
      <c r="F79" s="145" t="n"/>
      <c r="G79" s="145" t="n"/>
      <c r="H79" s="145" t="n"/>
      <c r="I79" s="145" t="n"/>
      <c r="J79" s="145" t="n"/>
      <c r="K79" s="145" t="n"/>
      <c r="L79" s="145" t="n"/>
      <c r="M79" s="145" t="n"/>
      <c r="N79" s="145" t="n"/>
      <c r="O79" s="145" t="n"/>
      <c r="P79" s="145" t="n"/>
      <c r="Q79" s="145" t="n"/>
      <c r="R79" s="145" t="n"/>
      <c r="S79" s="145" t="n"/>
      <c r="T79" s="145" t="n"/>
      <c r="U79" s="145" t="n"/>
      <c r="V79" s="145" t="n"/>
      <c r="W79" s="145" t="n"/>
      <c r="X79" s="145" t="n"/>
      <c r="Y79" s="145" t="n"/>
      <c r="Z79" s="145" t="n"/>
    </row>
    <row r="80" ht="15.75" customHeight="1" s="311">
      <c r="A80" s="145" t="n"/>
      <c r="B80" s="145" t="n"/>
      <c r="C80" s="145" t="n"/>
      <c r="D80" s="145" t="n"/>
      <c r="E80" s="145" t="n"/>
      <c r="F80" s="145" t="n"/>
      <c r="G80" s="145" t="n"/>
      <c r="H80" s="145" t="n"/>
      <c r="I80" s="145" t="n"/>
      <c r="J80" s="145" t="n"/>
      <c r="K80" s="145" t="n"/>
      <c r="L80" s="145" t="n"/>
      <c r="M80" s="145" t="n"/>
      <c r="N80" s="145" t="n"/>
      <c r="O80" s="145" t="n"/>
      <c r="P80" s="145" t="n"/>
      <c r="Q80" s="145" t="n"/>
      <c r="R80" s="145" t="n"/>
      <c r="S80" s="145" t="n"/>
      <c r="T80" s="145" t="n"/>
      <c r="U80" s="145" t="n"/>
      <c r="V80" s="145" t="n"/>
      <c r="W80" s="145" t="n"/>
      <c r="X80" s="145" t="n"/>
      <c r="Y80" s="145" t="n"/>
      <c r="Z80" s="145" t="n"/>
    </row>
    <row r="81" ht="15.75" customHeight="1" s="311">
      <c r="A81" s="145" t="n"/>
      <c r="B81" s="145" t="n"/>
      <c r="C81" s="145" t="n"/>
      <c r="D81" s="145" t="n"/>
      <c r="E81" s="145" t="n"/>
      <c r="F81" s="145" t="n"/>
      <c r="G81" s="145" t="n"/>
      <c r="H81" s="145" t="n"/>
      <c r="I81" s="145" t="n"/>
      <c r="J81" s="145" t="n"/>
      <c r="K81" s="145" t="n"/>
      <c r="L81" s="145" t="n"/>
      <c r="M81" s="145" t="n"/>
      <c r="N81" s="145" t="n"/>
      <c r="O81" s="145" t="n"/>
      <c r="P81" s="145" t="n"/>
      <c r="Q81" s="145" t="n"/>
      <c r="R81" s="145" t="n"/>
      <c r="S81" s="145" t="n"/>
      <c r="T81" s="145" t="n"/>
      <c r="U81" s="145" t="n"/>
      <c r="V81" s="145" t="n"/>
      <c r="W81" s="145" t="n"/>
      <c r="X81" s="145" t="n"/>
      <c r="Y81" s="145" t="n"/>
      <c r="Z81" s="145" t="n"/>
    </row>
    <row r="82" ht="15.75" customHeight="1" s="311">
      <c r="A82" s="145" t="n"/>
      <c r="B82" s="145" t="n"/>
      <c r="C82" s="145" t="n"/>
      <c r="D82" s="145" t="n"/>
      <c r="E82" s="145" t="n"/>
      <c r="F82" s="145" t="n"/>
      <c r="G82" s="145" t="n"/>
      <c r="H82" s="145" t="n"/>
      <c r="I82" s="145" t="n"/>
      <c r="J82" s="145" t="n"/>
      <c r="K82" s="145" t="n"/>
      <c r="L82" s="145" t="n"/>
      <c r="M82" s="145" t="n"/>
      <c r="N82" s="145" t="n"/>
      <c r="O82" s="145" t="n"/>
      <c r="P82" s="145" t="n"/>
      <c r="Q82" s="145" t="n"/>
      <c r="R82" s="145" t="n"/>
      <c r="S82" s="145" t="n"/>
      <c r="T82" s="145" t="n"/>
      <c r="U82" s="145" t="n"/>
      <c r="V82" s="145" t="n"/>
      <c r="W82" s="145" t="n"/>
      <c r="X82" s="145" t="n"/>
      <c r="Y82" s="145" t="n"/>
      <c r="Z82" s="145" t="n"/>
    </row>
    <row r="83" ht="15.75" customHeight="1" s="311">
      <c r="A83" s="145" t="n"/>
      <c r="B83" s="145" t="n"/>
      <c r="C83" s="145" t="n"/>
      <c r="D83" s="145" t="n"/>
      <c r="E83" s="145" t="n"/>
      <c r="F83" s="145" t="n"/>
      <c r="G83" s="145" t="n"/>
      <c r="H83" s="145" t="n"/>
      <c r="I83" s="145" t="n"/>
      <c r="J83" s="145" t="n"/>
      <c r="K83" s="145" t="n"/>
      <c r="L83" s="145" t="n"/>
      <c r="M83" s="145" t="n"/>
      <c r="N83" s="145" t="n"/>
      <c r="O83" s="145" t="n"/>
      <c r="P83" s="145" t="n"/>
      <c r="Q83" s="145" t="n"/>
      <c r="R83" s="145" t="n"/>
      <c r="S83" s="145" t="n"/>
      <c r="T83" s="145" t="n"/>
      <c r="U83" s="145" t="n"/>
      <c r="V83" s="145" t="n"/>
      <c r="W83" s="145" t="n"/>
      <c r="X83" s="145" t="n"/>
      <c r="Y83" s="145" t="n"/>
      <c r="Z83" s="145" t="n"/>
    </row>
    <row r="84" ht="15.75" customHeight="1" s="311">
      <c r="A84" s="145" t="n"/>
      <c r="B84" s="145" t="n"/>
      <c r="C84" s="145" t="n"/>
      <c r="D84" s="145" t="n"/>
      <c r="E84" s="145" t="n"/>
      <c r="F84" s="145" t="n"/>
      <c r="G84" s="145" t="n"/>
      <c r="H84" s="145" t="n"/>
      <c r="I84" s="145" t="n"/>
      <c r="J84" s="145" t="n"/>
      <c r="K84" s="145" t="n"/>
      <c r="L84" s="145" t="n"/>
      <c r="M84" s="145" t="n"/>
      <c r="N84" s="145" t="n"/>
      <c r="O84" s="145" t="n"/>
      <c r="P84" s="145" t="n"/>
      <c r="Q84" s="145" t="n"/>
      <c r="R84" s="145" t="n"/>
      <c r="S84" s="145" t="n"/>
      <c r="T84" s="145" t="n"/>
      <c r="U84" s="145" t="n"/>
      <c r="V84" s="145" t="n"/>
      <c r="W84" s="145" t="n"/>
      <c r="X84" s="145" t="n"/>
      <c r="Y84" s="145" t="n"/>
      <c r="Z84" s="145" t="n"/>
    </row>
    <row r="85" ht="15.75" customHeight="1" s="311">
      <c r="A85" s="145" t="n"/>
      <c r="B85" s="145" t="n"/>
      <c r="C85" s="145" t="n"/>
      <c r="D85" s="145" t="n"/>
      <c r="E85" s="145" t="n"/>
      <c r="F85" s="145" t="n"/>
      <c r="G85" s="145" t="n"/>
      <c r="H85" s="145" t="n"/>
      <c r="I85" s="145" t="n"/>
      <c r="J85" s="145" t="n"/>
      <c r="K85" s="145" t="n"/>
      <c r="L85" s="145" t="n"/>
      <c r="M85" s="145" t="n"/>
      <c r="N85" s="145" t="n"/>
      <c r="O85" s="145" t="n"/>
      <c r="P85" s="145" t="n"/>
      <c r="Q85" s="145" t="n"/>
      <c r="R85" s="145" t="n"/>
      <c r="S85" s="145" t="n"/>
      <c r="T85" s="145" t="n"/>
      <c r="U85" s="145" t="n"/>
      <c r="V85" s="145" t="n"/>
      <c r="W85" s="145" t="n"/>
      <c r="X85" s="145" t="n"/>
      <c r="Y85" s="145" t="n"/>
      <c r="Z85" s="145" t="n"/>
    </row>
    <row r="86" ht="15.75" customHeight="1" s="311">
      <c r="A86" s="145" t="n"/>
      <c r="B86" s="145" t="n"/>
      <c r="C86" s="145" t="n"/>
      <c r="D86" s="145" t="n"/>
      <c r="E86" s="145" t="n"/>
      <c r="F86" s="145" t="n"/>
      <c r="G86" s="145" t="n"/>
      <c r="H86" s="145" t="n"/>
      <c r="I86" s="145" t="n"/>
      <c r="J86" s="145" t="n"/>
      <c r="K86" s="145" t="n"/>
      <c r="L86" s="145" t="n"/>
      <c r="M86" s="145" t="n"/>
      <c r="N86" s="145" t="n"/>
      <c r="O86" s="145" t="n"/>
      <c r="P86" s="145" t="n"/>
      <c r="Q86" s="145" t="n"/>
      <c r="R86" s="145" t="n"/>
      <c r="S86" s="145" t="n"/>
      <c r="T86" s="145" t="n"/>
      <c r="U86" s="145" t="n"/>
      <c r="V86" s="145" t="n"/>
      <c r="W86" s="145" t="n"/>
      <c r="X86" s="145" t="n"/>
      <c r="Y86" s="145" t="n"/>
      <c r="Z86" s="145" t="n"/>
    </row>
    <row r="87" ht="15.75" customHeight="1" s="311">
      <c r="A87" s="145" t="n"/>
      <c r="B87" s="145" t="n"/>
      <c r="C87" s="145" t="n"/>
      <c r="D87" s="145" t="n"/>
      <c r="E87" s="145" t="n"/>
      <c r="F87" s="145" t="n"/>
      <c r="G87" s="145" t="n"/>
      <c r="H87" s="145" t="n"/>
      <c r="I87" s="145" t="n"/>
      <c r="J87" s="145" t="n"/>
      <c r="K87" s="145" t="n"/>
      <c r="L87" s="145" t="n"/>
      <c r="M87" s="145" t="n"/>
      <c r="N87" s="145" t="n"/>
      <c r="O87" s="145" t="n"/>
      <c r="P87" s="145" t="n"/>
      <c r="Q87" s="145" t="n"/>
      <c r="R87" s="145" t="n"/>
      <c r="S87" s="145" t="n"/>
      <c r="T87" s="145" t="n"/>
      <c r="U87" s="145" t="n"/>
      <c r="V87" s="145" t="n"/>
      <c r="W87" s="145" t="n"/>
      <c r="X87" s="145" t="n"/>
      <c r="Y87" s="145" t="n"/>
      <c r="Z87" s="145" t="n"/>
    </row>
    <row r="88" ht="15.75" customHeight="1" s="311">
      <c r="A88" s="145" t="n"/>
      <c r="B88" s="145" t="n"/>
      <c r="C88" s="145" t="n"/>
      <c r="D88" s="145" t="n"/>
      <c r="E88" s="145" t="n"/>
      <c r="F88" s="145" t="n"/>
      <c r="G88" s="145" t="n"/>
      <c r="H88" s="145" t="n"/>
      <c r="I88" s="145" t="n"/>
      <c r="J88" s="145" t="n"/>
      <c r="K88" s="145" t="n"/>
      <c r="L88" s="145" t="n"/>
      <c r="M88" s="145" t="n"/>
      <c r="N88" s="145" t="n"/>
      <c r="O88" s="145" t="n"/>
      <c r="P88" s="145" t="n"/>
      <c r="Q88" s="145" t="n"/>
      <c r="R88" s="145" t="n"/>
      <c r="S88" s="145" t="n"/>
      <c r="T88" s="145" t="n"/>
      <c r="U88" s="145" t="n"/>
      <c r="V88" s="145" t="n"/>
      <c r="W88" s="145" t="n"/>
      <c r="X88" s="145" t="n"/>
      <c r="Y88" s="145" t="n"/>
      <c r="Z88" s="145" t="n"/>
    </row>
    <row r="89" ht="15.75" customHeight="1" s="311">
      <c r="A89" s="145" t="n"/>
      <c r="B89" s="145" t="n"/>
      <c r="C89" s="145" t="n"/>
      <c r="D89" s="145" t="n"/>
      <c r="E89" s="145" t="n"/>
      <c r="F89" s="145" t="n"/>
      <c r="G89" s="145" t="n"/>
      <c r="H89" s="145" t="n"/>
      <c r="I89" s="145" t="n"/>
      <c r="J89" s="145" t="n"/>
      <c r="K89" s="145" t="n"/>
      <c r="L89" s="145" t="n"/>
      <c r="M89" s="145" t="n"/>
      <c r="N89" s="145" t="n"/>
      <c r="O89" s="145" t="n"/>
      <c r="P89" s="145" t="n"/>
      <c r="Q89" s="145" t="n"/>
      <c r="R89" s="145" t="n"/>
      <c r="S89" s="145" t="n"/>
      <c r="T89" s="145" t="n"/>
      <c r="U89" s="145" t="n"/>
      <c r="V89" s="145" t="n"/>
      <c r="W89" s="145" t="n"/>
      <c r="X89" s="145" t="n"/>
      <c r="Y89" s="145" t="n"/>
      <c r="Z89" s="145" t="n"/>
    </row>
    <row r="90" ht="15.75" customHeight="1" s="311">
      <c r="A90" s="145" t="n"/>
      <c r="B90" s="145" t="n"/>
      <c r="C90" s="145" t="n"/>
      <c r="D90" s="145" t="n"/>
      <c r="E90" s="145" t="n"/>
      <c r="F90" s="145" t="n"/>
      <c r="G90" s="145" t="n"/>
      <c r="H90" s="145" t="n"/>
      <c r="I90" s="145" t="n"/>
      <c r="J90" s="145" t="n"/>
      <c r="K90" s="145" t="n"/>
      <c r="L90" s="145" t="n"/>
      <c r="M90" s="145" t="n"/>
      <c r="N90" s="145" t="n"/>
      <c r="O90" s="145" t="n"/>
      <c r="P90" s="145" t="n"/>
      <c r="Q90" s="145" t="n"/>
      <c r="R90" s="145" t="n"/>
      <c r="S90" s="145" t="n"/>
      <c r="T90" s="145" t="n"/>
      <c r="U90" s="145" t="n"/>
      <c r="V90" s="145" t="n"/>
      <c r="W90" s="145" t="n"/>
      <c r="X90" s="145" t="n"/>
      <c r="Y90" s="145" t="n"/>
      <c r="Z90" s="145" t="n"/>
    </row>
    <row r="91" ht="15.75" customHeight="1" s="311">
      <c r="A91" s="145" t="n"/>
      <c r="B91" s="145" t="n"/>
      <c r="C91" s="145" t="n"/>
      <c r="D91" s="145" t="n"/>
      <c r="E91" s="145" t="n"/>
      <c r="F91" s="145" t="n"/>
      <c r="G91" s="145" t="n"/>
      <c r="H91" s="145" t="n"/>
      <c r="I91" s="145" t="n"/>
      <c r="J91" s="145" t="n"/>
      <c r="K91" s="145" t="n"/>
      <c r="L91" s="145" t="n"/>
      <c r="M91" s="145" t="n"/>
      <c r="N91" s="145" t="n"/>
      <c r="O91" s="145" t="n"/>
      <c r="P91" s="145" t="n"/>
      <c r="Q91" s="145" t="n"/>
      <c r="R91" s="145" t="n"/>
      <c r="S91" s="145" t="n"/>
      <c r="T91" s="145" t="n"/>
      <c r="U91" s="145" t="n"/>
      <c r="V91" s="145" t="n"/>
      <c r="W91" s="145" t="n"/>
      <c r="X91" s="145" t="n"/>
      <c r="Y91" s="145" t="n"/>
      <c r="Z91" s="145" t="n"/>
    </row>
    <row r="92" ht="15.75" customHeight="1" s="311">
      <c r="A92" s="145" t="n"/>
      <c r="B92" s="145" t="n"/>
      <c r="C92" s="145" t="n"/>
      <c r="D92" s="145" t="n"/>
      <c r="E92" s="145" t="n"/>
      <c r="F92" s="145" t="n"/>
      <c r="G92" s="145" t="n"/>
      <c r="H92" s="145" t="n"/>
      <c r="I92" s="145" t="n"/>
      <c r="J92" s="145" t="n"/>
      <c r="K92" s="145" t="n"/>
      <c r="L92" s="145" t="n"/>
      <c r="M92" s="145" t="n"/>
      <c r="N92" s="145" t="n"/>
      <c r="O92" s="145" t="n"/>
      <c r="P92" s="145" t="n"/>
      <c r="Q92" s="145" t="n"/>
      <c r="R92" s="145" t="n"/>
      <c r="S92" s="145" t="n"/>
      <c r="T92" s="145" t="n"/>
      <c r="U92" s="145" t="n"/>
      <c r="V92" s="145" t="n"/>
      <c r="W92" s="145" t="n"/>
      <c r="X92" s="145" t="n"/>
      <c r="Y92" s="145" t="n"/>
      <c r="Z92" s="145" t="n"/>
    </row>
    <row r="93" ht="15.75" customHeight="1" s="311">
      <c r="A93" s="145" t="n"/>
      <c r="B93" s="145" t="n"/>
      <c r="C93" s="145" t="n"/>
      <c r="D93" s="145" t="n"/>
      <c r="E93" s="145" t="n"/>
      <c r="F93" s="145" t="n"/>
      <c r="G93" s="145" t="n"/>
      <c r="H93" s="145" t="n"/>
      <c r="I93" s="145" t="n"/>
      <c r="J93" s="145" t="n"/>
      <c r="K93" s="145" t="n"/>
      <c r="L93" s="145" t="n"/>
      <c r="M93" s="145" t="n"/>
      <c r="N93" s="145" t="n"/>
      <c r="O93" s="145" t="n"/>
      <c r="P93" s="145" t="n"/>
      <c r="Q93" s="145" t="n"/>
      <c r="R93" s="145" t="n"/>
      <c r="S93" s="145" t="n"/>
      <c r="T93" s="145" t="n"/>
      <c r="U93" s="145" t="n"/>
      <c r="V93" s="145" t="n"/>
      <c r="W93" s="145" t="n"/>
      <c r="X93" s="145" t="n"/>
      <c r="Y93" s="145" t="n"/>
      <c r="Z93" s="145" t="n"/>
    </row>
    <row r="94" ht="15.75" customHeight="1" s="311">
      <c r="A94" s="145" t="n"/>
      <c r="B94" s="145" t="n"/>
      <c r="C94" s="145" t="n"/>
      <c r="D94" s="145" t="n"/>
      <c r="E94" s="145" t="n"/>
      <c r="F94" s="145" t="n"/>
      <c r="G94" s="145" t="n"/>
      <c r="H94" s="145" t="n"/>
      <c r="I94" s="145" t="n"/>
      <c r="J94" s="145" t="n"/>
      <c r="K94" s="145" t="n"/>
      <c r="L94" s="145" t="n"/>
      <c r="M94" s="145" t="n"/>
      <c r="N94" s="145" t="n"/>
      <c r="O94" s="145" t="n"/>
      <c r="P94" s="145" t="n"/>
      <c r="Q94" s="145" t="n"/>
      <c r="R94" s="145" t="n"/>
      <c r="S94" s="145" t="n"/>
      <c r="T94" s="145" t="n"/>
      <c r="U94" s="145" t="n"/>
      <c r="V94" s="145" t="n"/>
      <c r="W94" s="145" t="n"/>
      <c r="X94" s="145" t="n"/>
      <c r="Y94" s="145" t="n"/>
      <c r="Z94" s="145" t="n"/>
    </row>
    <row r="95" ht="15.75" customHeight="1" s="311">
      <c r="A95" s="145" t="n"/>
      <c r="B95" s="145" t="n"/>
      <c r="C95" s="145" t="n"/>
      <c r="D95" s="145" t="n"/>
      <c r="E95" s="145" t="n"/>
      <c r="F95" s="145" t="n"/>
      <c r="G95" s="145" t="n"/>
      <c r="H95" s="145" t="n"/>
      <c r="I95" s="145" t="n"/>
      <c r="J95" s="145" t="n"/>
      <c r="K95" s="145" t="n"/>
      <c r="L95" s="145" t="n"/>
      <c r="M95" s="145" t="n"/>
      <c r="N95" s="145" t="n"/>
      <c r="O95" s="145" t="n"/>
      <c r="P95" s="145" t="n"/>
      <c r="Q95" s="145" t="n"/>
      <c r="R95" s="145" t="n"/>
      <c r="S95" s="145" t="n"/>
      <c r="T95" s="145" t="n"/>
      <c r="U95" s="145" t="n"/>
      <c r="V95" s="145" t="n"/>
      <c r="W95" s="145" t="n"/>
      <c r="X95" s="145" t="n"/>
      <c r="Y95" s="145" t="n"/>
      <c r="Z95" s="145" t="n"/>
    </row>
    <row r="96" ht="15.75" customHeight="1" s="311">
      <c r="A96" s="145" t="n"/>
      <c r="B96" s="145" t="n"/>
      <c r="C96" s="145" t="n"/>
      <c r="D96" s="145" t="n"/>
      <c r="E96" s="145" t="n"/>
      <c r="F96" s="145" t="n"/>
      <c r="G96" s="145" t="n"/>
      <c r="H96" s="145" t="n"/>
      <c r="I96" s="145" t="n"/>
      <c r="J96" s="145" t="n"/>
      <c r="K96" s="145" t="n"/>
      <c r="L96" s="145" t="n"/>
      <c r="M96" s="145" t="n"/>
      <c r="N96" s="145" t="n"/>
      <c r="O96" s="145" t="n"/>
      <c r="P96" s="145" t="n"/>
      <c r="Q96" s="145" t="n"/>
      <c r="R96" s="145" t="n"/>
      <c r="S96" s="145" t="n"/>
      <c r="T96" s="145" t="n"/>
      <c r="U96" s="145" t="n"/>
      <c r="V96" s="145" t="n"/>
      <c r="W96" s="145" t="n"/>
      <c r="X96" s="145" t="n"/>
      <c r="Y96" s="145" t="n"/>
      <c r="Z96" s="145" t="n"/>
    </row>
    <row r="97" ht="15.75" customHeight="1" s="311">
      <c r="A97" s="145" t="n"/>
      <c r="B97" s="145" t="n"/>
      <c r="C97" s="145" t="n"/>
      <c r="D97" s="145" t="n"/>
      <c r="E97" s="145" t="n"/>
      <c r="F97" s="145" t="n"/>
      <c r="G97" s="145" t="n"/>
      <c r="H97" s="145" t="n"/>
      <c r="I97" s="145" t="n"/>
      <c r="J97" s="145" t="n"/>
      <c r="K97" s="145" t="n"/>
      <c r="L97" s="145" t="n"/>
      <c r="M97" s="145" t="n"/>
      <c r="N97" s="145" t="n"/>
      <c r="O97" s="145" t="n"/>
      <c r="P97" s="145" t="n"/>
      <c r="Q97" s="145" t="n"/>
      <c r="R97" s="145" t="n"/>
      <c r="S97" s="145" t="n"/>
      <c r="T97" s="145" t="n"/>
      <c r="U97" s="145" t="n"/>
      <c r="V97" s="145" t="n"/>
      <c r="W97" s="145" t="n"/>
      <c r="X97" s="145" t="n"/>
      <c r="Y97" s="145" t="n"/>
      <c r="Z97" s="145" t="n"/>
    </row>
    <row r="98" ht="15.75" customHeight="1" s="311">
      <c r="A98" s="145" t="n"/>
      <c r="B98" s="145" t="n"/>
      <c r="C98" s="145" t="n"/>
      <c r="D98" s="145" t="n"/>
      <c r="E98" s="145" t="n"/>
      <c r="F98" s="145" t="n"/>
      <c r="G98" s="145" t="n"/>
      <c r="H98" s="145" t="n"/>
      <c r="I98" s="145" t="n"/>
      <c r="J98" s="145" t="n"/>
      <c r="K98" s="145" t="n"/>
      <c r="L98" s="145" t="n"/>
      <c r="M98" s="145" t="n"/>
      <c r="N98" s="145" t="n"/>
      <c r="O98" s="145" t="n"/>
      <c r="P98" s="145" t="n"/>
      <c r="Q98" s="145" t="n"/>
      <c r="R98" s="145" t="n"/>
      <c r="S98" s="145" t="n"/>
      <c r="T98" s="145" t="n"/>
      <c r="U98" s="145" t="n"/>
      <c r="V98" s="145" t="n"/>
      <c r="W98" s="145" t="n"/>
      <c r="X98" s="145" t="n"/>
      <c r="Y98" s="145" t="n"/>
      <c r="Z98" s="145" t="n"/>
    </row>
    <row r="99" ht="24" customHeight="1" s="311">
      <c r="A99" s="145" t="n"/>
      <c r="B99" s="249" t="inlineStr">
        <is>
          <t>HOJAS NUEVAS AÑADIDAS EN AGOSTO DE 2026</t>
        </is>
      </c>
      <c r="E99" s="145" t="n"/>
      <c r="F99" s="145" t="n"/>
      <c r="G99" s="145" t="n"/>
      <c r="H99" s="145" t="n"/>
      <c r="I99" s="145" t="n"/>
      <c r="J99" s="145" t="n"/>
      <c r="K99" s="145" t="n"/>
      <c r="L99" s="145" t="n"/>
      <c r="M99" s="145" t="n"/>
      <c r="N99" s="145" t="n"/>
      <c r="O99" s="145" t="n"/>
      <c r="P99" s="145" t="n"/>
      <c r="Q99" s="145" t="n"/>
      <c r="R99" s="145" t="n"/>
      <c r="S99" s="145" t="n"/>
      <c r="T99" s="145" t="n"/>
      <c r="U99" s="145" t="n"/>
      <c r="V99" s="145" t="n"/>
      <c r="W99" s="145" t="n"/>
      <c r="X99" s="145" t="n"/>
      <c r="Y99" s="145" t="n"/>
      <c r="Z99" s="145" t="n"/>
    </row>
    <row r="100" ht="30" customHeight="1" s="311">
      <c r="A100" s="145" t="n"/>
      <c r="B100" s="4" t="inlineStr">
        <is>
          <t>Diagnóstico</t>
        </is>
      </c>
      <c r="C100" s="282" t="inlineStr">
        <is>
          <t>Panel de diagnóstico que se calcula solo: semáforo global, 14 indicadores con su estado, lectura escrita, plan de acción priorizado e histórico de diagnósticos para ver la evolución.</t>
        </is>
      </c>
      <c r="D100" s="209" t="inlineStr">
        <is>
          <t>Solo el histórico (pegar la foto de hoy)</t>
        </is>
      </c>
      <c r="E100" s="145" t="n"/>
      <c r="F100" s="145" t="n"/>
      <c r="G100" s="145" t="n"/>
      <c r="H100" s="145" t="n"/>
      <c r="I100" s="145" t="n"/>
      <c r="J100" s="145" t="n"/>
      <c r="K100" s="145" t="n"/>
      <c r="L100" s="145" t="n"/>
      <c r="M100" s="145" t="n"/>
      <c r="N100" s="145" t="n"/>
      <c r="O100" s="145" t="n"/>
      <c r="P100" s="145" t="n"/>
      <c r="Q100" s="145" t="n"/>
      <c r="R100" s="145" t="n"/>
      <c r="S100" s="145" t="n"/>
      <c r="T100" s="145" t="n"/>
      <c r="U100" s="145" t="n"/>
      <c r="V100" s="145" t="n"/>
      <c r="W100" s="145" t="n"/>
      <c r="X100" s="145" t="n"/>
      <c r="Y100" s="145" t="n"/>
      <c r="Z100" s="145" t="n"/>
    </row>
    <row r="101" ht="30" customHeight="1" s="311">
      <c r="A101" s="145" t="n"/>
      <c r="B101" s="4" t="inlineStr">
        <is>
          <t>Caja13Semanas</t>
        </is>
      </c>
      <c r="C101" s="282" t="inlineStr">
        <is>
          <t>Proyección semanal de tesorería a 13 semanas: parte del disponible real, reparte las facturas por fecha y te dice en qué semana te quedas sin dinero y cuánto te falta.</t>
        </is>
      </c>
      <c r="D101" s="209" t="inlineStr">
        <is>
          <t>Ingresos previstos y otros pagos</t>
        </is>
      </c>
      <c r="E101" s="145" t="n"/>
      <c r="F101" s="145" t="n"/>
      <c r="G101" s="145" t="n"/>
      <c r="H101" s="145" t="n"/>
      <c r="I101" s="145" t="n"/>
      <c r="J101" s="145" t="n"/>
      <c r="K101" s="145" t="n"/>
      <c r="L101" s="145" t="n"/>
      <c r="M101" s="145" t="n"/>
      <c r="N101" s="145" t="n"/>
      <c r="O101" s="145" t="n"/>
      <c r="P101" s="145" t="n"/>
      <c r="Q101" s="145" t="n"/>
      <c r="R101" s="145" t="n"/>
      <c r="S101" s="145" t="n"/>
      <c r="T101" s="145" t="n"/>
      <c r="U101" s="145" t="n"/>
      <c r="V101" s="145" t="n"/>
      <c r="W101" s="145" t="n"/>
      <c r="X101" s="145" t="n"/>
      <c r="Y101" s="145" t="n"/>
      <c r="Z101" s="145" t="n"/>
    </row>
    <row r="102" ht="30" customHeight="1" s="311">
      <c r="A102" s="145" t="n"/>
      <c r="B102" s="4" t="inlineStr">
        <is>
          <t>SalidaDeuda</t>
        </is>
      </c>
      <c r="C102" s="282" t="inlineStr">
        <is>
          <t>Simulador de amortización: compara avalancha, bola de nieve y solo mínimos, con meses hasta quedar libre e intereses totales. Incluye palancas (carencia de hipoteca, recortes, ingreso nuevo) y aportación extraordinaria.</t>
        </is>
      </c>
      <c r="D102" s="209" t="inlineStr">
        <is>
          <t>Tipos, cuotas mínimas y palancas</t>
        </is>
      </c>
      <c r="E102" s="145" t="n"/>
      <c r="F102" s="145" t="n"/>
      <c r="G102" s="145" t="n"/>
      <c r="H102" s="145" t="n"/>
      <c r="I102" s="145" t="n"/>
      <c r="J102" s="145" t="n"/>
      <c r="K102" s="145" t="n"/>
      <c r="L102" s="145" t="n"/>
      <c r="M102" s="145" t="n"/>
      <c r="N102" s="145" t="n"/>
      <c r="O102" s="145" t="n"/>
      <c r="P102" s="145" t="n"/>
      <c r="Q102" s="145" t="n"/>
      <c r="R102" s="145" t="n"/>
      <c r="S102" s="145" t="n"/>
      <c r="T102" s="145" t="n"/>
      <c r="U102" s="145" t="n"/>
      <c r="V102" s="145" t="n"/>
      <c r="W102" s="145" t="n"/>
      <c r="X102" s="145" t="n"/>
      <c r="Y102" s="145" t="n"/>
      <c r="Z102" s="145" t="n"/>
    </row>
    <row r="103" ht="30" customHeight="1" s="311">
      <c r="A103" s="145" t="n"/>
      <c r="B103" s="4" t="inlineStr">
        <is>
          <t>Acuerdos</t>
        </is>
      </c>
      <c r="C103" s="282" t="inlineStr">
        <is>
          <t>Registro de los préstamos de particulares: cuota pactada, fecha comprometida y estado del acuerdo. Los importes se leen de Facturas.</t>
        </is>
      </c>
      <c r="D103" s="209" t="inlineStr">
        <is>
          <t>Cuota, fechas y si está por escrito</t>
        </is>
      </c>
      <c r="E103" s="145" t="n"/>
      <c r="F103" s="145" t="n"/>
      <c r="G103" s="145" t="n"/>
      <c r="H103" s="145" t="n"/>
      <c r="I103" s="145" t="n"/>
      <c r="J103" s="145" t="n"/>
      <c r="K103" s="145" t="n"/>
      <c r="L103" s="145" t="n"/>
      <c r="M103" s="145" t="n"/>
      <c r="N103" s="145" t="n"/>
      <c r="O103" s="145" t="n"/>
      <c r="P103" s="145" t="n"/>
      <c r="Q103" s="145" t="n"/>
      <c r="R103" s="145" t="n"/>
      <c r="S103" s="145" t="n"/>
      <c r="T103" s="145" t="n"/>
      <c r="U103" s="145" t="n"/>
      <c r="V103" s="145" t="n"/>
      <c r="W103" s="145" t="n"/>
      <c r="X103" s="145" t="n"/>
      <c r="Y103" s="145" t="n"/>
      <c r="Z103" s="145" t="n"/>
    </row>
    <row r="104" ht="30" customHeight="1" s="311">
      <c r="A104" s="145" t="n"/>
      <c r="B104" s="4" t="inlineStr">
        <is>
          <t>PresupuestoReal</t>
        </is>
      </c>
      <c r="C104" s="282" t="inlineStr">
        <is>
          <t>Presupuesto contra gasto real por categoría, con desviación y semáforo. La columna real se llena sola desde el libro de Caja.</t>
        </is>
      </c>
      <c r="D104" s="209" t="inlineStr">
        <is>
          <t>La columna de presupuesto</t>
        </is>
      </c>
      <c r="E104" s="145" t="n"/>
      <c r="F104" s="145" t="n"/>
      <c r="G104" s="145" t="n"/>
      <c r="H104" s="145" t="n"/>
      <c r="I104" s="145" t="n"/>
      <c r="J104" s="145" t="n"/>
      <c r="K104" s="145" t="n"/>
      <c r="L104" s="145" t="n"/>
      <c r="M104" s="145" t="n"/>
      <c r="N104" s="145" t="n"/>
      <c r="O104" s="145" t="n"/>
      <c r="P104" s="145" t="n"/>
      <c r="Q104" s="145" t="n"/>
      <c r="R104" s="145" t="n"/>
      <c r="S104" s="145" t="n"/>
      <c r="T104" s="145" t="n"/>
      <c r="U104" s="145" t="n"/>
      <c r="V104" s="145" t="n"/>
      <c r="W104" s="145" t="n"/>
      <c r="X104" s="145" t="n"/>
      <c r="Y104" s="145" t="n"/>
      <c r="Z104" s="145" t="n"/>
    </row>
    <row r="105" ht="30" customHeight="1" s="311">
      <c r="A105" s="145" t="n"/>
      <c r="B105" s="4" t="inlineStr">
        <is>
          <t>Recurrentes</t>
        </is>
      </c>
      <c r="C105" s="282" t="inlineStr">
        <is>
          <t>Plantillas de gastos periódicos que generan las filas listas para pegar en Facturas, y calculadora de rescate de prendas pieza a pieza.</t>
        </is>
      </c>
      <c r="D105" s="209" t="inlineStr">
        <is>
          <t>Las plantillas y el nº a generar</t>
        </is>
      </c>
      <c r="E105" s="145" t="n"/>
      <c r="F105" s="145" t="n"/>
      <c r="G105" s="145" t="n"/>
      <c r="H105" s="145" t="n"/>
      <c r="I105" s="145" t="n"/>
      <c r="J105" s="145" t="n"/>
      <c r="K105" s="145" t="n"/>
      <c r="L105" s="145" t="n"/>
      <c r="M105" s="145" t="n"/>
      <c r="N105" s="145" t="n"/>
      <c r="O105" s="145" t="n"/>
      <c r="P105" s="145" t="n"/>
      <c r="Q105" s="145" t="n"/>
      <c r="R105" s="145" t="n"/>
      <c r="S105" s="145" t="n"/>
      <c r="T105" s="145" t="n"/>
      <c r="U105" s="145" t="n"/>
      <c r="V105" s="145" t="n"/>
      <c r="W105" s="145" t="n"/>
      <c r="X105" s="145" t="n"/>
      <c r="Y105" s="145" t="n"/>
      <c r="Z105" s="145" t="n"/>
    </row>
    <row r="106" ht="15.75" customHeight="1" s="311">
      <c r="A106" s="145" t="n"/>
      <c r="B106" s="145" t="n"/>
      <c r="C106" s="145" t="n"/>
      <c r="D106" s="145" t="n"/>
      <c r="E106" s="145" t="n"/>
      <c r="F106" s="145" t="n"/>
      <c r="G106" s="145" t="n"/>
      <c r="H106" s="145" t="n"/>
      <c r="I106" s="145" t="n"/>
      <c r="J106" s="145" t="n"/>
      <c r="K106" s="145" t="n"/>
      <c r="L106" s="145" t="n"/>
      <c r="M106" s="145" t="n"/>
      <c r="N106" s="145" t="n"/>
      <c r="O106" s="145" t="n"/>
      <c r="P106" s="145" t="n"/>
      <c r="Q106" s="145" t="n"/>
      <c r="R106" s="145" t="n"/>
      <c r="S106" s="145" t="n"/>
      <c r="T106" s="145" t="n"/>
      <c r="U106" s="145" t="n"/>
      <c r="V106" s="145" t="n"/>
      <c r="W106" s="145" t="n"/>
      <c r="X106" s="145" t="n"/>
      <c r="Y106" s="145" t="n"/>
      <c r="Z106" s="145" t="n"/>
    </row>
    <row r="107" ht="15.75" customHeight="1" s="311">
      <c r="A107" s="145" t="n"/>
      <c r="B107" s="145" t="n"/>
      <c r="C107" s="145" t="n"/>
      <c r="D107" s="145" t="n"/>
      <c r="E107" s="145" t="n"/>
      <c r="F107" s="145" t="n"/>
      <c r="G107" s="145" t="n"/>
      <c r="H107" s="145" t="n"/>
      <c r="I107" s="145" t="n"/>
      <c r="J107" s="145" t="n"/>
      <c r="K107" s="145" t="n"/>
      <c r="L107" s="145" t="n"/>
      <c r="M107" s="145" t="n"/>
      <c r="N107" s="145" t="n"/>
      <c r="O107" s="145" t="n"/>
      <c r="P107" s="145" t="n"/>
      <c r="Q107" s="145" t="n"/>
      <c r="R107" s="145" t="n"/>
      <c r="S107" s="145" t="n"/>
      <c r="T107" s="145" t="n"/>
      <c r="U107" s="145" t="n"/>
      <c r="V107" s="145" t="n"/>
      <c r="W107" s="145" t="n"/>
      <c r="X107" s="145" t="n"/>
      <c r="Y107" s="145" t="n"/>
      <c r="Z107" s="145" t="n"/>
    </row>
    <row r="108" ht="15.75" customHeight="1" s="311">
      <c r="A108" s="145" t="n"/>
      <c r="B108" s="249" t="inlineStr">
        <is>
          <t>CAMBIOS DE ESTA REVISIÓN</t>
        </is>
      </c>
      <c r="E108" s="145" t="n"/>
      <c r="F108" s="145" t="n"/>
      <c r="G108" s="145" t="n"/>
      <c r="H108" s="145" t="n"/>
      <c r="I108" s="145" t="n"/>
      <c r="J108" s="145" t="n"/>
      <c r="K108" s="145" t="n"/>
      <c r="L108" s="145" t="n"/>
      <c r="M108" s="145" t="n"/>
      <c r="N108" s="145" t="n"/>
      <c r="O108" s="145" t="n"/>
      <c r="P108" s="145" t="n"/>
      <c r="Q108" s="145" t="n"/>
      <c r="R108" s="145" t="n"/>
      <c r="S108" s="145" t="n"/>
      <c r="T108" s="145" t="n"/>
      <c r="U108" s="145" t="n"/>
      <c r="V108" s="145" t="n"/>
      <c r="W108" s="145" t="n"/>
      <c r="X108" s="145" t="n"/>
      <c r="Y108" s="145" t="n"/>
      <c r="Z108" s="145" t="n"/>
    </row>
    <row r="109" ht="15.75" customHeight="1" s="311">
      <c r="A109" s="145" t="n"/>
      <c r="B109" s="4" t="inlineStr">
        <is>
          <t>Más filas para escribir</t>
        </is>
      </c>
      <c r="C109" s="282" t="inlineStr">
        <is>
          <t>Facturas se quedaba sin sitio: solo tenía 55 líneas y ya ibas por la 50.</t>
        </is>
      </c>
      <c r="D109" s="209" t="inlineStr">
        <is>
          <t>Facturas pasa a 200 líneas (filas 6 a 205) y Caja a 500 (filas 6 a 505). Fórmulas, desplegables, colores y totales ya llegan hasta abajo: no hay que arrastrar nada.</t>
        </is>
      </c>
      <c r="E109" s="145" t="n"/>
      <c r="F109" s="145" t="n"/>
      <c r="G109" s="145" t="n"/>
      <c r="H109" s="145" t="n"/>
      <c r="I109" s="145" t="n"/>
      <c r="J109" s="145" t="n"/>
      <c r="K109" s="145" t="n"/>
      <c r="L109" s="145" t="n"/>
      <c r="M109" s="145" t="n"/>
      <c r="N109" s="145" t="n"/>
      <c r="O109" s="145" t="n"/>
      <c r="P109" s="145" t="n"/>
      <c r="Q109" s="145" t="n"/>
      <c r="R109" s="145" t="n"/>
      <c r="S109" s="145" t="n"/>
      <c r="T109" s="145" t="n"/>
      <c r="U109" s="145" t="n"/>
      <c r="V109" s="145" t="n"/>
      <c r="W109" s="145" t="n"/>
      <c r="X109" s="145" t="n"/>
      <c r="Y109" s="145" t="n"/>
      <c r="Z109" s="145" t="n"/>
    </row>
    <row r="110" ht="15.75" customHeight="1" s="311">
      <c r="A110" s="145" t="n"/>
      <c r="B110" s="4" t="inlineStr">
        <is>
          <t>Aplazar una factura</t>
        </is>
      </c>
      <c r="C110" s="282" t="inlineStr">
        <is>
          <t>No había forma de anotar que habías negociado una fecha nueva: la factura seguía saliendo vencida y en rojo.</t>
        </is>
      </c>
      <c r="D110" s="209" t="inlineStr">
        <is>
          <t>Tres columnas nuevas en Facturas: APLAZADA HASTA (R), motivo del acuerdo (S) y recargo por aplazar (T). Todo el libro pasa a usar esa fecha nueva, el recargo se suma al saldo y la urgencia cambia a «🕓 Aplazada». Si la fecha nueva también se pasa, avisa con «🔴 APLAZADA VENCIDA»: ese acuerdo se ha roto.</t>
        </is>
      </c>
      <c r="E110" s="145" t="n"/>
      <c r="F110" s="145" t="n"/>
      <c r="G110" s="145" t="n"/>
      <c r="H110" s="145" t="n"/>
      <c r="I110" s="145" t="n"/>
      <c r="J110" s="145" t="n"/>
      <c r="K110" s="145" t="n"/>
      <c r="L110" s="145" t="n"/>
      <c r="M110" s="145" t="n"/>
      <c r="N110" s="145" t="n"/>
      <c r="O110" s="145" t="n"/>
      <c r="P110" s="145" t="n"/>
      <c r="Q110" s="145" t="n"/>
      <c r="R110" s="145" t="n"/>
      <c r="S110" s="145" t="n"/>
      <c r="T110" s="145" t="n"/>
      <c r="U110" s="145" t="n"/>
      <c r="V110" s="145" t="n"/>
      <c r="W110" s="145" t="n"/>
      <c r="X110" s="145" t="n"/>
      <c r="Y110" s="145" t="n"/>
      <c r="Z110" s="145" t="n"/>
    </row>
    <row r="111" ht="15.75" customHeight="1" s="311">
      <c r="A111" s="145" t="n"/>
      <c r="B111" s="4" t="inlineStr">
        <is>
          <t>Crédito comercial en el Balance</t>
        </is>
      </c>
      <c r="C111" s="282" t="inlineStr">
        <is>
          <t>Las cinco facturas con categoría «Crédito comercial» (Karma Market, Vivus, Imagin) desaparecían dentro de «Facturas pendientes»: ni tenían línea propia ni se veía a quién debías cuánto.</t>
        </is>
      </c>
      <c r="D111" s="209" t="inlineStr">
        <is>
          <t>Fila 31 del pasivo corriente: «Crédito comercial y otras deudas a corto plazo», que se alimenta sola de la hoja Facturas. Y sección C) nueva, justo después de los préstamos de particulares, con el desglose por proveedor: nº de facturas, deuda viva, total financiado, ya pagado, % pagado y próximo vencimiento.</t>
        </is>
      </c>
      <c r="E111" s="145" t="n"/>
      <c r="F111" s="145" t="n"/>
      <c r="G111" s="145" t="n"/>
      <c r="H111" s="145" t="n"/>
      <c r="I111" s="145" t="n"/>
      <c r="J111" s="145" t="n"/>
      <c r="K111" s="145" t="n"/>
      <c r="L111" s="145" t="n"/>
      <c r="M111" s="145" t="n"/>
      <c r="N111" s="145" t="n"/>
      <c r="O111" s="145" t="n"/>
      <c r="P111" s="145" t="n"/>
      <c r="Q111" s="145" t="n"/>
      <c r="R111" s="145" t="n"/>
      <c r="S111" s="145" t="n"/>
      <c r="T111" s="145" t="n"/>
      <c r="U111" s="145" t="n"/>
      <c r="V111" s="145" t="n"/>
      <c r="W111" s="145" t="n"/>
      <c r="X111" s="145" t="n"/>
      <c r="Y111" s="145" t="n"/>
      <c r="Z111" s="145" t="n"/>
    </row>
    <row r="112" ht="15.75" customHeight="1" s="311">
      <c r="A112" s="145" t="n"/>
      <c r="B112" s="4" t="inlineStr">
        <is>
          <t>Vencimiento efectivo</t>
        </is>
      </c>
      <c r="C112" s="282" t="inlineStr">
        <is>
          <t>El Balance filtraba por la fecha de vencimiento original.</t>
        </is>
      </c>
      <c r="D112" s="209" t="inlineStr">
        <is>
          <t>Columna auxiliar AE en Facturas: si hay aplazamiento manda la fecha nueva, si no la original. El Balance, los días restantes, el mes y la urgencia leen de ahí.</t>
        </is>
      </c>
      <c r="E112" s="145" t="n"/>
      <c r="F112" s="145" t="n"/>
      <c r="G112" s="145" t="n"/>
      <c r="H112" s="145" t="n"/>
      <c r="I112" s="145" t="n"/>
      <c r="J112" s="145" t="n"/>
      <c r="K112" s="145" t="n"/>
      <c r="L112" s="145" t="n"/>
      <c r="M112" s="145" t="n"/>
      <c r="N112" s="145" t="n"/>
      <c r="O112" s="145" t="n"/>
      <c r="P112" s="145" t="n"/>
      <c r="Q112" s="145" t="n"/>
      <c r="R112" s="145" t="n"/>
      <c r="S112" s="145" t="n"/>
      <c r="T112" s="145" t="n"/>
      <c r="U112" s="145" t="n"/>
      <c r="V112" s="145" t="n"/>
      <c r="W112" s="145" t="n"/>
      <c r="X112" s="145" t="n"/>
      <c r="Y112" s="145" t="n"/>
      <c r="Z112" s="145" t="n"/>
    </row>
    <row r="113" ht="15.75" customHeight="1" s="311">
      <c r="A113" s="145" t="n"/>
      <c r="B113" s="4" t="inlineStr">
        <is>
          <t>Paneles de Facturas movidos</t>
        </is>
      </c>
      <c r="C113" s="282" t="inlineStr">
        <is>
          <t>Los resúmenes por categoría, urgencia y mes ocupaban las columnas R a W, justo al lado de los datos.</t>
        </is>
      </c>
      <c r="D113" s="209" t="inlineStr">
        <is>
          <t>Ahora empiezan en la columna AF. Se han recolocado las referencias de las hojas Panel, Tesorería, Balance, Prioridad, Disponibilidad y Ratios, así que siguen funcionando igual.</t>
        </is>
      </c>
      <c r="E113" s="145" t="n"/>
      <c r="F113" s="145" t="n"/>
      <c r="G113" s="145" t="n"/>
      <c r="H113" s="145" t="n"/>
      <c r="I113" s="145" t="n"/>
      <c r="J113" s="145" t="n"/>
      <c r="K113" s="145" t="n"/>
      <c r="L113" s="145" t="n"/>
      <c r="M113" s="145" t="n"/>
      <c r="N113" s="145" t="n"/>
      <c r="O113" s="145" t="n"/>
      <c r="P113" s="145" t="n"/>
      <c r="Q113" s="145" t="n"/>
      <c r="R113" s="145" t="n"/>
      <c r="S113" s="145" t="n"/>
      <c r="T113" s="145" t="n"/>
      <c r="U113" s="145" t="n"/>
      <c r="V113" s="145" t="n"/>
      <c r="W113" s="145" t="n"/>
      <c r="X113" s="145" t="n"/>
      <c r="Y113" s="145" t="n"/>
      <c r="Z113" s="145" t="n"/>
    </row>
    <row r="114" ht="15.75" customHeight="1" s="311">
      <c r="A114" s="145" t="n"/>
      <c r="B114" s="4" t="inlineStr">
        <is>
          <t>Hoja de Inversiones</t>
        </is>
      </c>
      <c r="C114" s="282" t="inlineStr">
        <is>
          <t>Tenía el registro de posiciones, el resumen y el reparto por tipo de activo, pero nada que te dijera si la cartera está donde quieres ni a dónde lleva.</t>
        </is>
      </c>
      <c r="D114" s="209" t="inlineStr">
        <is>
          <t>Cuatro bloques nuevos: 4) asignación objetivo vs real con el movimiento concreto para reequilibrar; 5) seguimiento mes a mes del valor y de lo aportado; 6) riesgo y concentración (columna Y nueva con el nivel de riesgo de cada posición, peso de la mayor, peso del top 3, % en cripto y apalancados); 7) proyección a 1, 5, 10 y 20 años y cálculo de independencia financiera con la regla del 4%.</t>
        </is>
      </c>
      <c r="E114" s="145" t="n"/>
      <c r="F114" s="145" t="n"/>
      <c r="G114" s="145" t="n"/>
      <c r="H114" s="145" t="n"/>
      <c r="I114" s="145" t="n"/>
      <c r="J114" s="145" t="n"/>
      <c r="K114" s="145" t="n"/>
      <c r="L114" s="145" t="n"/>
      <c r="M114" s="145" t="n"/>
      <c r="N114" s="145" t="n"/>
      <c r="O114" s="145" t="n"/>
      <c r="P114" s="145" t="n"/>
      <c r="Q114" s="145" t="n"/>
      <c r="R114" s="145" t="n"/>
      <c r="S114" s="145" t="n"/>
      <c r="T114" s="145" t="n"/>
      <c r="U114" s="145" t="n"/>
      <c r="V114" s="145" t="n"/>
      <c r="W114" s="145" t="n"/>
      <c r="X114" s="145" t="n"/>
      <c r="Y114" s="145" t="n"/>
      <c r="Z114" s="145" t="n"/>
    </row>
    <row r="115" ht="15.75" customHeight="1" s="311">
      <c r="A115" s="145" t="n"/>
      <c r="B115" s="4" t="inlineStr">
        <is>
          <t>Hoja Prioridad</t>
        </is>
      </c>
      <c r="C115" s="282" t="inlineStr">
        <is>
          <t>Se ordenaba con la columna auxiliar AE de Facturas, que en el libro original estaba vacía: la hoja no funcionaba. Al crear ahí el vencimiento efectivo, empezó a listar TODAS las facturas por fecha, incluidas las ya pagadas, y repetía las que compartían vencimiento.</t>
        </is>
      </c>
      <c r="D115" s="209" t="inlineStr">
        <is>
          <t>Clave propia en Facturas!AA: solo se rellena en las facturas con prioridad marcada y saldo pendiente. Prioridad enseña ahora esas y ninguna más, ordenadas por nivel (1 Urgente primero) y, dentro de cada nivel, de la más vencida a la más lejana. Sin duplicados y sin facturas saldadas.</t>
        </is>
      </c>
      <c r="E115" s="145" t="n"/>
      <c r="F115" s="145" t="n"/>
      <c r="G115" s="145" t="n"/>
      <c r="H115" s="145" t="n"/>
      <c r="I115" s="145" t="n"/>
      <c r="J115" s="145" t="n"/>
      <c r="K115" s="145" t="n"/>
      <c r="L115" s="145" t="n"/>
      <c r="M115" s="145" t="n"/>
      <c r="N115" s="145" t="n"/>
      <c r="O115" s="145" t="n"/>
      <c r="P115" s="145" t="n"/>
      <c r="Q115" s="145" t="n"/>
      <c r="R115" s="145" t="n"/>
      <c r="S115" s="145" t="n"/>
      <c r="T115" s="145" t="n"/>
      <c r="U115" s="145" t="n"/>
      <c r="V115" s="145" t="n"/>
      <c r="W115" s="145" t="n"/>
      <c r="X115" s="145" t="n"/>
      <c r="Y115" s="145" t="n"/>
      <c r="Z115" s="145" t="n"/>
    </row>
    <row r="116" ht="15.75" customHeight="1" s="311">
      <c r="A116" s="145" t="n"/>
      <c r="B116" s="145" t="n"/>
      <c r="C116" s="145" t="n"/>
      <c r="D116" s="145" t="n"/>
      <c r="E116" s="145" t="n"/>
      <c r="F116" s="145" t="n"/>
      <c r="G116" s="145" t="n"/>
      <c r="H116" s="145" t="n"/>
      <c r="I116" s="145" t="n"/>
      <c r="J116" s="145" t="n"/>
      <c r="K116" s="145" t="n"/>
      <c r="L116" s="145" t="n"/>
      <c r="M116" s="145" t="n"/>
      <c r="N116" s="145" t="n"/>
      <c r="O116" s="145" t="n"/>
      <c r="P116" s="145" t="n"/>
      <c r="Q116" s="145" t="n"/>
      <c r="R116" s="145" t="n"/>
      <c r="S116" s="145" t="n"/>
      <c r="T116" s="145" t="n"/>
      <c r="U116" s="145" t="n"/>
      <c r="V116" s="145" t="n"/>
      <c r="W116" s="145" t="n"/>
      <c r="X116" s="145" t="n"/>
      <c r="Y116" s="145" t="n"/>
      <c r="Z116" s="145" t="n"/>
    </row>
    <row r="117" ht="15.75" customHeight="1" s="311">
      <c r="A117" s="145" t="n"/>
      <c r="B117" s="145" t="n"/>
      <c r="C117" s="145" t="n"/>
      <c r="D117" s="145" t="n"/>
      <c r="E117" s="145" t="n"/>
      <c r="F117" s="145" t="n"/>
      <c r="G117" s="145" t="n"/>
      <c r="H117" s="145" t="n"/>
      <c r="I117" s="145" t="n"/>
      <c r="J117" s="145" t="n"/>
      <c r="K117" s="145" t="n"/>
      <c r="L117" s="145" t="n"/>
      <c r="M117" s="145" t="n"/>
      <c r="N117" s="145" t="n"/>
      <c r="O117" s="145" t="n"/>
      <c r="P117" s="145" t="n"/>
      <c r="Q117" s="145" t="n"/>
      <c r="R117" s="145" t="n"/>
      <c r="S117" s="145" t="n"/>
      <c r="T117" s="145" t="n"/>
      <c r="U117" s="145" t="n"/>
      <c r="V117" s="145" t="n"/>
      <c r="W117" s="145" t="n"/>
      <c r="X117" s="145" t="n"/>
      <c r="Y117" s="145" t="n"/>
      <c r="Z117" s="145" t="n"/>
    </row>
    <row r="118" ht="15.75" customHeight="1" s="311">
      <c r="A118" s="145" t="n"/>
      <c r="B118" s="145" t="n"/>
      <c r="C118" s="145" t="n"/>
      <c r="D118" s="145" t="n"/>
      <c r="E118" s="145" t="n"/>
      <c r="F118" s="145" t="n"/>
      <c r="G118" s="145" t="n"/>
      <c r="H118" s="145" t="n"/>
      <c r="I118" s="145" t="n"/>
      <c r="J118" s="145" t="n"/>
      <c r="K118" s="145" t="n"/>
      <c r="L118" s="145" t="n"/>
      <c r="M118" s="145" t="n"/>
      <c r="N118" s="145" t="n"/>
      <c r="O118" s="145" t="n"/>
      <c r="P118" s="145" t="n"/>
      <c r="Q118" s="145" t="n"/>
      <c r="R118" s="145" t="n"/>
      <c r="S118" s="145" t="n"/>
      <c r="T118" s="145" t="n"/>
      <c r="U118" s="145" t="n"/>
      <c r="V118" s="145" t="n"/>
      <c r="W118" s="145" t="n"/>
      <c r="X118" s="145" t="n"/>
      <c r="Y118" s="145" t="n"/>
      <c r="Z118" s="145" t="n"/>
    </row>
    <row r="119" ht="15.75" customHeight="1" s="311">
      <c r="A119" s="145" t="n"/>
      <c r="B119" s="145" t="n"/>
      <c r="C119" s="145" t="n"/>
      <c r="D119" s="145" t="n"/>
      <c r="E119" s="145" t="n"/>
      <c r="F119" s="145" t="n"/>
      <c r="G119" s="145" t="n"/>
      <c r="H119" s="145" t="n"/>
      <c r="I119" s="145" t="n"/>
      <c r="J119" s="145" t="n"/>
      <c r="K119" s="145" t="n"/>
      <c r="L119" s="145" t="n"/>
      <c r="M119" s="145" t="n"/>
      <c r="N119" s="145" t="n"/>
      <c r="O119" s="145" t="n"/>
      <c r="P119" s="145" t="n"/>
      <c r="Q119" s="145" t="n"/>
      <c r="R119" s="145" t="n"/>
      <c r="S119" s="145" t="n"/>
      <c r="T119" s="145" t="n"/>
      <c r="U119" s="145" t="n"/>
      <c r="V119" s="145" t="n"/>
      <c r="W119" s="145" t="n"/>
      <c r="X119" s="145" t="n"/>
      <c r="Y119" s="145" t="n"/>
      <c r="Z119" s="145" t="n"/>
    </row>
    <row r="120" ht="15.75" customHeight="1" s="311">
      <c r="A120" s="145" t="n"/>
      <c r="B120" s="145" t="n"/>
      <c r="C120" s="145" t="n"/>
      <c r="D120" s="145" t="n"/>
      <c r="E120" s="145" t="n"/>
      <c r="F120" s="145" t="n"/>
      <c r="G120" s="145" t="n"/>
      <c r="H120" s="145" t="n"/>
      <c r="I120" s="145" t="n"/>
      <c r="J120" s="145" t="n"/>
      <c r="K120" s="145" t="n"/>
      <c r="L120" s="145" t="n"/>
      <c r="M120" s="145" t="n"/>
      <c r="N120" s="145" t="n"/>
      <c r="O120" s="145" t="n"/>
      <c r="P120" s="145" t="n"/>
      <c r="Q120" s="145" t="n"/>
      <c r="R120" s="145" t="n"/>
      <c r="S120" s="145" t="n"/>
      <c r="T120" s="145" t="n"/>
      <c r="U120" s="145" t="n"/>
      <c r="V120" s="145" t="n"/>
      <c r="W120" s="145" t="n"/>
      <c r="X120" s="145" t="n"/>
      <c r="Y120" s="145" t="n"/>
      <c r="Z120" s="145" t="n"/>
    </row>
    <row r="121" ht="15.75" customHeight="1" s="311">
      <c r="A121" s="145" t="n"/>
      <c r="B121" s="145" t="n"/>
      <c r="C121" s="145" t="n"/>
      <c r="D121" s="145" t="n"/>
      <c r="E121" s="145" t="n"/>
      <c r="F121" s="145" t="n"/>
      <c r="G121" s="145" t="n"/>
      <c r="H121" s="145" t="n"/>
      <c r="I121" s="145" t="n"/>
      <c r="J121" s="145" t="n"/>
      <c r="K121" s="145" t="n"/>
      <c r="L121" s="145" t="n"/>
      <c r="M121" s="145" t="n"/>
      <c r="N121" s="145" t="n"/>
      <c r="O121" s="145" t="n"/>
      <c r="P121" s="145" t="n"/>
      <c r="Q121" s="145" t="n"/>
      <c r="R121" s="145" t="n"/>
      <c r="S121" s="145" t="n"/>
      <c r="T121" s="145" t="n"/>
      <c r="U121" s="145" t="n"/>
      <c r="V121" s="145" t="n"/>
      <c r="W121" s="145" t="n"/>
      <c r="X121" s="145" t="n"/>
      <c r="Y121" s="145" t="n"/>
      <c r="Z121" s="145" t="n"/>
    </row>
    <row r="122" ht="15.75" customHeight="1" s="311">
      <c r="A122" s="145" t="n"/>
      <c r="B122" s="145" t="n"/>
      <c r="C122" s="145" t="n"/>
      <c r="D122" s="145" t="n"/>
      <c r="E122" s="145" t="n"/>
      <c r="F122" s="145" t="n"/>
      <c r="G122" s="145" t="n"/>
      <c r="H122" s="145" t="n"/>
      <c r="I122" s="145" t="n"/>
      <c r="J122" s="145" t="n"/>
      <c r="K122" s="145" t="n"/>
      <c r="L122" s="145" t="n"/>
      <c r="M122" s="145" t="n"/>
      <c r="N122" s="145" t="n"/>
      <c r="O122" s="145" t="n"/>
      <c r="P122" s="145" t="n"/>
      <c r="Q122" s="145" t="n"/>
      <c r="R122" s="145" t="n"/>
      <c r="S122" s="145" t="n"/>
      <c r="T122" s="145" t="n"/>
      <c r="U122" s="145" t="n"/>
      <c r="V122" s="145" t="n"/>
      <c r="W122" s="145" t="n"/>
      <c r="X122" s="145" t="n"/>
      <c r="Y122" s="145" t="n"/>
      <c r="Z122" s="145" t="n"/>
    </row>
    <row r="123" ht="15.75" customHeight="1" s="311">
      <c r="A123" s="145" t="n"/>
      <c r="B123" s="145" t="n"/>
      <c r="C123" s="145" t="n"/>
      <c r="D123" s="145" t="n"/>
      <c r="E123" s="145" t="n"/>
      <c r="F123" s="145" t="n"/>
      <c r="G123" s="145" t="n"/>
      <c r="H123" s="145" t="n"/>
      <c r="I123" s="145" t="n"/>
      <c r="J123" s="145" t="n"/>
      <c r="K123" s="145" t="n"/>
      <c r="L123" s="145" t="n"/>
      <c r="M123" s="145" t="n"/>
      <c r="N123" s="145" t="n"/>
      <c r="O123" s="145" t="n"/>
      <c r="P123" s="145" t="n"/>
      <c r="Q123" s="145" t="n"/>
      <c r="R123" s="145" t="n"/>
      <c r="S123" s="145" t="n"/>
      <c r="T123" s="145" t="n"/>
      <c r="U123" s="145" t="n"/>
      <c r="V123" s="145" t="n"/>
      <c r="W123" s="145" t="n"/>
      <c r="X123" s="145" t="n"/>
      <c r="Y123" s="145" t="n"/>
      <c r="Z123" s="145" t="n"/>
    </row>
    <row r="124" ht="15.75" customHeight="1" s="311">
      <c r="A124" s="145" t="n"/>
      <c r="B124" s="145" t="n"/>
      <c r="C124" s="145" t="n"/>
      <c r="D124" s="145" t="n"/>
      <c r="E124" s="145" t="n"/>
      <c r="F124" s="145" t="n"/>
      <c r="G124" s="145" t="n"/>
      <c r="H124" s="145" t="n"/>
      <c r="I124" s="145" t="n"/>
      <c r="J124" s="145" t="n"/>
      <c r="K124" s="145" t="n"/>
      <c r="L124" s="145" t="n"/>
      <c r="M124" s="145" t="n"/>
      <c r="N124" s="145" t="n"/>
      <c r="O124" s="145" t="n"/>
      <c r="P124" s="145" t="n"/>
      <c r="Q124" s="145" t="n"/>
      <c r="R124" s="145" t="n"/>
      <c r="S124" s="145" t="n"/>
      <c r="T124" s="145" t="n"/>
      <c r="U124" s="145" t="n"/>
      <c r="V124" s="145" t="n"/>
      <c r="W124" s="145" t="n"/>
      <c r="X124" s="145" t="n"/>
      <c r="Y124" s="145" t="n"/>
      <c r="Z124" s="145" t="n"/>
    </row>
    <row r="125" ht="15.75" customHeight="1" s="311">
      <c r="A125" s="145" t="n"/>
      <c r="B125" s="145" t="n"/>
      <c r="C125" s="145" t="n"/>
      <c r="D125" s="145" t="n"/>
      <c r="E125" s="145" t="n"/>
      <c r="F125" s="145" t="n"/>
      <c r="G125" s="145" t="n"/>
      <c r="H125" s="145" t="n"/>
      <c r="I125" s="145" t="n"/>
      <c r="J125" s="145" t="n"/>
      <c r="K125" s="145" t="n"/>
      <c r="L125" s="145" t="n"/>
      <c r="M125" s="145" t="n"/>
      <c r="N125" s="145" t="n"/>
      <c r="O125" s="145" t="n"/>
      <c r="P125" s="145" t="n"/>
      <c r="Q125" s="145" t="n"/>
      <c r="R125" s="145" t="n"/>
      <c r="S125" s="145" t="n"/>
      <c r="T125" s="145" t="n"/>
      <c r="U125" s="145" t="n"/>
      <c r="V125" s="145" t="n"/>
      <c r="W125" s="145" t="n"/>
      <c r="X125" s="145" t="n"/>
      <c r="Y125" s="145" t="n"/>
      <c r="Z125" s="145" t="n"/>
    </row>
    <row r="126" ht="15.75" customHeight="1" s="311">
      <c r="A126" s="145" t="n"/>
      <c r="B126" s="145" t="n"/>
      <c r="C126" s="145" t="n"/>
      <c r="D126" s="145" t="n"/>
      <c r="E126" s="145" t="n"/>
      <c r="F126" s="145" t="n"/>
      <c r="G126" s="145" t="n"/>
      <c r="H126" s="145" t="n"/>
      <c r="I126" s="145" t="n"/>
      <c r="J126" s="145" t="n"/>
      <c r="K126" s="145" t="n"/>
      <c r="L126" s="145" t="n"/>
      <c r="M126" s="145" t="n"/>
      <c r="N126" s="145" t="n"/>
      <c r="O126" s="145" t="n"/>
      <c r="P126" s="145" t="n"/>
      <c r="Q126" s="145" t="n"/>
      <c r="R126" s="145" t="n"/>
      <c r="S126" s="145" t="n"/>
      <c r="T126" s="145" t="n"/>
      <c r="U126" s="145" t="n"/>
      <c r="V126" s="145" t="n"/>
      <c r="W126" s="145" t="n"/>
      <c r="X126" s="145" t="n"/>
      <c r="Y126" s="145" t="n"/>
      <c r="Z126" s="145" t="n"/>
    </row>
    <row r="127" ht="15.75" customHeight="1" s="311">
      <c r="A127" s="145" t="n"/>
      <c r="B127" s="145" t="n"/>
      <c r="C127" s="145" t="n"/>
      <c r="D127" s="145" t="n"/>
      <c r="E127" s="145" t="n"/>
      <c r="F127" s="145" t="n"/>
      <c r="G127" s="145" t="n"/>
      <c r="H127" s="145" t="n"/>
      <c r="I127" s="145" t="n"/>
      <c r="J127" s="145" t="n"/>
      <c r="K127" s="145" t="n"/>
      <c r="L127" s="145" t="n"/>
      <c r="M127" s="145" t="n"/>
      <c r="N127" s="145" t="n"/>
      <c r="O127" s="145" t="n"/>
      <c r="P127" s="145" t="n"/>
      <c r="Q127" s="145" t="n"/>
      <c r="R127" s="145" t="n"/>
      <c r="S127" s="145" t="n"/>
      <c r="T127" s="145" t="n"/>
      <c r="U127" s="145" t="n"/>
      <c r="V127" s="145" t="n"/>
      <c r="W127" s="145" t="n"/>
      <c r="X127" s="145" t="n"/>
      <c r="Y127" s="145" t="n"/>
      <c r="Z127" s="145" t="n"/>
    </row>
    <row r="128" ht="15.75" customHeight="1" s="311">
      <c r="A128" s="145" t="n"/>
      <c r="B128" s="145" t="n"/>
      <c r="C128" s="145" t="n"/>
      <c r="D128" s="145" t="n"/>
      <c r="E128" s="145" t="n"/>
      <c r="F128" s="145" t="n"/>
      <c r="G128" s="145" t="n"/>
      <c r="H128" s="145" t="n"/>
      <c r="I128" s="145" t="n"/>
      <c r="J128" s="145" t="n"/>
      <c r="K128" s="145" t="n"/>
      <c r="L128" s="145" t="n"/>
      <c r="M128" s="145" t="n"/>
      <c r="N128" s="145" t="n"/>
      <c r="O128" s="145" t="n"/>
      <c r="P128" s="145" t="n"/>
      <c r="Q128" s="145" t="n"/>
      <c r="R128" s="145" t="n"/>
      <c r="S128" s="145" t="n"/>
      <c r="T128" s="145" t="n"/>
      <c r="U128" s="145" t="n"/>
      <c r="V128" s="145" t="n"/>
      <c r="W128" s="145" t="n"/>
      <c r="X128" s="145" t="n"/>
      <c r="Y128" s="145" t="n"/>
      <c r="Z128" s="145" t="n"/>
    </row>
    <row r="129" ht="15.75" customHeight="1" s="311">
      <c r="A129" s="145" t="n"/>
      <c r="B129" s="145" t="n"/>
      <c r="C129" s="145" t="n"/>
      <c r="D129" s="145" t="n"/>
      <c r="E129" s="145" t="n"/>
      <c r="F129" s="145" t="n"/>
      <c r="G129" s="145" t="n"/>
      <c r="H129" s="145" t="n"/>
      <c r="I129" s="145" t="n"/>
      <c r="J129" s="145" t="n"/>
      <c r="K129" s="145" t="n"/>
      <c r="L129" s="145" t="n"/>
      <c r="M129" s="145" t="n"/>
      <c r="N129" s="145" t="n"/>
      <c r="O129" s="145" t="n"/>
      <c r="P129" s="145" t="n"/>
      <c r="Q129" s="145" t="n"/>
      <c r="R129" s="145" t="n"/>
      <c r="S129" s="145" t="n"/>
      <c r="T129" s="145" t="n"/>
      <c r="U129" s="145" t="n"/>
      <c r="V129" s="145" t="n"/>
      <c r="W129" s="145" t="n"/>
      <c r="X129" s="145" t="n"/>
      <c r="Y129" s="145" t="n"/>
      <c r="Z129" s="145" t="n"/>
    </row>
    <row r="130" ht="15.75" customHeight="1" s="311">
      <c r="A130" s="145" t="n"/>
      <c r="B130" s="145" t="n"/>
      <c r="C130" s="145" t="n"/>
      <c r="D130" s="145" t="n"/>
      <c r="E130" s="145" t="n"/>
      <c r="F130" s="145" t="n"/>
      <c r="G130" s="145" t="n"/>
      <c r="H130" s="145" t="n"/>
      <c r="I130" s="145" t="n"/>
      <c r="J130" s="145" t="n"/>
      <c r="K130" s="145" t="n"/>
      <c r="L130" s="145" t="n"/>
      <c r="M130" s="145" t="n"/>
      <c r="N130" s="145" t="n"/>
      <c r="O130" s="145" t="n"/>
      <c r="P130" s="145" t="n"/>
      <c r="Q130" s="145" t="n"/>
      <c r="R130" s="145" t="n"/>
      <c r="S130" s="145" t="n"/>
      <c r="T130" s="145" t="n"/>
      <c r="U130" s="145" t="n"/>
      <c r="V130" s="145" t="n"/>
      <c r="W130" s="145" t="n"/>
      <c r="X130" s="145" t="n"/>
      <c r="Y130" s="145" t="n"/>
      <c r="Z130" s="145" t="n"/>
    </row>
    <row r="131" ht="15.75" customHeight="1" s="311">
      <c r="A131" s="145" t="n"/>
      <c r="B131" s="145" t="n"/>
      <c r="C131" s="145" t="n"/>
      <c r="D131" s="145" t="n"/>
      <c r="E131" s="145" t="n"/>
      <c r="F131" s="145" t="n"/>
      <c r="G131" s="145" t="n"/>
      <c r="H131" s="145" t="n"/>
      <c r="I131" s="145" t="n"/>
      <c r="J131" s="145" t="n"/>
      <c r="K131" s="145" t="n"/>
      <c r="L131" s="145" t="n"/>
      <c r="M131" s="145" t="n"/>
      <c r="N131" s="145" t="n"/>
      <c r="O131" s="145" t="n"/>
      <c r="P131" s="145" t="n"/>
      <c r="Q131" s="145" t="n"/>
      <c r="R131" s="145" t="n"/>
      <c r="S131" s="145" t="n"/>
      <c r="T131" s="145" t="n"/>
      <c r="U131" s="145" t="n"/>
      <c r="V131" s="145" t="n"/>
      <c r="W131" s="145" t="n"/>
      <c r="X131" s="145" t="n"/>
      <c r="Y131" s="145" t="n"/>
      <c r="Z131" s="145" t="n"/>
    </row>
    <row r="132" ht="15.75" customHeight="1" s="311">
      <c r="A132" s="145" t="n"/>
      <c r="B132" s="145" t="n"/>
      <c r="C132" s="145" t="n"/>
      <c r="D132" s="145" t="n"/>
      <c r="E132" s="145" t="n"/>
      <c r="F132" s="145" t="n"/>
      <c r="G132" s="145" t="n"/>
      <c r="H132" s="145" t="n"/>
      <c r="I132" s="145" t="n"/>
      <c r="J132" s="145" t="n"/>
      <c r="K132" s="145" t="n"/>
      <c r="L132" s="145" t="n"/>
      <c r="M132" s="145" t="n"/>
      <c r="N132" s="145" t="n"/>
      <c r="O132" s="145" t="n"/>
      <c r="P132" s="145" t="n"/>
      <c r="Q132" s="145" t="n"/>
      <c r="R132" s="145" t="n"/>
      <c r="S132" s="145" t="n"/>
      <c r="T132" s="145" t="n"/>
      <c r="U132" s="145" t="n"/>
      <c r="V132" s="145" t="n"/>
      <c r="W132" s="145" t="n"/>
      <c r="X132" s="145" t="n"/>
      <c r="Y132" s="145" t="n"/>
      <c r="Z132" s="145" t="n"/>
    </row>
    <row r="133" ht="15.75" customHeight="1" s="311">
      <c r="A133" s="145" t="n"/>
      <c r="B133" s="145" t="n"/>
      <c r="C133" s="145" t="n"/>
      <c r="D133" s="145" t="n"/>
      <c r="E133" s="145" t="n"/>
      <c r="F133" s="145" t="n"/>
      <c r="G133" s="145" t="n"/>
      <c r="H133" s="145" t="n"/>
      <c r="I133" s="145" t="n"/>
      <c r="J133" s="145" t="n"/>
      <c r="K133" s="145" t="n"/>
      <c r="L133" s="145" t="n"/>
      <c r="M133" s="145" t="n"/>
      <c r="N133" s="145" t="n"/>
      <c r="O133" s="145" t="n"/>
      <c r="P133" s="145" t="n"/>
      <c r="Q133" s="145" t="n"/>
      <c r="R133" s="145" t="n"/>
      <c r="S133" s="145" t="n"/>
      <c r="T133" s="145" t="n"/>
      <c r="U133" s="145" t="n"/>
      <c r="V133" s="145" t="n"/>
      <c r="W133" s="145" t="n"/>
      <c r="X133" s="145" t="n"/>
      <c r="Y133" s="145" t="n"/>
      <c r="Z133" s="145" t="n"/>
    </row>
    <row r="134" ht="15.75" customHeight="1" s="311">
      <c r="A134" s="145" t="n"/>
      <c r="B134" s="145" t="n"/>
      <c r="C134" s="145" t="n"/>
      <c r="D134" s="145" t="n"/>
      <c r="E134" s="145" t="n"/>
      <c r="F134" s="145" t="n"/>
      <c r="G134" s="145" t="n"/>
      <c r="H134" s="145" t="n"/>
      <c r="I134" s="145" t="n"/>
      <c r="J134" s="145" t="n"/>
      <c r="K134" s="145" t="n"/>
      <c r="L134" s="145" t="n"/>
      <c r="M134" s="145" t="n"/>
      <c r="N134" s="145" t="n"/>
      <c r="O134" s="145" t="n"/>
      <c r="P134" s="145" t="n"/>
      <c r="Q134" s="145" t="n"/>
      <c r="R134" s="145" t="n"/>
      <c r="S134" s="145" t="n"/>
      <c r="T134" s="145" t="n"/>
      <c r="U134" s="145" t="n"/>
      <c r="V134" s="145" t="n"/>
      <c r="W134" s="145" t="n"/>
      <c r="X134" s="145" t="n"/>
      <c r="Y134" s="145" t="n"/>
      <c r="Z134" s="145" t="n"/>
    </row>
    <row r="135" ht="15.75" customHeight="1" s="311">
      <c r="A135" s="145" t="n"/>
      <c r="B135" s="145" t="n"/>
      <c r="C135" s="145" t="n"/>
      <c r="D135" s="145" t="n"/>
      <c r="E135" s="145" t="n"/>
      <c r="F135" s="145" t="n"/>
      <c r="G135" s="145" t="n"/>
      <c r="H135" s="145" t="n"/>
      <c r="I135" s="145" t="n"/>
      <c r="J135" s="145" t="n"/>
      <c r="K135" s="145" t="n"/>
      <c r="L135" s="145" t="n"/>
      <c r="M135" s="145" t="n"/>
      <c r="N135" s="145" t="n"/>
      <c r="O135" s="145" t="n"/>
      <c r="P135" s="145" t="n"/>
      <c r="Q135" s="145" t="n"/>
      <c r="R135" s="145" t="n"/>
      <c r="S135" s="145" t="n"/>
      <c r="T135" s="145" t="n"/>
      <c r="U135" s="145" t="n"/>
      <c r="V135" s="145" t="n"/>
      <c r="W135" s="145" t="n"/>
      <c r="X135" s="145" t="n"/>
      <c r="Y135" s="145" t="n"/>
      <c r="Z135" s="145" t="n"/>
    </row>
    <row r="136" ht="15.75" customHeight="1" s="311">
      <c r="A136" s="145" t="n"/>
      <c r="B136" s="145" t="n"/>
      <c r="C136" s="145" t="n"/>
      <c r="D136" s="145" t="n"/>
      <c r="E136" s="145" t="n"/>
      <c r="F136" s="145" t="n"/>
      <c r="G136" s="145" t="n"/>
      <c r="H136" s="145" t="n"/>
      <c r="I136" s="145" t="n"/>
      <c r="J136" s="145" t="n"/>
      <c r="K136" s="145" t="n"/>
      <c r="L136" s="145" t="n"/>
      <c r="M136" s="145" t="n"/>
      <c r="N136" s="145" t="n"/>
      <c r="O136" s="145" t="n"/>
      <c r="P136" s="145" t="n"/>
      <c r="Q136" s="145" t="n"/>
      <c r="R136" s="145" t="n"/>
      <c r="S136" s="145" t="n"/>
      <c r="T136" s="145" t="n"/>
      <c r="U136" s="145" t="n"/>
      <c r="V136" s="145" t="n"/>
      <c r="W136" s="145" t="n"/>
      <c r="X136" s="145" t="n"/>
      <c r="Y136" s="145" t="n"/>
      <c r="Z136" s="145" t="n"/>
    </row>
    <row r="137" ht="15.75" customHeight="1" s="311">
      <c r="A137" s="145" t="n"/>
      <c r="B137" s="145" t="n"/>
      <c r="C137" s="145" t="n"/>
      <c r="D137" s="145" t="n"/>
      <c r="E137" s="145" t="n"/>
      <c r="F137" s="145" t="n"/>
      <c r="G137" s="145" t="n"/>
      <c r="H137" s="145" t="n"/>
      <c r="I137" s="145" t="n"/>
      <c r="J137" s="145" t="n"/>
      <c r="K137" s="145" t="n"/>
      <c r="L137" s="145" t="n"/>
      <c r="M137" s="145" t="n"/>
      <c r="N137" s="145" t="n"/>
      <c r="O137" s="145" t="n"/>
      <c r="P137" s="145" t="n"/>
      <c r="Q137" s="145" t="n"/>
      <c r="R137" s="145" t="n"/>
      <c r="S137" s="145" t="n"/>
      <c r="T137" s="145" t="n"/>
      <c r="U137" s="145" t="n"/>
      <c r="V137" s="145" t="n"/>
      <c r="W137" s="145" t="n"/>
      <c r="X137" s="145" t="n"/>
      <c r="Y137" s="145" t="n"/>
      <c r="Z137" s="145" t="n"/>
    </row>
    <row r="138" ht="15.75" customHeight="1" s="311">
      <c r="A138" s="145" t="n"/>
      <c r="B138" s="145" t="n"/>
      <c r="C138" s="145" t="n"/>
      <c r="D138" s="145" t="n"/>
      <c r="E138" s="145" t="n"/>
      <c r="F138" s="145" t="n"/>
      <c r="G138" s="145" t="n"/>
      <c r="H138" s="145" t="n"/>
      <c r="I138" s="145" t="n"/>
      <c r="J138" s="145" t="n"/>
      <c r="K138" s="145" t="n"/>
      <c r="L138" s="145" t="n"/>
      <c r="M138" s="145" t="n"/>
      <c r="N138" s="145" t="n"/>
      <c r="O138" s="145" t="n"/>
      <c r="P138" s="145" t="n"/>
      <c r="Q138" s="145" t="n"/>
      <c r="R138" s="145" t="n"/>
      <c r="S138" s="145" t="n"/>
      <c r="T138" s="145" t="n"/>
      <c r="U138" s="145" t="n"/>
      <c r="V138" s="145" t="n"/>
      <c r="W138" s="145" t="n"/>
      <c r="X138" s="145" t="n"/>
      <c r="Y138" s="145" t="n"/>
      <c r="Z138" s="145" t="n"/>
    </row>
    <row r="139" ht="15.75" customHeight="1" s="311">
      <c r="A139" s="145" t="n"/>
      <c r="B139" s="145" t="n"/>
      <c r="C139" s="145" t="n"/>
      <c r="D139" s="145" t="n"/>
      <c r="E139" s="145" t="n"/>
      <c r="F139" s="145" t="n"/>
      <c r="G139" s="145" t="n"/>
      <c r="H139" s="145" t="n"/>
      <c r="I139" s="145" t="n"/>
      <c r="J139" s="145" t="n"/>
      <c r="K139" s="145" t="n"/>
      <c r="L139" s="145" t="n"/>
      <c r="M139" s="145" t="n"/>
      <c r="N139" s="145" t="n"/>
      <c r="O139" s="145" t="n"/>
      <c r="P139" s="145" t="n"/>
      <c r="Q139" s="145" t="n"/>
      <c r="R139" s="145" t="n"/>
      <c r="S139" s="145" t="n"/>
      <c r="T139" s="145" t="n"/>
      <c r="U139" s="145" t="n"/>
      <c r="V139" s="145" t="n"/>
      <c r="W139" s="145" t="n"/>
      <c r="X139" s="145" t="n"/>
      <c r="Y139" s="145" t="n"/>
      <c r="Z139" s="145" t="n"/>
    </row>
    <row r="140" ht="15.75" customHeight="1" s="311">
      <c r="A140" s="145" t="n"/>
      <c r="B140" s="145" t="n"/>
      <c r="C140" s="145" t="n"/>
      <c r="D140" s="145" t="n"/>
      <c r="E140" s="145" t="n"/>
      <c r="F140" s="145" t="n"/>
      <c r="G140" s="145" t="n"/>
      <c r="H140" s="145" t="n"/>
      <c r="I140" s="145" t="n"/>
      <c r="J140" s="145" t="n"/>
      <c r="K140" s="145" t="n"/>
      <c r="L140" s="145" t="n"/>
      <c r="M140" s="145" t="n"/>
      <c r="N140" s="145" t="n"/>
      <c r="O140" s="145" t="n"/>
      <c r="P140" s="145" t="n"/>
      <c r="Q140" s="145" t="n"/>
      <c r="R140" s="145" t="n"/>
      <c r="S140" s="145" t="n"/>
      <c r="T140" s="145" t="n"/>
      <c r="U140" s="145" t="n"/>
      <c r="V140" s="145" t="n"/>
      <c r="W140" s="145" t="n"/>
      <c r="X140" s="145" t="n"/>
      <c r="Y140" s="145" t="n"/>
      <c r="Z140" s="145" t="n"/>
    </row>
    <row r="141" ht="15.75" customHeight="1" s="311">
      <c r="A141" s="145" t="n"/>
      <c r="B141" s="145" t="n"/>
      <c r="C141" s="145" t="n"/>
      <c r="D141" s="145" t="n"/>
      <c r="E141" s="145" t="n"/>
      <c r="F141" s="145" t="n"/>
      <c r="G141" s="145" t="n"/>
      <c r="H141" s="145" t="n"/>
      <c r="I141" s="145" t="n"/>
      <c r="J141" s="145" t="n"/>
      <c r="K141" s="145" t="n"/>
      <c r="L141" s="145" t="n"/>
      <c r="M141" s="145" t="n"/>
      <c r="N141" s="145" t="n"/>
      <c r="O141" s="145" t="n"/>
      <c r="P141" s="145" t="n"/>
      <c r="Q141" s="145" t="n"/>
      <c r="R141" s="145" t="n"/>
      <c r="S141" s="145" t="n"/>
      <c r="T141" s="145" t="n"/>
      <c r="U141" s="145" t="n"/>
      <c r="V141" s="145" t="n"/>
      <c r="W141" s="145" t="n"/>
      <c r="X141" s="145" t="n"/>
      <c r="Y141" s="145" t="n"/>
      <c r="Z141" s="145" t="n"/>
    </row>
    <row r="142" ht="15.75" customHeight="1" s="311">
      <c r="A142" s="145" t="n"/>
      <c r="B142" s="145" t="n"/>
      <c r="C142" s="145" t="n"/>
      <c r="D142" s="145" t="n"/>
      <c r="E142" s="145" t="n"/>
      <c r="F142" s="145" t="n"/>
      <c r="G142" s="145" t="n"/>
      <c r="H142" s="145" t="n"/>
      <c r="I142" s="145" t="n"/>
      <c r="J142" s="145" t="n"/>
      <c r="K142" s="145" t="n"/>
      <c r="L142" s="145" t="n"/>
      <c r="M142" s="145" t="n"/>
      <c r="N142" s="145" t="n"/>
      <c r="O142" s="145" t="n"/>
      <c r="P142" s="145" t="n"/>
      <c r="Q142" s="145" t="n"/>
      <c r="R142" s="145" t="n"/>
      <c r="S142" s="145" t="n"/>
      <c r="T142" s="145" t="n"/>
      <c r="U142" s="145" t="n"/>
      <c r="V142" s="145" t="n"/>
      <c r="W142" s="145" t="n"/>
      <c r="X142" s="145" t="n"/>
      <c r="Y142" s="145" t="n"/>
      <c r="Z142" s="145" t="n"/>
    </row>
    <row r="143" ht="15.75" customHeight="1" s="311">
      <c r="A143" s="145" t="n"/>
      <c r="B143" s="145" t="n"/>
      <c r="C143" s="145" t="n"/>
      <c r="D143" s="145" t="n"/>
      <c r="E143" s="145" t="n"/>
      <c r="F143" s="145" t="n"/>
      <c r="G143" s="145" t="n"/>
      <c r="H143" s="145" t="n"/>
      <c r="I143" s="145" t="n"/>
      <c r="J143" s="145" t="n"/>
      <c r="K143" s="145" t="n"/>
      <c r="L143" s="145" t="n"/>
      <c r="M143" s="145" t="n"/>
      <c r="N143" s="145" t="n"/>
      <c r="O143" s="145" t="n"/>
      <c r="P143" s="145" t="n"/>
      <c r="Q143" s="145" t="n"/>
      <c r="R143" s="145" t="n"/>
      <c r="S143" s="145" t="n"/>
      <c r="T143" s="145" t="n"/>
      <c r="U143" s="145" t="n"/>
      <c r="V143" s="145" t="n"/>
      <c r="W143" s="145" t="n"/>
      <c r="X143" s="145" t="n"/>
      <c r="Y143" s="145" t="n"/>
      <c r="Z143" s="145" t="n"/>
    </row>
    <row r="144" ht="15.75" customHeight="1" s="311">
      <c r="A144" s="145" t="n"/>
      <c r="B144" s="145" t="n"/>
      <c r="C144" s="145" t="n"/>
      <c r="D144" s="145" t="n"/>
      <c r="E144" s="145" t="n"/>
      <c r="F144" s="145" t="n"/>
      <c r="G144" s="145" t="n"/>
      <c r="H144" s="145" t="n"/>
      <c r="I144" s="145" t="n"/>
      <c r="J144" s="145" t="n"/>
      <c r="K144" s="145" t="n"/>
      <c r="L144" s="145" t="n"/>
      <c r="M144" s="145" t="n"/>
      <c r="N144" s="145" t="n"/>
      <c r="O144" s="145" t="n"/>
      <c r="P144" s="145" t="n"/>
      <c r="Q144" s="145" t="n"/>
      <c r="R144" s="145" t="n"/>
      <c r="S144" s="145" t="n"/>
      <c r="T144" s="145" t="n"/>
      <c r="U144" s="145" t="n"/>
      <c r="V144" s="145" t="n"/>
      <c r="W144" s="145" t="n"/>
      <c r="X144" s="145" t="n"/>
      <c r="Y144" s="145" t="n"/>
      <c r="Z144" s="145" t="n"/>
    </row>
    <row r="145" ht="15.75" customHeight="1" s="311">
      <c r="A145" s="145" t="n"/>
      <c r="B145" s="145" t="n"/>
      <c r="C145" s="145" t="n"/>
      <c r="D145" s="145" t="n"/>
      <c r="E145" s="145" t="n"/>
      <c r="F145" s="145" t="n"/>
      <c r="G145" s="145" t="n"/>
      <c r="H145" s="145" t="n"/>
      <c r="I145" s="145" t="n"/>
      <c r="J145" s="145" t="n"/>
      <c r="K145" s="145" t="n"/>
      <c r="L145" s="145" t="n"/>
      <c r="M145" s="145" t="n"/>
      <c r="N145" s="145" t="n"/>
      <c r="O145" s="145" t="n"/>
      <c r="P145" s="145" t="n"/>
      <c r="Q145" s="145" t="n"/>
      <c r="R145" s="145" t="n"/>
      <c r="S145" s="145" t="n"/>
      <c r="T145" s="145" t="n"/>
      <c r="U145" s="145" t="n"/>
      <c r="V145" s="145" t="n"/>
      <c r="W145" s="145" t="n"/>
      <c r="X145" s="145" t="n"/>
      <c r="Y145" s="145" t="n"/>
      <c r="Z145" s="145" t="n"/>
    </row>
    <row r="146" ht="15.75" customHeight="1" s="311">
      <c r="A146" s="145" t="n"/>
      <c r="B146" s="145" t="n"/>
      <c r="C146" s="145" t="n"/>
      <c r="D146" s="145" t="n"/>
      <c r="E146" s="145" t="n"/>
      <c r="F146" s="145" t="n"/>
      <c r="G146" s="145" t="n"/>
      <c r="H146" s="145" t="n"/>
      <c r="I146" s="145" t="n"/>
      <c r="J146" s="145" t="n"/>
      <c r="K146" s="145" t="n"/>
      <c r="L146" s="145" t="n"/>
      <c r="M146" s="145" t="n"/>
      <c r="N146" s="145" t="n"/>
      <c r="O146" s="145" t="n"/>
      <c r="P146" s="145" t="n"/>
      <c r="Q146" s="145" t="n"/>
      <c r="R146" s="145" t="n"/>
      <c r="S146" s="145" t="n"/>
      <c r="T146" s="145" t="n"/>
      <c r="U146" s="145" t="n"/>
      <c r="V146" s="145" t="n"/>
      <c r="W146" s="145" t="n"/>
      <c r="X146" s="145" t="n"/>
      <c r="Y146" s="145" t="n"/>
      <c r="Z146" s="145" t="n"/>
    </row>
    <row r="147" ht="15.75" customHeight="1" s="311">
      <c r="A147" s="145" t="n"/>
      <c r="B147" s="145" t="n"/>
      <c r="C147" s="145" t="n"/>
      <c r="D147" s="145" t="n"/>
      <c r="E147" s="145" t="n"/>
      <c r="F147" s="145" t="n"/>
      <c r="G147" s="145" t="n"/>
      <c r="H147" s="145" t="n"/>
      <c r="I147" s="145" t="n"/>
      <c r="J147" s="145" t="n"/>
      <c r="K147" s="145" t="n"/>
      <c r="L147" s="145" t="n"/>
      <c r="M147" s="145" t="n"/>
      <c r="N147" s="145" t="n"/>
      <c r="O147" s="145" t="n"/>
      <c r="P147" s="145" t="n"/>
      <c r="Q147" s="145" t="n"/>
      <c r="R147" s="145" t="n"/>
      <c r="S147" s="145" t="n"/>
      <c r="T147" s="145" t="n"/>
      <c r="U147" s="145" t="n"/>
      <c r="V147" s="145" t="n"/>
      <c r="W147" s="145" t="n"/>
      <c r="X147" s="145" t="n"/>
      <c r="Y147" s="145" t="n"/>
      <c r="Z147" s="145" t="n"/>
    </row>
    <row r="148" ht="15.75" customHeight="1" s="311">
      <c r="A148" s="145" t="n"/>
      <c r="B148" s="145" t="n"/>
      <c r="C148" s="145" t="n"/>
      <c r="D148" s="145" t="n"/>
      <c r="E148" s="145" t="n"/>
      <c r="F148" s="145" t="n"/>
      <c r="G148" s="145" t="n"/>
      <c r="H148" s="145" t="n"/>
      <c r="I148" s="145" t="n"/>
      <c r="J148" s="145" t="n"/>
      <c r="K148" s="145" t="n"/>
      <c r="L148" s="145" t="n"/>
      <c r="M148" s="145" t="n"/>
      <c r="N148" s="145" t="n"/>
      <c r="O148" s="145" t="n"/>
      <c r="P148" s="145" t="n"/>
      <c r="Q148" s="145" t="n"/>
      <c r="R148" s="145" t="n"/>
      <c r="S148" s="145" t="n"/>
      <c r="T148" s="145" t="n"/>
      <c r="U148" s="145" t="n"/>
      <c r="V148" s="145" t="n"/>
      <c r="W148" s="145" t="n"/>
      <c r="X148" s="145" t="n"/>
      <c r="Y148" s="145" t="n"/>
      <c r="Z148" s="145" t="n"/>
    </row>
    <row r="149" ht="15.75" customHeight="1" s="311">
      <c r="A149" s="145" t="n"/>
      <c r="B149" s="145" t="n"/>
      <c r="C149" s="145" t="n"/>
      <c r="D149" s="145" t="n"/>
      <c r="E149" s="145" t="n"/>
      <c r="F149" s="145" t="n"/>
      <c r="G149" s="145" t="n"/>
      <c r="H149" s="145" t="n"/>
      <c r="I149" s="145" t="n"/>
      <c r="J149" s="145" t="n"/>
      <c r="K149" s="145" t="n"/>
      <c r="L149" s="145" t="n"/>
      <c r="M149" s="145" t="n"/>
      <c r="N149" s="145" t="n"/>
      <c r="O149" s="145" t="n"/>
      <c r="P149" s="145" t="n"/>
      <c r="Q149" s="145" t="n"/>
      <c r="R149" s="145" t="n"/>
      <c r="S149" s="145" t="n"/>
      <c r="T149" s="145" t="n"/>
      <c r="U149" s="145" t="n"/>
      <c r="V149" s="145" t="n"/>
      <c r="W149" s="145" t="n"/>
      <c r="X149" s="145" t="n"/>
      <c r="Y149" s="145" t="n"/>
      <c r="Z149" s="145" t="n"/>
    </row>
    <row r="150" ht="15.75" customHeight="1" s="311">
      <c r="A150" s="145" t="n"/>
      <c r="B150" s="145" t="n"/>
      <c r="C150" s="145" t="n"/>
      <c r="D150" s="145" t="n"/>
      <c r="E150" s="145" t="n"/>
      <c r="F150" s="145" t="n"/>
      <c r="G150" s="145" t="n"/>
      <c r="H150" s="145" t="n"/>
      <c r="I150" s="145" t="n"/>
      <c r="J150" s="145" t="n"/>
      <c r="K150" s="145" t="n"/>
      <c r="L150" s="145" t="n"/>
      <c r="M150" s="145" t="n"/>
      <c r="N150" s="145" t="n"/>
      <c r="O150" s="145" t="n"/>
      <c r="P150" s="145" t="n"/>
      <c r="Q150" s="145" t="n"/>
      <c r="R150" s="145" t="n"/>
      <c r="S150" s="145" t="n"/>
      <c r="T150" s="145" t="n"/>
      <c r="U150" s="145" t="n"/>
      <c r="V150" s="145" t="n"/>
      <c r="W150" s="145" t="n"/>
      <c r="X150" s="145" t="n"/>
      <c r="Y150" s="145" t="n"/>
      <c r="Z150" s="145" t="n"/>
    </row>
    <row r="151" ht="15.75" customHeight="1" s="311">
      <c r="A151" s="145" t="n"/>
      <c r="B151" s="145" t="n"/>
      <c r="C151" s="145" t="n"/>
      <c r="D151" s="145" t="n"/>
      <c r="E151" s="145" t="n"/>
      <c r="F151" s="145" t="n"/>
      <c r="G151" s="145" t="n"/>
      <c r="H151" s="145" t="n"/>
      <c r="I151" s="145" t="n"/>
      <c r="J151" s="145" t="n"/>
      <c r="K151" s="145" t="n"/>
      <c r="L151" s="145" t="n"/>
      <c r="M151" s="145" t="n"/>
      <c r="N151" s="145" t="n"/>
      <c r="O151" s="145" t="n"/>
      <c r="P151" s="145" t="n"/>
      <c r="Q151" s="145" t="n"/>
      <c r="R151" s="145" t="n"/>
      <c r="S151" s="145" t="n"/>
      <c r="T151" s="145" t="n"/>
      <c r="U151" s="145" t="n"/>
      <c r="V151" s="145" t="n"/>
      <c r="W151" s="145" t="n"/>
      <c r="X151" s="145" t="n"/>
      <c r="Y151" s="145" t="n"/>
      <c r="Z151" s="145" t="n"/>
    </row>
    <row r="152" ht="15.75" customHeight="1" s="311">
      <c r="A152" s="145" t="n"/>
      <c r="B152" s="145" t="n"/>
      <c r="C152" s="145" t="n"/>
      <c r="D152" s="145" t="n"/>
      <c r="E152" s="145" t="n"/>
      <c r="F152" s="145" t="n"/>
      <c r="G152" s="145" t="n"/>
      <c r="H152" s="145" t="n"/>
      <c r="I152" s="145" t="n"/>
      <c r="J152" s="145" t="n"/>
      <c r="K152" s="145" t="n"/>
      <c r="L152" s="145" t="n"/>
      <c r="M152" s="145" t="n"/>
      <c r="N152" s="145" t="n"/>
      <c r="O152" s="145" t="n"/>
      <c r="P152" s="145" t="n"/>
      <c r="Q152" s="145" t="n"/>
      <c r="R152" s="145" t="n"/>
      <c r="S152" s="145" t="n"/>
      <c r="T152" s="145" t="n"/>
      <c r="U152" s="145" t="n"/>
      <c r="V152" s="145" t="n"/>
      <c r="W152" s="145" t="n"/>
      <c r="X152" s="145" t="n"/>
      <c r="Y152" s="145" t="n"/>
      <c r="Z152" s="145" t="n"/>
    </row>
    <row r="153" ht="15.75" customHeight="1" s="311">
      <c r="A153" s="145" t="n"/>
      <c r="B153" s="145" t="n"/>
      <c r="C153" s="145" t="n"/>
      <c r="D153" s="145" t="n"/>
      <c r="E153" s="145" t="n"/>
      <c r="F153" s="145" t="n"/>
      <c r="G153" s="145" t="n"/>
      <c r="H153" s="145" t="n"/>
      <c r="I153" s="145" t="n"/>
      <c r="J153" s="145" t="n"/>
      <c r="K153" s="145" t="n"/>
      <c r="L153" s="145" t="n"/>
      <c r="M153" s="145" t="n"/>
      <c r="N153" s="145" t="n"/>
      <c r="O153" s="145" t="n"/>
      <c r="P153" s="145" t="n"/>
      <c r="Q153" s="145" t="n"/>
      <c r="R153" s="145" t="n"/>
      <c r="S153" s="145" t="n"/>
      <c r="T153" s="145" t="n"/>
      <c r="U153" s="145" t="n"/>
      <c r="V153" s="145" t="n"/>
      <c r="W153" s="145" t="n"/>
      <c r="X153" s="145" t="n"/>
      <c r="Y153" s="145" t="n"/>
      <c r="Z153" s="145" t="n"/>
    </row>
    <row r="154" ht="15.75" customHeight="1" s="311">
      <c r="A154" s="145" t="n"/>
      <c r="B154" s="145" t="n"/>
      <c r="C154" s="145" t="n"/>
      <c r="D154" s="145" t="n"/>
      <c r="E154" s="145" t="n"/>
      <c r="F154" s="145" t="n"/>
      <c r="G154" s="145" t="n"/>
      <c r="H154" s="145" t="n"/>
      <c r="I154" s="145" t="n"/>
      <c r="J154" s="145" t="n"/>
      <c r="K154" s="145" t="n"/>
      <c r="L154" s="145" t="n"/>
      <c r="M154" s="145" t="n"/>
      <c r="N154" s="145" t="n"/>
      <c r="O154" s="145" t="n"/>
      <c r="P154" s="145" t="n"/>
      <c r="Q154" s="145" t="n"/>
      <c r="R154" s="145" t="n"/>
      <c r="S154" s="145" t="n"/>
      <c r="T154" s="145" t="n"/>
      <c r="U154" s="145" t="n"/>
      <c r="V154" s="145" t="n"/>
      <c r="W154" s="145" t="n"/>
      <c r="X154" s="145" t="n"/>
      <c r="Y154" s="145" t="n"/>
      <c r="Z154" s="145" t="n"/>
    </row>
    <row r="155" ht="15.75" customHeight="1" s="311">
      <c r="A155" s="145" t="n"/>
      <c r="B155" s="145" t="n"/>
      <c r="C155" s="145" t="n"/>
      <c r="D155" s="145" t="n"/>
      <c r="E155" s="145" t="n"/>
      <c r="F155" s="145" t="n"/>
      <c r="G155" s="145" t="n"/>
      <c r="H155" s="145" t="n"/>
      <c r="I155" s="145" t="n"/>
      <c r="J155" s="145" t="n"/>
      <c r="K155" s="145" t="n"/>
      <c r="L155" s="145" t="n"/>
      <c r="M155" s="145" t="n"/>
      <c r="N155" s="145" t="n"/>
      <c r="O155" s="145" t="n"/>
      <c r="P155" s="145" t="n"/>
      <c r="Q155" s="145" t="n"/>
      <c r="R155" s="145" t="n"/>
      <c r="S155" s="145" t="n"/>
      <c r="T155" s="145" t="n"/>
      <c r="U155" s="145" t="n"/>
      <c r="V155" s="145" t="n"/>
      <c r="W155" s="145" t="n"/>
      <c r="X155" s="145" t="n"/>
      <c r="Y155" s="145" t="n"/>
      <c r="Z155" s="145" t="n"/>
    </row>
    <row r="156" ht="15.75" customHeight="1" s="311">
      <c r="A156" s="145" t="n"/>
      <c r="B156" s="145" t="n"/>
      <c r="C156" s="145" t="n"/>
      <c r="D156" s="145" t="n"/>
      <c r="E156" s="145" t="n"/>
      <c r="F156" s="145" t="n"/>
      <c r="G156" s="145" t="n"/>
      <c r="H156" s="145" t="n"/>
      <c r="I156" s="145" t="n"/>
      <c r="J156" s="145" t="n"/>
      <c r="K156" s="145" t="n"/>
      <c r="L156" s="145" t="n"/>
      <c r="M156" s="145" t="n"/>
      <c r="N156" s="145" t="n"/>
      <c r="O156" s="145" t="n"/>
      <c r="P156" s="145" t="n"/>
      <c r="Q156" s="145" t="n"/>
      <c r="R156" s="145" t="n"/>
      <c r="S156" s="145" t="n"/>
      <c r="T156" s="145" t="n"/>
      <c r="U156" s="145" t="n"/>
      <c r="V156" s="145" t="n"/>
      <c r="W156" s="145" t="n"/>
      <c r="X156" s="145" t="n"/>
      <c r="Y156" s="145" t="n"/>
      <c r="Z156" s="145" t="n"/>
    </row>
    <row r="157" ht="15.75" customHeight="1" s="311">
      <c r="A157" s="145" t="n"/>
      <c r="B157" s="145" t="n"/>
      <c r="C157" s="145" t="n"/>
      <c r="D157" s="145" t="n"/>
      <c r="E157" s="145" t="n"/>
      <c r="F157" s="145" t="n"/>
      <c r="G157" s="145" t="n"/>
      <c r="H157" s="145" t="n"/>
      <c r="I157" s="145" t="n"/>
      <c r="J157" s="145" t="n"/>
      <c r="K157" s="145" t="n"/>
      <c r="L157" s="145" t="n"/>
      <c r="M157" s="145" t="n"/>
      <c r="N157" s="145" t="n"/>
      <c r="O157" s="145" t="n"/>
      <c r="P157" s="145" t="n"/>
      <c r="Q157" s="145" t="n"/>
      <c r="R157" s="145" t="n"/>
      <c r="S157" s="145" t="n"/>
      <c r="T157" s="145" t="n"/>
      <c r="U157" s="145" t="n"/>
      <c r="V157" s="145" t="n"/>
      <c r="W157" s="145" t="n"/>
      <c r="X157" s="145" t="n"/>
      <c r="Y157" s="145" t="n"/>
      <c r="Z157" s="145" t="n"/>
    </row>
    <row r="158" ht="15.75" customHeight="1" s="311">
      <c r="A158" s="145" t="n"/>
      <c r="B158" s="145" t="n"/>
      <c r="C158" s="145" t="n"/>
      <c r="D158" s="145" t="n"/>
      <c r="E158" s="145" t="n"/>
      <c r="F158" s="145" t="n"/>
      <c r="G158" s="145" t="n"/>
      <c r="H158" s="145" t="n"/>
      <c r="I158" s="145" t="n"/>
      <c r="J158" s="145" t="n"/>
      <c r="K158" s="145" t="n"/>
      <c r="L158" s="145" t="n"/>
      <c r="M158" s="145" t="n"/>
      <c r="N158" s="145" t="n"/>
      <c r="O158" s="145" t="n"/>
      <c r="P158" s="145" t="n"/>
      <c r="Q158" s="145" t="n"/>
      <c r="R158" s="145" t="n"/>
      <c r="S158" s="145" t="n"/>
      <c r="T158" s="145" t="n"/>
      <c r="U158" s="145" t="n"/>
      <c r="V158" s="145" t="n"/>
      <c r="W158" s="145" t="n"/>
      <c r="X158" s="145" t="n"/>
      <c r="Y158" s="145" t="n"/>
      <c r="Z158" s="145" t="n"/>
    </row>
    <row r="159" ht="15.75" customHeight="1" s="311">
      <c r="A159" s="145" t="n"/>
      <c r="B159" s="145" t="n"/>
      <c r="C159" s="145" t="n"/>
      <c r="D159" s="145" t="n"/>
      <c r="E159" s="145" t="n"/>
      <c r="F159" s="145" t="n"/>
      <c r="G159" s="145" t="n"/>
      <c r="H159" s="145" t="n"/>
      <c r="I159" s="145" t="n"/>
      <c r="J159" s="145" t="n"/>
      <c r="K159" s="145" t="n"/>
      <c r="L159" s="145" t="n"/>
      <c r="M159" s="145" t="n"/>
      <c r="N159" s="145" t="n"/>
      <c r="O159" s="145" t="n"/>
      <c r="P159" s="145" t="n"/>
      <c r="Q159" s="145" t="n"/>
      <c r="R159" s="145" t="n"/>
      <c r="S159" s="145" t="n"/>
      <c r="T159" s="145" t="n"/>
      <c r="U159" s="145" t="n"/>
      <c r="V159" s="145" t="n"/>
      <c r="W159" s="145" t="n"/>
      <c r="X159" s="145" t="n"/>
      <c r="Y159" s="145" t="n"/>
      <c r="Z159" s="145" t="n"/>
    </row>
    <row r="160" ht="15.75" customHeight="1" s="311">
      <c r="A160" s="145" t="n"/>
      <c r="B160" s="145" t="n"/>
      <c r="C160" s="145" t="n"/>
      <c r="D160" s="145" t="n"/>
      <c r="E160" s="145" t="n"/>
      <c r="F160" s="145" t="n"/>
      <c r="G160" s="145" t="n"/>
      <c r="H160" s="145" t="n"/>
      <c r="I160" s="145" t="n"/>
      <c r="J160" s="145" t="n"/>
      <c r="K160" s="145" t="n"/>
      <c r="L160" s="145" t="n"/>
      <c r="M160" s="145" t="n"/>
      <c r="N160" s="145" t="n"/>
      <c r="O160" s="145" t="n"/>
      <c r="P160" s="145" t="n"/>
      <c r="Q160" s="145" t="n"/>
      <c r="R160" s="145" t="n"/>
      <c r="S160" s="145" t="n"/>
      <c r="T160" s="145" t="n"/>
      <c r="U160" s="145" t="n"/>
      <c r="V160" s="145" t="n"/>
      <c r="W160" s="145" t="n"/>
      <c r="X160" s="145" t="n"/>
      <c r="Y160" s="145" t="n"/>
      <c r="Z160" s="145" t="n"/>
    </row>
    <row r="161" ht="15.75" customHeight="1" s="311">
      <c r="A161" s="145" t="n"/>
      <c r="B161" s="145" t="n"/>
      <c r="C161" s="145" t="n"/>
      <c r="D161" s="145" t="n"/>
      <c r="E161" s="145" t="n"/>
      <c r="F161" s="145" t="n"/>
      <c r="G161" s="145" t="n"/>
      <c r="H161" s="145" t="n"/>
      <c r="I161" s="145" t="n"/>
      <c r="J161" s="145" t="n"/>
      <c r="K161" s="145" t="n"/>
      <c r="L161" s="145" t="n"/>
      <c r="M161" s="145" t="n"/>
      <c r="N161" s="145" t="n"/>
      <c r="O161" s="145" t="n"/>
      <c r="P161" s="145" t="n"/>
      <c r="Q161" s="145" t="n"/>
      <c r="R161" s="145" t="n"/>
      <c r="S161" s="145" t="n"/>
      <c r="T161" s="145" t="n"/>
      <c r="U161" s="145" t="n"/>
      <c r="V161" s="145" t="n"/>
      <c r="W161" s="145" t="n"/>
      <c r="X161" s="145" t="n"/>
      <c r="Y161" s="145" t="n"/>
      <c r="Z161" s="145" t="n"/>
    </row>
    <row r="162" ht="15.75" customHeight="1" s="311">
      <c r="A162" s="145" t="n"/>
      <c r="B162" s="145" t="n"/>
      <c r="C162" s="145" t="n"/>
      <c r="D162" s="145" t="n"/>
      <c r="E162" s="145" t="n"/>
      <c r="F162" s="145" t="n"/>
      <c r="G162" s="145" t="n"/>
      <c r="H162" s="145" t="n"/>
      <c r="I162" s="145" t="n"/>
      <c r="J162" s="145" t="n"/>
      <c r="K162" s="145" t="n"/>
      <c r="L162" s="145" t="n"/>
      <c r="M162" s="145" t="n"/>
      <c r="N162" s="145" t="n"/>
      <c r="O162" s="145" t="n"/>
      <c r="P162" s="145" t="n"/>
      <c r="Q162" s="145" t="n"/>
      <c r="R162" s="145" t="n"/>
      <c r="S162" s="145" t="n"/>
      <c r="T162" s="145" t="n"/>
      <c r="U162" s="145" t="n"/>
      <c r="V162" s="145" t="n"/>
      <c r="W162" s="145" t="n"/>
      <c r="X162" s="145" t="n"/>
      <c r="Y162" s="145" t="n"/>
      <c r="Z162" s="145" t="n"/>
    </row>
    <row r="163" ht="15.75" customHeight="1" s="311">
      <c r="A163" s="145" t="n"/>
      <c r="B163" s="145" t="n"/>
      <c r="C163" s="145" t="n"/>
      <c r="D163" s="145" t="n"/>
      <c r="E163" s="145" t="n"/>
      <c r="F163" s="145" t="n"/>
      <c r="G163" s="145" t="n"/>
      <c r="H163" s="145" t="n"/>
      <c r="I163" s="145" t="n"/>
      <c r="J163" s="145" t="n"/>
      <c r="K163" s="145" t="n"/>
      <c r="L163" s="145" t="n"/>
      <c r="M163" s="145" t="n"/>
      <c r="N163" s="145" t="n"/>
      <c r="O163" s="145" t="n"/>
      <c r="P163" s="145" t="n"/>
      <c r="Q163" s="145" t="n"/>
      <c r="R163" s="145" t="n"/>
      <c r="S163" s="145" t="n"/>
      <c r="T163" s="145" t="n"/>
      <c r="U163" s="145" t="n"/>
      <c r="V163" s="145" t="n"/>
      <c r="W163" s="145" t="n"/>
      <c r="X163" s="145" t="n"/>
      <c r="Y163" s="145" t="n"/>
      <c r="Z163" s="145" t="n"/>
    </row>
    <row r="164" ht="15.75" customHeight="1" s="311">
      <c r="A164" s="145" t="n"/>
      <c r="B164" s="145" t="n"/>
      <c r="C164" s="145" t="n"/>
      <c r="D164" s="145" t="n"/>
      <c r="E164" s="145" t="n"/>
      <c r="F164" s="145" t="n"/>
      <c r="G164" s="145" t="n"/>
      <c r="H164" s="145" t="n"/>
      <c r="I164" s="145" t="n"/>
      <c r="J164" s="145" t="n"/>
      <c r="K164" s="145" t="n"/>
      <c r="L164" s="145" t="n"/>
      <c r="M164" s="145" t="n"/>
      <c r="N164" s="145" t="n"/>
      <c r="O164" s="145" t="n"/>
      <c r="P164" s="145" t="n"/>
      <c r="Q164" s="145" t="n"/>
      <c r="R164" s="145" t="n"/>
      <c r="S164" s="145" t="n"/>
      <c r="T164" s="145" t="n"/>
      <c r="U164" s="145" t="n"/>
      <c r="V164" s="145" t="n"/>
      <c r="W164" s="145" t="n"/>
      <c r="X164" s="145" t="n"/>
      <c r="Y164" s="145" t="n"/>
      <c r="Z164" s="145" t="n"/>
    </row>
    <row r="165" ht="15.75" customHeight="1" s="311">
      <c r="A165" s="145" t="n"/>
      <c r="B165" s="145" t="n"/>
      <c r="C165" s="145" t="n"/>
      <c r="D165" s="145" t="n"/>
      <c r="E165" s="145" t="n"/>
      <c r="F165" s="145" t="n"/>
      <c r="G165" s="145" t="n"/>
      <c r="H165" s="145" t="n"/>
      <c r="I165" s="145" t="n"/>
      <c r="J165" s="145" t="n"/>
      <c r="K165" s="145" t="n"/>
      <c r="L165" s="145" t="n"/>
      <c r="M165" s="145" t="n"/>
      <c r="N165" s="145" t="n"/>
      <c r="O165" s="145" t="n"/>
      <c r="P165" s="145" t="n"/>
      <c r="Q165" s="145" t="n"/>
      <c r="R165" s="145" t="n"/>
      <c r="S165" s="145" t="n"/>
      <c r="T165" s="145" t="n"/>
      <c r="U165" s="145" t="n"/>
      <c r="V165" s="145" t="n"/>
      <c r="W165" s="145" t="n"/>
      <c r="X165" s="145" t="n"/>
      <c r="Y165" s="145" t="n"/>
      <c r="Z165" s="145" t="n"/>
    </row>
    <row r="166" ht="15.75" customHeight="1" s="311">
      <c r="A166" s="145" t="n"/>
      <c r="B166" s="145" t="n"/>
      <c r="C166" s="145" t="n"/>
      <c r="D166" s="145" t="n"/>
      <c r="E166" s="145" t="n"/>
      <c r="F166" s="145" t="n"/>
      <c r="G166" s="145" t="n"/>
      <c r="H166" s="145" t="n"/>
      <c r="I166" s="145" t="n"/>
      <c r="J166" s="145" t="n"/>
      <c r="K166" s="145" t="n"/>
      <c r="L166" s="145" t="n"/>
      <c r="M166" s="145" t="n"/>
      <c r="N166" s="145" t="n"/>
      <c r="O166" s="145" t="n"/>
      <c r="P166" s="145" t="n"/>
      <c r="Q166" s="145" t="n"/>
      <c r="R166" s="145" t="n"/>
      <c r="S166" s="145" t="n"/>
      <c r="T166" s="145" t="n"/>
      <c r="U166" s="145" t="n"/>
      <c r="V166" s="145" t="n"/>
      <c r="W166" s="145" t="n"/>
      <c r="X166" s="145" t="n"/>
      <c r="Y166" s="145" t="n"/>
      <c r="Z166" s="145" t="n"/>
    </row>
    <row r="167" ht="15.75" customHeight="1" s="311">
      <c r="A167" s="145" t="n"/>
      <c r="B167" s="145" t="n"/>
      <c r="C167" s="145" t="n"/>
      <c r="D167" s="145" t="n"/>
      <c r="E167" s="145" t="n"/>
      <c r="F167" s="145" t="n"/>
      <c r="G167" s="145" t="n"/>
      <c r="H167" s="145" t="n"/>
      <c r="I167" s="145" t="n"/>
      <c r="J167" s="145" t="n"/>
      <c r="K167" s="145" t="n"/>
      <c r="L167" s="145" t="n"/>
      <c r="M167" s="145" t="n"/>
      <c r="N167" s="145" t="n"/>
      <c r="O167" s="145" t="n"/>
      <c r="P167" s="145" t="n"/>
      <c r="Q167" s="145" t="n"/>
      <c r="R167" s="145" t="n"/>
      <c r="S167" s="145" t="n"/>
      <c r="T167" s="145" t="n"/>
      <c r="U167" s="145" t="n"/>
      <c r="V167" s="145" t="n"/>
      <c r="W167" s="145" t="n"/>
      <c r="X167" s="145" t="n"/>
      <c r="Y167" s="145" t="n"/>
      <c r="Z167" s="145" t="n"/>
    </row>
    <row r="168" ht="15.75" customHeight="1" s="311">
      <c r="A168" s="145" t="n"/>
      <c r="B168" s="145" t="n"/>
      <c r="C168" s="145" t="n"/>
      <c r="D168" s="145" t="n"/>
      <c r="E168" s="145" t="n"/>
      <c r="F168" s="145" t="n"/>
      <c r="G168" s="145" t="n"/>
      <c r="H168" s="145" t="n"/>
      <c r="I168" s="145" t="n"/>
      <c r="J168" s="145" t="n"/>
      <c r="K168" s="145" t="n"/>
      <c r="L168" s="145" t="n"/>
      <c r="M168" s="145" t="n"/>
      <c r="N168" s="145" t="n"/>
      <c r="O168" s="145" t="n"/>
      <c r="P168" s="145" t="n"/>
      <c r="Q168" s="145" t="n"/>
      <c r="R168" s="145" t="n"/>
      <c r="S168" s="145" t="n"/>
      <c r="T168" s="145" t="n"/>
      <c r="U168" s="145" t="n"/>
      <c r="V168" s="145" t="n"/>
      <c r="W168" s="145" t="n"/>
      <c r="X168" s="145" t="n"/>
      <c r="Y168" s="145" t="n"/>
      <c r="Z168" s="145" t="n"/>
    </row>
    <row r="169" ht="15.75" customHeight="1" s="311">
      <c r="A169" s="145" t="n"/>
      <c r="B169" s="145" t="n"/>
      <c r="C169" s="145" t="n"/>
      <c r="D169" s="145" t="n"/>
      <c r="E169" s="145" t="n"/>
      <c r="F169" s="145" t="n"/>
      <c r="G169" s="145" t="n"/>
      <c r="H169" s="145" t="n"/>
      <c r="I169" s="145" t="n"/>
      <c r="J169" s="145" t="n"/>
      <c r="K169" s="145" t="n"/>
      <c r="L169" s="145" t="n"/>
      <c r="M169" s="145" t="n"/>
      <c r="N169" s="145" t="n"/>
      <c r="O169" s="145" t="n"/>
      <c r="P169" s="145" t="n"/>
      <c r="Q169" s="145" t="n"/>
      <c r="R169" s="145" t="n"/>
      <c r="S169" s="145" t="n"/>
      <c r="T169" s="145" t="n"/>
      <c r="U169" s="145" t="n"/>
      <c r="V169" s="145" t="n"/>
      <c r="W169" s="145" t="n"/>
      <c r="X169" s="145" t="n"/>
      <c r="Y169" s="145" t="n"/>
      <c r="Z169" s="145" t="n"/>
    </row>
    <row r="170" ht="15.75" customHeight="1" s="311">
      <c r="A170" s="145" t="n"/>
      <c r="B170" s="145" t="n"/>
      <c r="C170" s="145" t="n"/>
      <c r="D170" s="145" t="n"/>
      <c r="E170" s="145" t="n"/>
      <c r="F170" s="145" t="n"/>
      <c r="G170" s="145" t="n"/>
      <c r="H170" s="145" t="n"/>
      <c r="I170" s="145" t="n"/>
      <c r="J170" s="145" t="n"/>
      <c r="K170" s="145" t="n"/>
      <c r="L170" s="145" t="n"/>
      <c r="M170" s="145" t="n"/>
      <c r="N170" s="145" t="n"/>
      <c r="O170" s="145" t="n"/>
      <c r="P170" s="145" t="n"/>
      <c r="Q170" s="145" t="n"/>
      <c r="R170" s="145" t="n"/>
      <c r="S170" s="145" t="n"/>
      <c r="T170" s="145" t="n"/>
      <c r="U170" s="145" t="n"/>
      <c r="V170" s="145" t="n"/>
      <c r="W170" s="145" t="n"/>
      <c r="X170" s="145" t="n"/>
      <c r="Y170" s="145" t="n"/>
      <c r="Z170" s="145" t="n"/>
    </row>
    <row r="171" ht="15.75" customHeight="1" s="311">
      <c r="A171" s="145" t="n"/>
      <c r="B171" s="145" t="n"/>
      <c r="C171" s="145" t="n"/>
      <c r="D171" s="145" t="n"/>
      <c r="E171" s="145" t="n"/>
      <c r="F171" s="145" t="n"/>
      <c r="G171" s="145" t="n"/>
      <c r="H171" s="145" t="n"/>
      <c r="I171" s="145" t="n"/>
      <c r="J171" s="145" t="n"/>
      <c r="K171" s="145" t="n"/>
      <c r="L171" s="145" t="n"/>
      <c r="M171" s="145" t="n"/>
      <c r="N171" s="145" t="n"/>
      <c r="O171" s="145" t="n"/>
      <c r="P171" s="145" t="n"/>
      <c r="Q171" s="145" t="n"/>
      <c r="R171" s="145" t="n"/>
      <c r="S171" s="145" t="n"/>
      <c r="T171" s="145" t="n"/>
      <c r="U171" s="145" t="n"/>
      <c r="V171" s="145" t="n"/>
      <c r="W171" s="145" t="n"/>
      <c r="X171" s="145" t="n"/>
      <c r="Y171" s="145" t="n"/>
      <c r="Z171" s="145" t="n"/>
    </row>
    <row r="172" ht="15.75" customHeight="1" s="311">
      <c r="A172" s="145" t="n"/>
      <c r="B172" s="145" t="n"/>
      <c r="C172" s="145" t="n"/>
      <c r="D172" s="145" t="n"/>
      <c r="E172" s="145" t="n"/>
      <c r="F172" s="145" t="n"/>
      <c r="G172" s="145" t="n"/>
      <c r="H172" s="145" t="n"/>
      <c r="I172" s="145" t="n"/>
      <c r="J172" s="145" t="n"/>
      <c r="K172" s="145" t="n"/>
      <c r="L172" s="145" t="n"/>
      <c r="M172" s="145" t="n"/>
      <c r="N172" s="145" t="n"/>
      <c r="O172" s="145" t="n"/>
      <c r="P172" s="145" t="n"/>
      <c r="Q172" s="145" t="n"/>
      <c r="R172" s="145" t="n"/>
      <c r="S172" s="145" t="n"/>
      <c r="T172" s="145" t="n"/>
      <c r="U172" s="145" t="n"/>
      <c r="V172" s="145" t="n"/>
      <c r="W172" s="145" t="n"/>
      <c r="X172" s="145" t="n"/>
      <c r="Y172" s="145" t="n"/>
      <c r="Z172" s="145" t="n"/>
    </row>
    <row r="173" ht="15.75" customHeight="1" s="311">
      <c r="A173" s="145" t="n"/>
      <c r="B173" s="145" t="n"/>
      <c r="C173" s="145" t="n"/>
      <c r="D173" s="145" t="n"/>
      <c r="E173" s="145" t="n"/>
      <c r="F173" s="145" t="n"/>
      <c r="G173" s="145" t="n"/>
      <c r="H173" s="145" t="n"/>
      <c r="I173" s="145" t="n"/>
      <c r="J173" s="145" t="n"/>
      <c r="K173" s="145" t="n"/>
      <c r="L173" s="145" t="n"/>
      <c r="M173" s="145" t="n"/>
      <c r="N173" s="145" t="n"/>
      <c r="O173" s="145" t="n"/>
      <c r="P173" s="145" t="n"/>
      <c r="Q173" s="145" t="n"/>
      <c r="R173" s="145" t="n"/>
      <c r="S173" s="145" t="n"/>
      <c r="T173" s="145" t="n"/>
      <c r="U173" s="145" t="n"/>
      <c r="V173" s="145" t="n"/>
      <c r="W173" s="145" t="n"/>
      <c r="X173" s="145" t="n"/>
      <c r="Y173" s="145" t="n"/>
      <c r="Z173" s="145" t="n"/>
    </row>
    <row r="174" ht="15.75" customHeight="1" s="311">
      <c r="A174" s="145" t="n"/>
      <c r="B174" s="145" t="n"/>
      <c r="C174" s="145" t="n"/>
      <c r="D174" s="145" t="n"/>
      <c r="E174" s="145" t="n"/>
      <c r="F174" s="145" t="n"/>
      <c r="G174" s="145" t="n"/>
      <c r="H174" s="145" t="n"/>
      <c r="I174" s="145" t="n"/>
      <c r="J174" s="145" t="n"/>
      <c r="K174" s="145" t="n"/>
      <c r="L174" s="145" t="n"/>
      <c r="M174" s="145" t="n"/>
      <c r="N174" s="145" t="n"/>
      <c r="O174" s="145" t="n"/>
      <c r="P174" s="145" t="n"/>
      <c r="Q174" s="145" t="n"/>
      <c r="R174" s="145" t="n"/>
      <c r="S174" s="145" t="n"/>
      <c r="T174" s="145" t="n"/>
      <c r="U174" s="145" t="n"/>
      <c r="V174" s="145" t="n"/>
      <c r="W174" s="145" t="n"/>
      <c r="X174" s="145" t="n"/>
      <c r="Y174" s="145" t="n"/>
      <c r="Z174" s="145" t="n"/>
    </row>
    <row r="175" ht="15.75" customHeight="1" s="311">
      <c r="A175" s="145" t="n"/>
      <c r="B175" s="145" t="n"/>
      <c r="C175" s="145" t="n"/>
      <c r="D175" s="145" t="n"/>
      <c r="E175" s="145" t="n"/>
      <c r="F175" s="145" t="n"/>
      <c r="G175" s="145" t="n"/>
      <c r="H175" s="145" t="n"/>
      <c r="I175" s="145" t="n"/>
      <c r="J175" s="145" t="n"/>
      <c r="K175" s="145" t="n"/>
      <c r="L175" s="145" t="n"/>
      <c r="M175" s="145" t="n"/>
      <c r="N175" s="145" t="n"/>
      <c r="O175" s="145" t="n"/>
      <c r="P175" s="145" t="n"/>
      <c r="Q175" s="145" t="n"/>
      <c r="R175" s="145" t="n"/>
      <c r="S175" s="145" t="n"/>
      <c r="T175" s="145" t="n"/>
      <c r="U175" s="145" t="n"/>
      <c r="V175" s="145" t="n"/>
      <c r="W175" s="145" t="n"/>
      <c r="X175" s="145" t="n"/>
      <c r="Y175" s="145" t="n"/>
      <c r="Z175" s="145" t="n"/>
    </row>
    <row r="176" ht="15.75" customHeight="1" s="311">
      <c r="A176" s="145" t="n"/>
      <c r="B176" s="145" t="n"/>
      <c r="C176" s="145" t="n"/>
      <c r="D176" s="145" t="n"/>
      <c r="E176" s="145" t="n"/>
      <c r="F176" s="145" t="n"/>
      <c r="G176" s="145" t="n"/>
      <c r="H176" s="145" t="n"/>
      <c r="I176" s="145" t="n"/>
      <c r="J176" s="145" t="n"/>
      <c r="K176" s="145" t="n"/>
      <c r="L176" s="145" t="n"/>
      <c r="M176" s="145" t="n"/>
      <c r="N176" s="145" t="n"/>
      <c r="O176" s="145" t="n"/>
      <c r="P176" s="145" t="n"/>
      <c r="Q176" s="145" t="n"/>
      <c r="R176" s="145" t="n"/>
      <c r="S176" s="145" t="n"/>
      <c r="T176" s="145" t="n"/>
      <c r="U176" s="145" t="n"/>
      <c r="V176" s="145" t="n"/>
      <c r="W176" s="145" t="n"/>
      <c r="X176" s="145" t="n"/>
      <c r="Y176" s="145" t="n"/>
      <c r="Z176" s="145" t="n"/>
    </row>
    <row r="177" ht="15.75" customHeight="1" s="311">
      <c r="A177" s="145" t="n"/>
      <c r="B177" s="145" t="n"/>
      <c r="C177" s="145" t="n"/>
      <c r="D177" s="145" t="n"/>
      <c r="E177" s="145" t="n"/>
      <c r="F177" s="145" t="n"/>
      <c r="G177" s="145" t="n"/>
      <c r="H177" s="145" t="n"/>
      <c r="I177" s="145" t="n"/>
      <c r="J177" s="145" t="n"/>
      <c r="K177" s="145" t="n"/>
      <c r="L177" s="145" t="n"/>
      <c r="M177" s="145" t="n"/>
      <c r="N177" s="145" t="n"/>
      <c r="O177" s="145" t="n"/>
      <c r="P177" s="145" t="n"/>
      <c r="Q177" s="145" t="n"/>
      <c r="R177" s="145" t="n"/>
      <c r="S177" s="145" t="n"/>
      <c r="T177" s="145" t="n"/>
      <c r="U177" s="145" t="n"/>
      <c r="V177" s="145" t="n"/>
      <c r="W177" s="145" t="n"/>
      <c r="X177" s="145" t="n"/>
      <c r="Y177" s="145" t="n"/>
      <c r="Z177" s="145" t="n"/>
    </row>
    <row r="178" ht="15.75" customHeight="1" s="311">
      <c r="A178" s="145" t="n"/>
      <c r="B178" s="145" t="n"/>
      <c r="C178" s="145" t="n"/>
      <c r="D178" s="145" t="n"/>
      <c r="E178" s="145" t="n"/>
      <c r="F178" s="145" t="n"/>
      <c r="G178" s="145" t="n"/>
      <c r="H178" s="145" t="n"/>
      <c r="I178" s="145" t="n"/>
      <c r="J178" s="145" t="n"/>
      <c r="K178" s="145" t="n"/>
      <c r="L178" s="145" t="n"/>
      <c r="M178" s="145" t="n"/>
      <c r="N178" s="145" t="n"/>
      <c r="O178" s="145" t="n"/>
      <c r="P178" s="145" t="n"/>
      <c r="Q178" s="145" t="n"/>
      <c r="R178" s="145" t="n"/>
      <c r="S178" s="145" t="n"/>
      <c r="T178" s="145" t="n"/>
      <c r="U178" s="145" t="n"/>
      <c r="V178" s="145" t="n"/>
      <c r="W178" s="145" t="n"/>
      <c r="X178" s="145" t="n"/>
      <c r="Y178" s="145" t="n"/>
      <c r="Z178" s="145" t="n"/>
    </row>
    <row r="179" ht="15.75" customHeight="1" s="311">
      <c r="A179" s="145" t="n"/>
      <c r="B179" s="145" t="n"/>
      <c r="C179" s="145" t="n"/>
      <c r="D179" s="145" t="n"/>
      <c r="E179" s="145" t="n"/>
      <c r="F179" s="145" t="n"/>
      <c r="G179" s="145" t="n"/>
      <c r="H179" s="145" t="n"/>
      <c r="I179" s="145" t="n"/>
      <c r="J179" s="145" t="n"/>
      <c r="K179" s="145" t="n"/>
      <c r="L179" s="145" t="n"/>
      <c r="M179" s="145" t="n"/>
      <c r="N179" s="145" t="n"/>
      <c r="O179" s="145" t="n"/>
      <c r="P179" s="145" t="n"/>
      <c r="Q179" s="145" t="n"/>
      <c r="R179" s="145" t="n"/>
      <c r="S179" s="145" t="n"/>
      <c r="T179" s="145" t="n"/>
      <c r="U179" s="145" t="n"/>
      <c r="V179" s="145" t="n"/>
      <c r="W179" s="145" t="n"/>
      <c r="X179" s="145" t="n"/>
      <c r="Y179" s="145" t="n"/>
      <c r="Z179" s="145" t="n"/>
    </row>
    <row r="180" ht="15.75" customHeight="1" s="311">
      <c r="A180" s="145" t="n"/>
      <c r="B180" s="145" t="n"/>
      <c r="C180" s="145" t="n"/>
      <c r="D180" s="145" t="n"/>
      <c r="E180" s="145" t="n"/>
      <c r="F180" s="145" t="n"/>
      <c r="G180" s="145" t="n"/>
      <c r="H180" s="145" t="n"/>
      <c r="I180" s="145" t="n"/>
      <c r="J180" s="145" t="n"/>
      <c r="K180" s="145" t="n"/>
      <c r="L180" s="145" t="n"/>
      <c r="M180" s="145" t="n"/>
      <c r="N180" s="145" t="n"/>
      <c r="O180" s="145" t="n"/>
      <c r="P180" s="145" t="n"/>
      <c r="Q180" s="145" t="n"/>
      <c r="R180" s="145" t="n"/>
      <c r="S180" s="145" t="n"/>
      <c r="T180" s="145" t="n"/>
      <c r="U180" s="145" t="n"/>
      <c r="V180" s="145" t="n"/>
      <c r="W180" s="145" t="n"/>
      <c r="X180" s="145" t="n"/>
      <c r="Y180" s="145" t="n"/>
      <c r="Z180" s="145" t="n"/>
    </row>
    <row r="181" ht="15.75" customHeight="1" s="311">
      <c r="A181" s="145" t="n"/>
      <c r="B181" s="145" t="n"/>
      <c r="C181" s="145" t="n"/>
      <c r="D181" s="145" t="n"/>
      <c r="E181" s="145" t="n"/>
      <c r="F181" s="145" t="n"/>
      <c r="G181" s="145" t="n"/>
      <c r="H181" s="145" t="n"/>
      <c r="I181" s="145" t="n"/>
      <c r="J181" s="145" t="n"/>
      <c r="K181" s="145" t="n"/>
      <c r="L181" s="145" t="n"/>
      <c r="M181" s="145" t="n"/>
      <c r="N181" s="145" t="n"/>
      <c r="O181" s="145" t="n"/>
      <c r="P181" s="145" t="n"/>
      <c r="Q181" s="145" t="n"/>
      <c r="R181" s="145" t="n"/>
      <c r="S181" s="145" t="n"/>
      <c r="T181" s="145" t="n"/>
      <c r="U181" s="145" t="n"/>
      <c r="V181" s="145" t="n"/>
      <c r="W181" s="145" t="n"/>
      <c r="X181" s="145" t="n"/>
      <c r="Y181" s="145" t="n"/>
      <c r="Z181" s="145" t="n"/>
    </row>
    <row r="182" ht="15.75" customHeight="1" s="311">
      <c r="A182" s="145" t="n"/>
      <c r="B182" s="145" t="n"/>
      <c r="C182" s="145" t="n"/>
      <c r="D182" s="145" t="n"/>
      <c r="E182" s="145" t="n"/>
      <c r="F182" s="145" t="n"/>
      <c r="G182" s="145" t="n"/>
      <c r="H182" s="145" t="n"/>
      <c r="I182" s="145" t="n"/>
      <c r="J182" s="145" t="n"/>
      <c r="K182" s="145" t="n"/>
      <c r="L182" s="145" t="n"/>
      <c r="M182" s="145" t="n"/>
      <c r="N182" s="145" t="n"/>
      <c r="O182" s="145" t="n"/>
      <c r="P182" s="145" t="n"/>
      <c r="Q182" s="145" t="n"/>
      <c r="R182" s="145" t="n"/>
      <c r="S182" s="145" t="n"/>
      <c r="T182" s="145" t="n"/>
      <c r="U182" s="145" t="n"/>
      <c r="V182" s="145" t="n"/>
      <c r="W182" s="145" t="n"/>
      <c r="X182" s="145" t="n"/>
      <c r="Y182" s="145" t="n"/>
      <c r="Z182" s="145" t="n"/>
    </row>
    <row r="183" ht="15.75" customHeight="1" s="311">
      <c r="A183" s="145" t="n"/>
      <c r="B183" s="145" t="n"/>
      <c r="C183" s="145" t="n"/>
      <c r="D183" s="145" t="n"/>
      <c r="E183" s="145" t="n"/>
      <c r="F183" s="145" t="n"/>
      <c r="G183" s="145" t="n"/>
      <c r="H183" s="145" t="n"/>
      <c r="I183" s="145" t="n"/>
      <c r="J183" s="145" t="n"/>
      <c r="K183" s="145" t="n"/>
      <c r="L183" s="145" t="n"/>
      <c r="M183" s="145" t="n"/>
      <c r="N183" s="145" t="n"/>
      <c r="O183" s="145" t="n"/>
      <c r="P183" s="145" t="n"/>
      <c r="Q183" s="145" t="n"/>
      <c r="R183" s="145" t="n"/>
      <c r="S183" s="145" t="n"/>
      <c r="T183" s="145" t="n"/>
      <c r="U183" s="145" t="n"/>
      <c r="V183" s="145" t="n"/>
      <c r="W183" s="145" t="n"/>
      <c r="X183" s="145" t="n"/>
      <c r="Y183" s="145" t="n"/>
      <c r="Z183" s="145" t="n"/>
    </row>
    <row r="184" ht="15.75" customHeight="1" s="311">
      <c r="A184" s="145" t="n"/>
      <c r="B184" s="145" t="n"/>
      <c r="C184" s="145" t="n"/>
      <c r="D184" s="145" t="n"/>
      <c r="E184" s="145" t="n"/>
      <c r="F184" s="145" t="n"/>
      <c r="G184" s="145" t="n"/>
      <c r="H184" s="145" t="n"/>
      <c r="I184" s="145" t="n"/>
      <c r="J184" s="145" t="n"/>
      <c r="K184" s="145" t="n"/>
      <c r="L184" s="145" t="n"/>
      <c r="M184" s="145" t="n"/>
      <c r="N184" s="145" t="n"/>
      <c r="O184" s="145" t="n"/>
      <c r="P184" s="145" t="n"/>
      <c r="Q184" s="145" t="n"/>
      <c r="R184" s="145" t="n"/>
      <c r="S184" s="145" t="n"/>
      <c r="T184" s="145" t="n"/>
      <c r="U184" s="145" t="n"/>
      <c r="V184" s="145" t="n"/>
      <c r="W184" s="145" t="n"/>
      <c r="X184" s="145" t="n"/>
      <c r="Y184" s="145" t="n"/>
      <c r="Z184" s="145" t="n"/>
    </row>
    <row r="185" ht="15.75" customHeight="1" s="311">
      <c r="A185" s="145" t="n"/>
      <c r="B185" s="145" t="n"/>
      <c r="C185" s="145" t="n"/>
      <c r="D185" s="145" t="n"/>
      <c r="E185" s="145" t="n"/>
      <c r="F185" s="145" t="n"/>
      <c r="G185" s="145" t="n"/>
      <c r="H185" s="145" t="n"/>
      <c r="I185" s="145" t="n"/>
      <c r="J185" s="145" t="n"/>
      <c r="K185" s="145" t="n"/>
      <c r="L185" s="145" t="n"/>
      <c r="M185" s="145" t="n"/>
      <c r="N185" s="145" t="n"/>
      <c r="O185" s="145" t="n"/>
      <c r="P185" s="145" t="n"/>
      <c r="Q185" s="145" t="n"/>
      <c r="R185" s="145" t="n"/>
      <c r="S185" s="145" t="n"/>
      <c r="T185" s="145" t="n"/>
      <c r="U185" s="145" t="n"/>
      <c r="V185" s="145" t="n"/>
      <c r="W185" s="145" t="n"/>
      <c r="X185" s="145" t="n"/>
      <c r="Y185" s="145" t="n"/>
      <c r="Z185" s="145" t="n"/>
    </row>
    <row r="186" ht="15.75" customHeight="1" s="311">
      <c r="A186" s="145" t="n"/>
      <c r="B186" s="145" t="n"/>
      <c r="C186" s="145" t="n"/>
      <c r="D186" s="145" t="n"/>
      <c r="E186" s="145" t="n"/>
      <c r="F186" s="145" t="n"/>
      <c r="G186" s="145" t="n"/>
      <c r="H186" s="145" t="n"/>
      <c r="I186" s="145" t="n"/>
      <c r="J186" s="145" t="n"/>
      <c r="K186" s="145" t="n"/>
      <c r="L186" s="145" t="n"/>
      <c r="M186" s="145" t="n"/>
      <c r="N186" s="145" t="n"/>
      <c r="O186" s="145" t="n"/>
      <c r="P186" s="145" t="n"/>
      <c r="Q186" s="145" t="n"/>
      <c r="R186" s="145" t="n"/>
      <c r="S186" s="145" t="n"/>
      <c r="T186" s="145" t="n"/>
      <c r="U186" s="145" t="n"/>
      <c r="V186" s="145" t="n"/>
      <c r="W186" s="145" t="n"/>
      <c r="X186" s="145" t="n"/>
      <c r="Y186" s="145" t="n"/>
      <c r="Z186" s="145" t="n"/>
    </row>
    <row r="187" ht="15.75" customHeight="1" s="311">
      <c r="A187" s="145" t="n"/>
      <c r="B187" s="145" t="n"/>
      <c r="C187" s="145" t="n"/>
      <c r="D187" s="145" t="n"/>
      <c r="E187" s="145" t="n"/>
      <c r="F187" s="145" t="n"/>
      <c r="G187" s="145" t="n"/>
      <c r="H187" s="145" t="n"/>
      <c r="I187" s="145" t="n"/>
      <c r="J187" s="145" t="n"/>
      <c r="K187" s="145" t="n"/>
      <c r="L187" s="145" t="n"/>
      <c r="M187" s="145" t="n"/>
      <c r="N187" s="145" t="n"/>
      <c r="O187" s="145" t="n"/>
      <c r="P187" s="145" t="n"/>
      <c r="Q187" s="145" t="n"/>
      <c r="R187" s="145" t="n"/>
      <c r="S187" s="145" t="n"/>
      <c r="T187" s="145" t="n"/>
      <c r="U187" s="145" t="n"/>
      <c r="V187" s="145" t="n"/>
      <c r="W187" s="145" t="n"/>
      <c r="X187" s="145" t="n"/>
      <c r="Y187" s="145" t="n"/>
      <c r="Z187" s="145" t="n"/>
    </row>
    <row r="188" ht="15.75" customHeight="1" s="311">
      <c r="A188" s="145" t="n"/>
      <c r="B188" s="145" t="n"/>
      <c r="C188" s="145" t="n"/>
      <c r="D188" s="145" t="n"/>
      <c r="E188" s="145" t="n"/>
      <c r="F188" s="145" t="n"/>
      <c r="G188" s="145" t="n"/>
      <c r="H188" s="145" t="n"/>
      <c r="I188" s="145" t="n"/>
      <c r="J188" s="145" t="n"/>
      <c r="K188" s="145" t="n"/>
      <c r="L188" s="145" t="n"/>
      <c r="M188" s="145" t="n"/>
      <c r="N188" s="145" t="n"/>
      <c r="O188" s="145" t="n"/>
      <c r="P188" s="145" t="n"/>
      <c r="Q188" s="145" t="n"/>
      <c r="R188" s="145" t="n"/>
      <c r="S188" s="145" t="n"/>
      <c r="T188" s="145" t="n"/>
      <c r="U188" s="145" t="n"/>
      <c r="V188" s="145" t="n"/>
      <c r="W188" s="145" t="n"/>
      <c r="X188" s="145" t="n"/>
      <c r="Y188" s="145" t="n"/>
      <c r="Z188" s="145" t="n"/>
    </row>
    <row r="189" ht="15.75" customHeight="1" s="311">
      <c r="A189" s="145" t="n"/>
      <c r="B189" s="145" t="n"/>
      <c r="C189" s="145" t="n"/>
      <c r="D189" s="145" t="n"/>
      <c r="E189" s="145" t="n"/>
      <c r="F189" s="145" t="n"/>
      <c r="G189" s="145" t="n"/>
      <c r="H189" s="145" t="n"/>
      <c r="I189" s="145" t="n"/>
      <c r="J189" s="145" t="n"/>
      <c r="K189" s="145" t="n"/>
      <c r="L189" s="145" t="n"/>
      <c r="M189" s="145" t="n"/>
      <c r="N189" s="145" t="n"/>
      <c r="O189" s="145" t="n"/>
      <c r="P189" s="145" t="n"/>
      <c r="Q189" s="145" t="n"/>
      <c r="R189" s="145" t="n"/>
      <c r="S189" s="145" t="n"/>
      <c r="T189" s="145" t="n"/>
      <c r="U189" s="145" t="n"/>
      <c r="V189" s="145" t="n"/>
      <c r="W189" s="145" t="n"/>
      <c r="X189" s="145" t="n"/>
      <c r="Y189" s="145" t="n"/>
      <c r="Z189" s="145" t="n"/>
    </row>
    <row r="190" ht="15.75" customHeight="1" s="311">
      <c r="A190" s="145" t="n"/>
      <c r="B190" s="145" t="n"/>
      <c r="C190" s="145" t="n"/>
      <c r="D190" s="145" t="n"/>
      <c r="E190" s="145" t="n"/>
      <c r="F190" s="145" t="n"/>
      <c r="G190" s="145" t="n"/>
      <c r="H190" s="145" t="n"/>
      <c r="I190" s="145" t="n"/>
      <c r="J190" s="145" t="n"/>
      <c r="K190" s="145" t="n"/>
      <c r="L190" s="145" t="n"/>
      <c r="M190" s="145" t="n"/>
      <c r="N190" s="145" t="n"/>
      <c r="O190" s="145" t="n"/>
      <c r="P190" s="145" t="n"/>
      <c r="Q190" s="145" t="n"/>
      <c r="R190" s="145" t="n"/>
      <c r="S190" s="145" t="n"/>
      <c r="T190" s="145" t="n"/>
      <c r="U190" s="145" t="n"/>
      <c r="V190" s="145" t="n"/>
      <c r="W190" s="145" t="n"/>
      <c r="X190" s="145" t="n"/>
      <c r="Y190" s="145" t="n"/>
      <c r="Z190" s="145" t="n"/>
    </row>
    <row r="191" ht="15.75" customHeight="1" s="311">
      <c r="A191" s="145" t="n"/>
      <c r="B191" s="145" t="n"/>
      <c r="C191" s="145" t="n"/>
      <c r="D191" s="145" t="n"/>
      <c r="E191" s="145" t="n"/>
      <c r="F191" s="145" t="n"/>
      <c r="G191" s="145" t="n"/>
      <c r="H191" s="145" t="n"/>
      <c r="I191" s="145" t="n"/>
      <c r="J191" s="145" t="n"/>
      <c r="K191" s="145" t="n"/>
      <c r="L191" s="145" t="n"/>
      <c r="M191" s="145" t="n"/>
      <c r="N191" s="145" t="n"/>
      <c r="O191" s="145" t="n"/>
      <c r="P191" s="145" t="n"/>
      <c r="Q191" s="145" t="n"/>
      <c r="R191" s="145" t="n"/>
      <c r="S191" s="145" t="n"/>
      <c r="T191" s="145" t="n"/>
      <c r="U191" s="145" t="n"/>
      <c r="V191" s="145" t="n"/>
      <c r="W191" s="145" t="n"/>
      <c r="X191" s="145" t="n"/>
      <c r="Y191" s="145" t="n"/>
      <c r="Z191" s="145" t="n"/>
    </row>
    <row r="192" ht="15.75" customHeight="1" s="311">
      <c r="A192" s="145" t="n"/>
      <c r="B192" s="145" t="n"/>
      <c r="C192" s="145" t="n"/>
      <c r="D192" s="145" t="n"/>
      <c r="E192" s="145" t="n"/>
      <c r="F192" s="145" t="n"/>
      <c r="G192" s="145" t="n"/>
      <c r="H192" s="145" t="n"/>
      <c r="I192" s="145" t="n"/>
      <c r="J192" s="145" t="n"/>
      <c r="K192" s="145" t="n"/>
      <c r="L192" s="145" t="n"/>
      <c r="M192" s="145" t="n"/>
      <c r="N192" s="145" t="n"/>
      <c r="O192" s="145" t="n"/>
      <c r="P192" s="145" t="n"/>
      <c r="Q192" s="145" t="n"/>
      <c r="R192" s="145" t="n"/>
      <c r="S192" s="145" t="n"/>
      <c r="T192" s="145" t="n"/>
      <c r="U192" s="145" t="n"/>
      <c r="V192" s="145" t="n"/>
      <c r="W192" s="145" t="n"/>
      <c r="X192" s="145" t="n"/>
      <c r="Y192" s="145" t="n"/>
      <c r="Z192" s="145" t="n"/>
    </row>
    <row r="193" ht="15.75" customHeight="1" s="311">
      <c r="A193" s="145" t="n"/>
      <c r="B193" s="145" t="n"/>
      <c r="C193" s="145" t="n"/>
      <c r="D193" s="145" t="n"/>
      <c r="E193" s="145" t="n"/>
      <c r="F193" s="145" t="n"/>
      <c r="G193" s="145" t="n"/>
      <c r="H193" s="145" t="n"/>
      <c r="I193" s="145" t="n"/>
      <c r="J193" s="145" t="n"/>
      <c r="K193" s="145" t="n"/>
      <c r="L193" s="145" t="n"/>
      <c r="M193" s="145" t="n"/>
      <c r="N193" s="145" t="n"/>
      <c r="O193" s="145" t="n"/>
      <c r="P193" s="145" t="n"/>
      <c r="Q193" s="145" t="n"/>
      <c r="R193" s="145" t="n"/>
      <c r="S193" s="145" t="n"/>
      <c r="T193" s="145" t="n"/>
      <c r="U193" s="145" t="n"/>
      <c r="V193" s="145" t="n"/>
      <c r="W193" s="145" t="n"/>
      <c r="X193" s="145" t="n"/>
      <c r="Y193" s="145" t="n"/>
      <c r="Z193" s="145" t="n"/>
    </row>
    <row r="194" ht="15.75" customHeight="1" s="311">
      <c r="A194" s="145" t="n"/>
      <c r="B194" s="145" t="n"/>
      <c r="C194" s="145" t="n"/>
      <c r="D194" s="145" t="n"/>
      <c r="E194" s="145" t="n"/>
      <c r="F194" s="145" t="n"/>
      <c r="G194" s="145" t="n"/>
      <c r="H194" s="145" t="n"/>
      <c r="I194" s="145" t="n"/>
      <c r="J194" s="145" t="n"/>
      <c r="K194" s="145" t="n"/>
      <c r="L194" s="145" t="n"/>
      <c r="M194" s="145" t="n"/>
      <c r="N194" s="145" t="n"/>
      <c r="O194" s="145" t="n"/>
      <c r="P194" s="145" t="n"/>
      <c r="Q194" s="145" t="n"/>
      <c r="R194" s="145" t="n"/>
      <c r="S194" s="145" t="n"/>
      <c r="T194" s="145" t="n"/>
      <c r="U194" s="145" t="n"/>
      <c r="V194" s="145" t="n"/>
      <c r="W194" s="145" t="n"/>
      <c r="X194" s="145" t="n"/>
      <c r="Y194" s="145" t="n"/>
      <c r="Z194" s="145" t="n"/>
    </row>
    <row r="195" ht="15.75" customHeight="1" s="311">
      <c r="A195" s="145" t="n"/>
      <c r="B195" s="145" t="n"/>
      <c r="C195" s="145" t="n"/>
      <c r="D195" s="145" t="n"/>
      <c r="E195" s="145" t="n"/>
      <c r="F195" s="145" t="n"/>
      <c r="G195" s="145" t="n"/>
      <c r="H195" s="145" t="n"/>
      <c r="I195" s="145" t="n"/>
      <c r="J195" s="145" t="n"/>
      <c r="K195" s="145" t="n"/>
      <c r="L195" s="145" t="n"/>
      <c r="M195" s="145" t="n"/>
      <c r="N195" s="145" t="n"/>
      <c r="O195" s="145" t="n"/>
      <c r="P195" s="145" t="n"/>
      <c r="Q195" s="145" t="n"/>
      <c r="R195" s="145" t="n"/>
      <c r="S195" s="145" t="n"/>
      <c r="T195" s="145" t="n"/>
      <c r="U195" s="145" t="n"/>
      <c r="V195" s="145" t="n"/>
      <c r="W195" s="145" t="n"/>
      <c r="X195" s="145" t="n"/>
      <c r="Y195" s="145" t="n"/>
      <c r="Z195" s="145" t="n"/>
    </row>
    <row r="196" ht="15.75" customHeight="1" s="311">
      <c r="A196" s="145" t="n"/>
      <c r="B196" s="145" t="n"/>
      <c r="C196" s="145" t="n"/>
      <c r="D196" s="145" t="n"/>
      <c r="E196" s="145" t="n"/>
      <c r="F196" s="145" t="n"/>
      <c r="G196" s="145" t="n"/>
      <c r="H196" s="145" t="n"/>
      <c r="I196" s="145" t="n"/>
      <c r="J196" s="145" t="n"/>
      <c r="K196" s="145" t="n"/>
      <c r="L196" s="145" t="n"/>
      <c r="M196" s="145" t="n"/>
      <c r="N196" s="145" t="n"/>
      <c r="O196" s="145" t="n"/>
      <c r="P196" s="145" t="n"/>
      <c r="Q196" s="145" t="n"/>
      <c r="R196" s="145" t="n"/>
      <c r="S196" s="145" t="n"/>
      <c r="T196" s="145" t="n"/>
      <c r="U196" s="145" t="n"/>
      <c r="V196" s="145" t="n"/>
      <c r="W196" s="145" t="n"/>
      <c r="X196" s="145" t="n"/>
      <c r="Y196" s="145" t="n"/>
      <c r="Z196" s="145" t="n"/>
    </row>
    <row r="197" ht="15.75" customHeight="1" s="311">
      <c r="A197" s="145" t="n"/>
      <c r="B197" s="145" t="n"/>
      <c r="C197" s="145" t="n"/>
      <c r="D197" s="145" t="n"/>
      <c r="E197" s="145" t="n"/>
      <c r="F197" s="145" t="n"/>
      <c r="G197" s="145" t="n"/>
      <c r="H197" s="145" t="n"/>
      <c r="I197" s="145" t="n"/>
      <c r="J197" s="145" t="n"/>
      <c r="K197" s="145" t="n"/>
      <c r="L197" s="145" t="n"/>
      <c r="M197" s="145" t="n"/>
      <c r="N197" s="145" t="n"/>
      <c r="O197" s="145" t="n"/>
      <c r="P197" s="145" t="n"/>
      <c r="Q197" s="145" t="n"/>
      <c r="R197" s="145" t="n"/>
      <c r="S197" s="145" t="n"/>
      <c r="T197" s="145" t="n"/>
      <c r="U197" s="145" t="n"/>
      <c r="V197" s="145" t="n"/>
      <c r="W197" s="145" t="n"/>
      <c r="X197" s="145" t="n"/>
      <c r="Y197" s="145" t="n"/>
      <c r="Z197" s="145" t="n"/>
    </row>
    <row r="198" ht="15.75" customHeight="1" s="311">
      <c r="A198" s="145" t="n"/>
      <c r="B198" s="145" t="n"/>
      <c r="C198" s="145" t="n"/>
      <c r="D198" s="145" t="n"/>
      <c r="E198" s="145" t="n"/>
      <c r="F198" s="145" t="n"/>
      <c r="G198" s="145" t="n"/>
      <c r="H198" s="145" t="n"/>
      <c r="I198" s="145" t="n"/>
      <c r="J198" s="145" t="n"/>
      <c r="K198" s="145" t="n"/>
      <c r="L198" s="145" t="n"/>
      <c r="M198" s="145" t="n"/>
      <c r="N198" s="145" t="n"/>
      <c r="O198" s="145" t="n"/>
      <c r="P198" s="145" t="n"/>
      <c r="Q198" s="145" t="n"/>
      <c r="R198" s="145" t="n"/>
      <c r="S198" s="145" t="n"/>
      <c r="T198" s="145" t="n"/>
      <c r="U198" s="145" t="n"/>
      <c r="V198" s="145" t="n"/>
      <c r="W198" s="145" t="n"/>
      <c r="X198" s="145" t="n"/>
      <c r="Y198" s="145" t="n"/>
      <c r="Z198" s="145" t="n"/>
    </row>
    <row r="199" ht="15.75" customHeight="1" s="311">
      <c r="A199" s="145" t="n"/>
      <c r="B199" s="145" t="n"/>
      <c r="C199" s="145" t="n"/>
      <c r="D199" s="145" t="n"/>
      <c r="E199" s="145" t="n"/>
      <c r="F199" s="145" t="n"/>
      <c r="G199" s="145" t="n"/>
      <c r="H199" s="145" t="n"/>
      <c r="I199" s="145" t="n"/>
      <c r="J199" s="145" t="n"/>
      <c r="K199" s="145" t="n"/>
      <c r="L199" s="145" t="n"/>
      <c r="M199" s="145" t="n"/>
      <c r="N199" s="145" t="n"/>
      <c r="O199" s="145" t="n"/>
      <c r="P199" s="145" t="n"/>
      <c r="Q199" s="145" t="n"/>
      <c r="R199" s="145" t="n"/>
      <c r="S199" s="145" t="n"/>
      <c r="T199" s="145" t="n"/>
      <c r="U199" s="145" t="n"/>
      <c r="V199" s="145" t="n"/>
      <c r="W199" s="145" t="n"/>
      <c r="X199" s="145" t="n"/>
      <c r="Y199" s="145" t="n"/>
      <c r="Z199" s="145" t="n"/>
    </row>
    <row r="200" ht="15.75" customHeight="1" s="311">
      <c r="A200" s="145" t="n"/>
      <c r="B200" s="145" t="n"/>
      <c r="C200" s="145" t="n"/>
      <c r="D200" s="145" t="n"/>
      <c r="E200" s="145" t="n"/>
      <c r="F200" s="145" t="n"/>
      <c r="G200" s="145" t="n"/>
      <c r="H200" s="145" t="n"/>
      <c r="I200" s="145" t="n"/>
      <c r="J200" s="145" t="n"/>
      <c r="K200" s="145" t="n"/>
      <c r="L200" s="145" t="n"/>
      <c r="M200" s="145" t="n"/>
      <c r="N200" s="145" t="n"/>
      <c r="O200" s="145" t="n"/>
      <c r="P200" s="145" t="n"/>
      <c r="Q200" s="145" t="n"/>
      <c r="R200" s="145" t="n"/>
      <c r="S200" s="145" t="n"/>
      <c r="T200" s="145" t="n"/>
      <c r="U200" s="145" t="n"/>
      <c r="V200" s="145" t="n"/>
      <c r="W200" s="145" t="n"/>
      <c r="X200" s="145" t="n"/>
      <c r="Y200" s="145" t="n"/>
      <c r="Z200" s="145" t="n"/>
    </row>
    <row r="201" ht="15.75" customHeight="1" s="311">
      <c r="A201" s="145" t="n"/>
      <c r="B201" s="145" t="n"/>
      <c r="C201" s="145" t="n"/>
      <c r="D201" s="145" t="n"/>
      <c r="E201" s="145" t="n"/>
      <c r="F201" s="145" t="n"/>
      <c r="G201" s="145" t="n"/>
      <c r="H201" s="145" t="n"/>
      <c r="I201" s="145" t="n"/>
      <c r="J201" s="145" t="n"/>
      <c r="K201" s="145" t="n"/>
      <c r="L201" s="145" t="n"/>
      <c r="M201" s="145" t="n"/>
      <c r="N201" s="145" t="n"/>
      <c r="O201" s="145" t="n"/>
      <c r="P201" s="145" t="n"/>
      <c r="Q201" s="145" t="n"/>
      <c r="R201" s="145" t="n"/>
      <c r="S201" s="145" t="n"/>
      <c r="T201" s="145" t="n"/>
      <c r="U201" s="145" t="n"/>
      <c r="V201" s="145" t="n"/>
      <c r="W201" s="145" t="n"/>
      <c r="X201" s="145" t="n"/>
      <c r="Y201" s="145" t="n"/>
      <c r="Z201" s="145" t="n"/>
    </row>
    <row r="202" ht="15.75" customHeight="1" s="311">
      <c r="A202" s="145" t="n"/>
      <c r="B202" s="145" t="n"/>
      <c r="C202" s="145" t="n"/>
      <c r="D202" s="145" t="n"/>
      <c r="E202" s="145" t="n"/>
      <c r="F202" s="145" t="n"/>
      <c r="G202" s="145" t="n"/>
      <c r="H202" s="145" t="n"/>
      <c r="I202" s="145" t="n"/>
      <c r="J202" s="145" t="n"/>
      <c r="K202" s="145" t="n"/>
      <c r="L202" s="145" t="n"/>
      <c r="M202" s="145" t="n"/>
      <c r="N202" s="145" t="n"/>
      <c r="O202" s="145" t="n"/>
      <c r="P202" s="145" t="n"/>
      <c r="Q202" s="145" t="n"/>
      <c r="R202" s="145" t="n"/>
      <c r="S202" s="145" t="n"/>
      <c r="T202" s="145" t="n"/>
      <c r="U202" s="145" t="n"/>
      <c r="V202" s="145" t="n"/>
      <c r="W202" s="145" t="n"/>
      <c r="X202" s="145" t="n"/>
      <c r="Y202" s="145" t="n"/>
      <c r="Z202" s="145" t="n"/>
    </row>
    <row r="203" ht="15.75" customHeight="1" s="311">
      <c r="A203" s="145" t="n"/>
      <c r="B203" s="145" t="n"/>
      <c r="C203" s="145" t="n"/>
      <c r="D203" s="145" t="n"/>
      <c r="E203" s="145" t="n"/>
      <c r="F203" s="145" t="n"/>
      <c r="G203" s="145" t="n"/>
      <c r="H203" s="145" t="n"/>
      <c r="I203" s="145" t="n"/>
      <c r="J203" s="145" t="n"/>
      <c r="K203" s="145" t="n"/>
      <c r="L203" s="145" t="n"/>
      <c r="M203" s="145" t="n"/>
      <c r="N203" s="145" t="n"/>
      <c r="O203" s="145" t="n"/>
      <c r="P203" s="145" t="n"/>
      <c r="Q203" s="145" t="n"/>
      <c r="R203" s="145" t="n"/>
      <c r="S203" s="145" t="n"/>
      <c r="T203" s="145" t="n"/>
      <c r="U203" s="145" t="n"/>
      <c r="V203" s="145" t="n"/>
      <c r="W203" s="145" t="n"/>
      <c r="X203" s="145" t="n"/>
      <c r="Y203" s="145" t="n"/>
      <c r="Z203" s="145" t="n"/>
    </row>
    <row r="204" ht="15.75" customHeight="1" s="311">
      <c r="A204" s="145" t="n"/>
      <c r="B204" s="145" t="n"/>
      <c r="C204" s="145" t="n"/>
      <c r="D204" s="145" t="n"/>
      <c r="E204" s="145" t="n"/>
      <c r="F204" s="145" t="n"/>
      <c r="G204" s="145" t="n"/>
      <c r="H204" s="145" t="n"/>
      <c r="I204" s="145" t="n"/>
      <c r="J204" s="145" t="n"/>
      <c r="K204" s="145" t="n"/>
      <c r="L204" s="145" t="n"/>
      <c r="M204" s="145" t="n"/>
      <c r="N204" s="145" t="n"/>
      <c r="O204" s="145" t="n"/>
      <c r="P204" s="145" t="n"/>
      <c r="Q204" s="145" t="n"/>
      <c r="R204" s="145" t="n"/>
      <c r="S204" s="145" t="n"/>
      <c r="T204" s="145" t="n"/>
      <c r="U204" s="145" t="n"/>
      <c r="V204" s="145" t="n"/>
      <c r="W204" s="145" t="n"/>
      <c r="X204" s="145" t="n"/>
      <c r="Y204" s="145" t="n"/>
      <c r="Z204" s="145" t="n"/>
    </row>
    <row r="205" ht="15.75" customHeight="1" s="311">
      <c r="A205" s="145" t="n"/>
      <c r="B205" s="145" t="n"/>
      <c r="C205" s="145" t="n"/>
      <c r="D205" s="145" t="n"/>
      <c r="E205" s="145" t="n"/>
      <c r="F205" s="145" t="n"/>
      <c r="G205" s="145" t="n"/>
      <c r="H205" s="145" t="n"/>
      <c r="I205" s="145" t="n"/>
      <c r="J205" s="145" t="n"/>
      <c r="K205" s="145" t="n"/>
      <c r="L205" s="145" t="n"/>
      <c r="M205" s="145" t="n"/>
      <c r="N205" s="145" t="n"/>
      <c r="O205" s="145" t="n"/>
      <c r="P205" s="145" t="n"/>
      <c r="Q205" s="145" t="n"/>
      <c r="R205" s="145" t="n"/>
      <c r="S205" s="145" t="n"/>
      <c r="T205" s="145" t="n"/>
      <c r="U205" s="145" t="n"/>
      <c r="V205" s="145" t="n"/>
      <c r="W205" s="145" t="n"/>
      <c r="X205" s="145" t="n"/>
      <c r="Y205" s="145" t="n"/>
      <c r="Z205" s="145" t="n"/>
    </row>
    <row r="206" ht="15.75" customHeight="1" s="311">
      <c r="A206" s="145" t="n"/>
      <c r="B206" s="145" t="n"/>
      <c r="C206" s="145" t="n"/>
      <c r="D206" s="145" t="n"/>
      <c r="E206" s="145" t="n"/>
      <c r="F206" s="145" t="n"/>
      <c r="G206" s="145" t="n"/>
      <c r="H206" s="145" t="n"/>
      <c r="I206" s="145" t="n"/>
      <c r="J206" s="145" t="n"/>
      <c r="K206" s="145" t="n"/>
      <c r="L206" s="145" t="n"/>
      <c r="M206" s="145" t="n"/>
      <c r="N206" s="145" t="n"/>
      <c r="O206" s="145" t="n"/>
      <c r="P206" s="145" t="n"/>
      <c r="Q206" s="145" t="n"/>
      <c r="R206" s="145" t="n"/>
      <c r="S206" s="145" t="n"/>
      <c r="T206" s="145" t="n"/>
      <c r="U206" s="145" t="n"/>
      <c r="V206" s="145" t="n"/>
      <c r="W206" s="145" t="n"/>
      <c r="X206" s="145" t="n"/>
      <c r="Y206" s="145" t="n"/>
      <c r="Z206" s="145" t="n"/>
    </row>
    <row r="207" ht="15.75" customHeight="1" s="311">
      <c r="A207" s="145" t="n"/>
      <c r="B207" s="145" t="n"/>
      <c r="C207" s="145" t="n"/>
      <c r="D207" s="145" t="n"/>
      <c r="E207" s="145" t="n"/>
      <c r="F207" s="145" t="n"/>
      <c r="G207" s="145" t="n"/>
      <c r="H207" s="145" t="n"/>
      <c r="I207" s="145" t="n"/>
      <c r="J207" s="145" t="n"/>
      <c r="K207" s="145" t="n"/>
      <c r="L207" s="145" t="n"/>
      <c r="M207" s="145" t="n"/>
      <c r="N207" s="145" t="n"/>
      <c r="O207" s="145" t="n"/>
      <c r="P207" s="145" t="n"/>
      <c r="Q207" s="145" t="n"/>
      <c r="R207" s="145" t="n"/>
      <c r="S207" s="145" t="n"/>
      <c r="T207" s="145" t="n"/>
      <c r="U207" s="145" t="n"/>
      <c r="V207" s="145" t="n"/>
      <c r="W207" s="145" t="n"/>
      <c r="X207" s="145" t="n"/>
      <c r="Y207" s="145" t="n"/>
      <c r="Z207" s="145" t="n"/>
    </row>
    <row r="208" ht="15.75" customHeight="1" s="311">
      <c r="A208" s="145" t="n"/>
      <c r="B208" s="145" t="n"/>
      <c r="C208" s="145" t="n"/>
      <c r="D208" s="145" t="n"/>
      <c r="E208" s="145" t="n"/>
      <c r="F208" s="145" t="n"/>
      <c r="G208" s="145" t="n"/>
      <c r="H208" s="145" t="n"/>
      <c r="I208" s="145" t="n"/>
      <c r="J208" s="145" t="n"/>
      <c r="K208" s="145" t="n"/>
      <c r="L208" s="145" t="n"/>
      <c r="M208" s="145" t="n"/>
      <c r="N208" s="145" t="n"/>
      <c r="O208" s="145" t="n"/>
      <c r="P208" s="145" t="n"/>
      <c r="Q208" s="145" t="n"/>
      <c r="R208" s="145" t="n"/>
      <c r="S208" s="145" t="n"/>
      <c r="T208" s="145" t="n"/>
      <c r="U208" s="145" t="n"/>
      <c r="V208" s="145" t="n"/>
      <c r="W208" s="145" t="n"/>
      <c r="X208" s="145" t="n"/>
      <c r="Y208" s="145" t="n"/>
      <c r="Z208" s="145" t="n"/>
    </row>
    <row r="209" ht="15.75" customHeight="1" s="311">
      <c r="A209" s="145" t="n"/>
      <c r="B209" s="145" t="n"/>
      <c r="C209" s="145" t="n"/>
      <c r="D209" s="145" t="n"/>
      <c r="E209" s="145" t="n"/>
      <c r="F209" s="145" t="n"/>
      <c r="G209" s="145" t="n"/>
      <c r="H209" s="145" t="n"/>
      <c r="I209" s="145" t="n"/>
      <c r="J209" s="145" t="n"/>
      <c r="K209" s="145" t="n"/>
      <c r="L209" s="145" t="n"/>
      <c r="M209" s="145" t="n"/>
      <c r="N209" s="145" t="n"/>
      <c r="O209" s="145" t="n"/>
      <c r="P209" s="145" t="n"/>
      <c r="Q209" s="145" t="n"/>
      <c r="R209" s="145" t="n"/>
      <c r="S209" s="145" t="n"/>
      <c r="T209" s="145" t="n"/>
      <c r="U209" s="145" t="n"/>
      <c r="V209" s="145" t="n"/>
      <c r="W209" s="145" t="n"/>
      <c r="X209" s="145" t="n"/>
      <c r="Y209" s="145" t="n"/>
      <c r="Z209" s="145" t="n"/>
    </row>
    <row r="210" ht="15.75" customHeight="1" s="311">
      <c r="A210" s="145" t="n"/>
      <c r="B210" s="145" t="n"/>
      <c r="C210" s="145" t="n"/>
      <c r="D210" s="145" t="n"/>
      <c r="E210" s="145" t="n"/>
      <c r="F210" s="145" t="n"/>
      <c r="G210" s="145" t="n"/>
      <c r="H210" s="145" t="n"/>
      <c r="I210" s="145" t="n"/>
      <c r="J210" s="145" t="n"/>
      <c r="K210" s="145" t="n"/>
      <c r="L210" s="145" t="n"/>
      <c r="M210" s="145" t="n"/>
      <c r="N210" s="145" t="n"/>
      <c r="O210" s="145" t="n"/>
      <c r="P210" s="145" t="n"/>
      <c r="Q210" s="145" t="n"/>
      <c r="R210" s="145" t="n"/>
      <c r="S210" s="145" t="n"/>
      <c r="T210" s="145" t="n"/>
      <c r="U210" s="145" t="n"/>
      <c r="V210" s="145" t="n"/>
      <c r="W210" s="145" t="n"/>
      <c r="X210" s="145" t="n"/>
      <c r="Y210" s="145" t="n"/>
      <c r="Z210" s="145" t="n"/>
    </row>
    <row r="211" ht="15.75" customHeight="1" s="311">
      <c r="A211" s="145" t="n"/>
      <c r="B211" s="145" t="n"/>
      <c r="C211" s="145" t="n"/>
      <c r="D211" s="145" t="n"/>
      <c r="E211" s="145" t="n"/>
      <c r="F211" s="145" t="n"/>
      <c r="G211" s="145" t="n"/>
      <c r="H211" s="145" t="n"/>
      <c r="I211" s="145" t="n"/>
      <c r="J211" s="145" t="n"/>
      <c r="K211" s="145" t="n"/>
      <c r="L211" s="145" t="n"/>
      <c r="M211" s="145" t="n"/>
      <c r="N211" s="145" t="n"/>
      <c r="O211" s="145" t="n"/>
      <c r="P211" s="145" t="n"/>
      <c r="Q211" s="145" t="n"/>
      <c r="R211" s="145" t="n"/>
      <c r="S211" s="145" t="n"/>
      <c r="T211" s="145" t="n"/>
      <c r="U211" s="145" t="n"/>
      <c r="V211" s="145" t="n"/>
      <c r="W211" s="145" t="n"/>
      <c r="X211" s="145" t="n"/>
      <c r="Y211" s="145" t="n"/>
      <c r="Z211" s="145" t="n"/>
    </row>
    <row r="212" ht="15.75" customHeight="1" s="311">
      <c r="A212" s="145" t="n"/>
      <c r="B212" s="145" t="n"/>
      <c r="C212" s="145" t="n"/>
      <c r="D212" s="145" t="n"/>
      <c r="E212" s="145" t="n"/>
      <c r="F212" s="145" t="n"/>
      <c r="G212" s="145" t="n"/>
      <c r="H212" s="145" t="n"/>
      <c r="I212" s="145" t="n"/>
      <c r="J212" s="145" t="n"/>
      <c r="K212" s="145" t="n"/>
      <c r="L212" s="145" t="n"/>
      <c r="M212" s="145" t="n"/>
      <c r="N212" s="145" t="n"/>
      <c r="O212" s="145" t="n"/>
      <c r="P212" s="145" t="n"/>
      <c r="Q212" s="145" t="n"/>
      <c r="R212" s="145" t="n"/>
      <c r="S212" s="145" t="n"/>
      <c r="T212" s="145" t="n"/>
      <c r="U212" s="145" t="n"/>
      <c r="V212" s="145" t="n"/>
      <c r="W212" s="145" t="n"/>
      <c r="X212" s="145" t="n"/>
      <c r="Y212" s="145" t="n"/>
      <c r="Z212" s="145" t="n"/>
    </row>
    <row r="213" ht="15.75" customHeight="1" s="311">
      <c r="A213" s="145" t="n"/>
      <c r="B213" s="145" t="n"/>
      <c r="C213" s="145" t="n"/>
      <c r="D213" s="145" t="n"/>
      <c r="E213" s="145" t="n"/>
      <c r="F213" s="145" t="n"/>
      <c r="G213" s="145" t="n"/>
      <c r="H213" s="145" t="n"/>
      <c r="I213" s="145" t="n"/>
      <c r="J213" s="145" t="n"/>
      <c r="K213" s="145" t="n"/>
      <c r="L213" s="145" t="n"/>
      <c r="M213" s="145" t="n"/>
      <c r="N213" s="145" t="n"/>
      <c r="O213" s="145" t="n"/>
      <c r="P213" s="145" t="n"/>
      <c r="Q213" s="145" t="n"/>
      <c r="R213" s="145" t="n"/>
      <c r="S213" s="145" t="n"/>
      <c r="T213" s="145" t="n"/>
      <c r="U213" s="145" t="n"/>
      <c r="V213" s="145" t="n"/>
      <c r="W213" s="145" t="n"/>
      <c r="X213" s="145" t="n"/>
      <c r="Y213" s="145" t="n"/>
      <c r="Z213" s="145" t="n"/>
    </row>
    <row r="214" ht="15.75" customHeight="1" s="311">
      <c r="A214" s="145" t="n"/>
      <c r="B214" s="145" t="n"/>
      <c r="C214" s="145" t="n"/>
      <c r="D214" s="145" t="n"/>
      <c r="E214" s="145" t="n"/>
      <c r="F214" s="145" t="n"/>
      <c r="G214" s="145" t="n"/>
      <c r="H214" s="145" t="n"/>
      <c r="I214" s="145" t="n"/>
      <c r="J214" s="145" t="n"/>
      <c r="K214" s="145" t="n"/>
      <c r="L214" s="145" t="n"/>
      <c r="M214" s="145" t="n"/>
      <c r="N214" s="145" t="n"/>
      <c r="O214" s="145" t="n"/>
      <c r="P214" s="145" t="n"/>
      <c r="Q214" s="145" t="n"/>
      <c r="R214" s="145" t="n"/>
      <c r="S214" s="145" t="n"/>
      <c r="T214" s="145" t="n"/>
      <c r="U214" s="145" t="n"/>
      <c r="V214" s="145" t="n"/>
      <c r="W214" s="145" t="n"/>
      <c r="X214" s="145" t="n"/>
      <c r="Y214" s="145" t="n"/>
      <c r="Z214" s="145" t="n"/>
    </row>
    <row r="215" ht="15.75" customHeight="1" s="311">
      <c r="A215" s="145" t="n"/>
      <c r="B215" s="145" t="n"/>
      <c r="C215" s="145" t="n"/>
      <c r="D215" s="145" t="n"/>
      <c r="E215" s="145" t="n"/>
      <c r="F215" s="145" t="n"/>
      <c r="G215" s="145" t="n"/>
      <c r="H215" s="145" t="n"/>
      <c r="I215" s="145" t="n"/>
      <c r="J215" s="145" t="n"/>
      <c r="K215" s="145" t="n"/>
      <c r="L215" s="145" t="n"/>
      <c r="M215" s="145" t="n"/>
      <c r="N215" s="145" t="n"/>
      <c r="O215" s="145" t="n"/>
      <c r="P215" s="145" t="n"/>
      <c r="Q215" s="145" t="n"/>
      <c r="R215" s="145" t="n"/>
      <c r="S215" s="145" t="n"/>
      <c r="T215" s="145" t="n"/>
      <c r="U215" s="145" t="n"/>
      <c r="V215" s="145" t="n"/>
      <c r="W215" s="145" t="n"/>
      <c r="X215" s="145" t="n"/>
      <c r="Y215" s="145" t="n"/>
      <c r="Z215" s="145" t="n"/>
    </row>
    <row r="216" ht="15.75" customHeight="1" s="311">
      <c r="A216" s="145" t="n"/>
      <c r="B216" s="145" t="n"/>
      <c r="C216" s="145" t="n"/>
      <c r="D216" s="145" t="n"/>
      <c r="E216" s="145" t="n"/>
      <c r="F216" s="145" t="n"/>
      <c r="G216" s="145" t="n"/>
      <c r="H216" s="145" t="n"/>
      <c r="I216" s="145" t="n"/>
      <c r="J216" s="145" t="n"/>
      <c r="K216" s="145" t="n"/>
      <c r="L216" s="145" t="n"/>
      <c r="M216" s="145" t="n"/>
      <c r="N216" s="145" t="n"/>
      <c r="O216" s="145" t="n"/>
      <c r="P216" s="145" t="n"/>
      <c r="Q216" s="145" t="n"/>
      <c r="R216" s="145" t="n"/>
      <c r="S216" s="145" t="n"/>
      <c r="T216" s="145" t="n"/>
      <c r="U216" s="145" t="n"/>
      <c r="V216" s="145" t="n"/>
      <c r="W216" s="145" t="n"/>
      <c r="X216" s="145" t="n"/>
      <c r="Y216" s="145" t="n"/>
      <c r="Z216" s="145" t="n"/>
    </row>
    <row r="217" ht="15.75" customHeight="1" s="311">
      <c r="A217" s="145" t="n"/>
      <c r="B217" s="145" t="n"/>
      <c r="C217" s="145" t="n"/>
      <c r="D217" s="145" t="n"/>
      <c r="E217" s="145" t="n"/>
      <c r="F217" s="145" t="n"/>
      <c r="G217" s="145" t="n"/>
      <c r="H217" s="145" t="n"/>
      <c r="I217" s="145" t="n"/>
      <c r="J217" s="145" t="n"/>
      <c r="K217" s="145" t="n"/>
      <c r="L217" s="145" t="n"/>
      <c r="M217" s="145" t="n"/>
      <c r="N217" s="145" t="n"/>
      <c r="O217" s="145" t="n"/>
      <c r="P217" s="145" t="n"/>
      <c r="Q217" s="145" t="n"/>
      <c r="R217" s="145" t="n"/>
      <c r="S217" s="145" t="n"/>
      <c r="T217" s="145" t="n"/>
      <c r="U217" s="145" t="n"/>
      <c r="V217" s="145" t="n"/>
      <c r="W217" s="145" t="n"/>
      <c r="X217" s="145" t="n"/>
      <c r="Y217" s="145" t="n"/>
      <c r="Z217" s="145" t="n"/>
    </row>
    <row r="218" ht="15.75" customHeight="1" s="311">
      <c r="A218" s="145" t="n"/>
      <c r="B218" s="145" t="n"/>
      <c r="C218" s="145" t="n"/>
      <c r="D218" s="145" t="n"/>
      <c r="E218" s="145" t="n"/>
      <c r="F218" s="145" t="n"/>
      <c r="G218" s="145" t="n"/>
      <c r="H218" s="145" t="n"/>
      <c r="I218" s="145" t="n"/>
      <c r="J218" s="145" t="n"/>
      <c r="K218" s="145" t="n"/>
      <c r="L218" s="145" t="n"/>
      <c r="M218" s="145" t="n"/>
      <c r="N218" s="145" t="n"/>
      <c r="O218" s="145" t="n"/>
      <c r="P218" s="145" t="n"/>
      <c r="Q218" s="145" t="n"/>
      <c r="R218" s="145" t="n"/>
      <c r="S218" s="145" t="n"/>
      <c r="T218" s="145" t="n"/>
      <c r="U218" s="145" t="n"/>
      <c r="V218" s="145" t="n"/>
      <c r="W218" s="145" t="n"/>
      <c r="X218" s="145" t="n"/>
      <c r="Y218" s="145" t="n"/>
      <c r="Z218" s="145" t="n"/>
    </row>
    <row r="219" ht="15.75" customHeight="1" s="311">
      <c r="A219" s="145" t="n"/>
      <c r="B219" s="145" t="n"/>
      <c r="C219" s="145" t="n"/>
      <c r="D219" s="145" t="n"/>
      <c r="E219" s="145" t="n"/>
      <c r="F219" s="145" t="n"/>
      <c r="G219" s="145" t="n"/>
      <c r="H219" s="145" t="n"/>
      <c r="I219" s="145" t="n"/>
      <c r="J219" s="145" t="n"/>
      <c r="K219" s="145" t="n"/>
      <c r="L219" s="145" t="n"/>
      <c r="M219" s="145" t="n"/>
      <c r="N219" s="145" t="n"/>
      <c r="O219" s="145" t="n"/>
      <c r="P219" s="145" t="n"/>
      <c r="Q219" s="145" t="n"/>
      <c r="R219" s="145" t="n"/>
      <c r="S219" s="145" t="n"/>
      <c r="T219" s="145" t="n"/>
      <c r="U219" s="145" t="n"/>
      <c r="V219" s="145" t="n"/>
      <c r="W219" s="145" t="n"/>
      <c r="X219" s="145" t="n"/>
      <c r="Y219" s="145" t="n"/>
      <c r="Z219" s="145" t="n"/>
    </row>
    <row r="220" ht="15.75" customHeight="1" s="311">
      <c r="A220" s="145" t="n"/>
      <c r="B220" s="145" t="n"/>
      <c r="C220" s="145" t="n"/>
      <c r="D220" s="145" t="n"/>
      <c r="E220" s="145" t="n"/>
      <c r="F220" s="145" t="n"/>
      <c r="G220" s="145" t="n"/>
      <c r="H220" s="145" t="n"/>
      <c r="I220" s="145" t="n"/>
      <c r="J220" s="145" t="n"/>
      <c r="K220" s="145" t="n"/>
      <c r="L220" s="145" t="n"/>
      <c r="M220" s="145" t="n"/>
      <c r="N220" s="145" t="n"/>
      <c r="O220" s="145" t="n"/>
      <c r="P220" s="145" t="n"/>
      <c r="Q220" s="145" t="n"/>
      <c r="R220" s="145" t="n"/>
      <c r="S220" s="145" t="n"/>
      <c r="T220" s="145" t="n"/>
      <c r="U220" s="145" t="n"/>
      <c r="V220" s="145" t="n"/>
      <c r="W220" s="145" t="n"/>
      <c r="X220" s="145" t="n"/>
      <c r="Y220" s="145" t="n"/>
      <c r="Z220" s="145" t="n"/>
    </row>
    <row r="221" ht="15.75" customHeight="1" s="311">
      <c r="A221" s="145" t="n"/>
      <c r="B221" s="145" t="n"/>
      <c r="C221" s="145" t="n"/>
      <c r="D221" s="145" t="n"/>
      <c r="E221" s="145" t="n"/>
      <c r="F221" s="145" t="n"/>
      <c r="G221" s="145" t="n"/>
      <c r="H221" s="145" t="n"/>
      <c r="I221" s="145" t="n"/>
      <c r="J221" s="145" t="n"/>
      <c r="K221" s="145" t="n"/>
      <c r="L221" s="145" t="n"/>
      <c r="M221" s="145" t="n"/>
      <c r="N221" s="145" t="n"/>
      <c r="O221" s="145" t="n"/>
      <c r="P221" s="145" t="n"/>
      <c r="Q221" s="145" t="n"/>
      <c r="R221" s="145" t="n"/>
      <c r="S221" s="145" t="n"/>
      <c r="T221" s="145" t="n"/>
      <c r="U221" s="145" t="n"/>
      <c r="V221" s="145" t="n"/>
      <c r="W221" s="145" t="n"/>
      <c r="X221" s="145" t="n"/>
      <c r="Y221" s="145" t="n"/>
      <c r="Z221" s="145" t="n"/>
    </row>
    <row r="222" ht="15.75" customHeight="1" s="311">
      <c r="A222" s="145" t="n"/>
      <c r="B222" s="145" t="n"/>
      <c r="C222" s="145" t="n"/>
      <c r="D222" s="145" t="n"/>
      <c r="E222" s="145" t="n"/>
      <c r="F222" s="145" t="n"/>
      <c r="G222" s="145" t="n"/>
      <c r="H222" s="145" t="n"/>
      <c r="I222" s="145" t="n"/>
      <c r="J222" s="145" t="n"/>
      <c r="K222" s="145" t="n"/>
      <c r="L222" s="145" t="n"/>
      <c r="M222" s="145" t="n"/>
      <c r="N222" s="145" t="n"/>
      <c r="O222" s="145" t="n"/>
      <c r="P222" s="145" t="n"/>
      <c r="Q222" s="145" t="n"/>
      <c r="R222" s="145" t="n"/>
      <c r="S222" s="145" t="n"/>
      <c r="T222" s="145" t="n"/>
      <c r="U222" s="145" t="n"/>
      <c r="V222" s="145" t="n"/>
      <c r="W222" s="145" t="n"/>
      <c r="X222" s="145" t="n"/>
      <c r="Y222" s="145" t="n"/>
      <c r="Z222" s="145" t="n"/>
    </row>
    <row r="223" ht="15.75" customHeight="1" s="311">
      <c r="A223" s="145" t="n"/>
      <c r="B223" s="145" t="n"/>
      <c r="C223" s="145" t="n"/>
      <c r="D223" s="145" t="n"/>
      <c r="E223" s="145" t="n"/>
      <c r="F223" s="145" t="n"/>
      <c r="G223" s="145" t="n"/>
      <c r="H223" s="145" t="n"/>
      <c r="I223" s="145" t="n"/>
      <c r="J223" s="145" t="n"/>
      <c r="K223" s="145" t="n"/>
      <c r="L223" s="145" t="n"/>
      <c r="M223" s="145" t="n"/>
      <c r="N223" s="145" t="n"/>
      <c r="O223" s="145" t="n"/>
      <c r="P223" s="145" t="n"/>
      <c r="Q223" s="145" t="n"/>
      <c r="R223" s="145" t="n"/>
      <c r="S223" s="145" t="n"/>
      <c r="T223" s="145" t="n"/>
      <c r="U223" s="145" t="n"/>
      <c r="V223" s="145" t="n"/>
      <c r="W223" s="145" t="n"/>
      <c r="X223" s="145" t="n"/>
      <c r="Y223" s="145" t="n"/>
      <c r="Z223" s="145" t="n"/>
    </row>
    <row r="224" ht="15.75" customHeight="1" s="311">
      <c r="A224" s="145" t="n"/>
      <c r="B224" s="145" t="n"/>
      <c r="C224" s="145" t="n"/>
      <c r="D224" s="145" t="n"/>
      <c r="E224" s="145" t="n"/>
      <c r="F224" s="145" t="n"/>
      <c r="G224" s="145" t="n"/>
      <c r="H224" s="145" t="n"/>
      <c r="I224" s="145" t="n"/>
      <c r="J224" s="145" t="n"/>
      <c r="K224" s="145" t="n"/>
      <c r="L224" s="145" t="n"/>
      <c r="M224" s="145" t="n"/>
      <c r="N224" s="145" t="n"/>
      <c r="O224" s="145" t="n"/>
      <c r="P224" s="145" t="n"/>
      <c r="Q224" s="145" t="n"/>
      <c r="R224" s="145" t="n"/>
      <c r="S224" s="145" t="n"/>
      <c r="T224" s="145" t="n"/>
      <c r="U224" s="145" t="n"/>
      <c r="V224" s="145" t="n"/>
      <c r="W224" s="145" t="n"/>
      <c r="X224" s="145" t="n"/>
      <c r="Y224" s="145" t="n"/>
      <c r="Z224" s="145" t="n"/>
    </row>
    <row r="225" ht="15.75" customHeight="1" s="311">
      <c r="A225" s="145" t="n"/>
      <c r="B225" s="145" t="n"/>
      <c r="C225" s="145" t="n"/>
      <c r="D225" s="145" t="n"/>
      <c r="E225" s="145" t="n"/>
      <c r="F225" s="145" t="n"/>
      <c r="G225" s="145" t="n"/>
      <c r="H225" s="145" t="n"/>
      <c r="I225" s="145" t="n"/>
      <c r="J225" s="145" t="n"/>
      <c r="K225" s="145" t="n"/>
      <c r="L225" s="145" t="n"/>
      <c r="M225" s="145" t="n"/>
      <c r="N225" s="145" t="n"/>
      <c r="O225" s="145" t="n"/>
      <c r="P225" s="145" t="n"/>
      <c r="Q225" s="145" t="n"/>
      <c r="R225" s="145" t="n"/>
      <c r="S225" s="145" t="n"/>
      <c r="T225" s="145" t="n"/>
      <c r="U225" s="145" t="n"/>
      <c r="V225" s="145" t="n"/>
      <c r="W225" s="145" t="n"/>
      <c r="X225" s="145" t="n"/>
      <c r="Y225" s="145" t="n"/>
      <c r="Z225" s="145" t="n"/>
    </row>
    <row r="226" ht="15.75" customHeight="1" s="311">
      <c r="A226" s="145" t="n"/>
      <c r="B226" s="145" t="n"/>
      <c r="C226" s="145" t="n"/>
      <c r="D226" s="145" t="n"/>
      <c r="E226" s="145" t="n"/>
      <c r="F226" s="145" t="n"/>
      <c r="G226" s="145" t="n"/>
      <c r="H226" s="145" t="n"/>
      <c r="I226" s="145" t="n"/>
      <c r="J226" s="145" t="n"/>
      <c r="K226" s="145" t="n"/>
      <c r="L226" s="145" t="n"/>
      <c r="M226" s="145" t="n"/>
      <c r="N226" s="145" t="n"/>
      <c r="O226" s="145" t="n"/>
      <c r="P226" s="145" t="n"/>
      <c r="Q226" s="145" t="n"/>
      <c r="R226" s="145" t="n"/>
      <c r="S226" s="145" t="n"/>
      <c r="T226" s="145" t="n"/>
      <c r="U226" s="145" t="n"/>
      <c r="V226" s="145" t="n"/>
      <c r="W226" s="145" t="n"/>
      <c r="X226" s="145" t="n"/>
      <c r="Y226" s="145" t="n"/>
      <c r="Z226" s="145" t="n"/>
    </row>
    <row r="227" ht="15.75" customHeight="1" s="311">
      <c r="A227" s="145" t="n"/>
      <c r="B227" s="145" t="n"/>
      <c r="C227" s="145" t="n"/>
      <c r="D227" s="145" t="n"/>
      <c r="E227" s="145" t="n"/>
      <c r="F227" s="145" t="n"/>
      <c r="G227" s="145" t="n"/>
      <c r="H227" s="145" t="n"/>
      <c r="I227" s="145" t="n"/>
      <c r="J227" s="145" t="n"/>
      <c r="K227" s="145" t="n"/>
      <c r="L227" s="145" t="n"/>
      <c r="M227" s="145" t="n"/>
      <c r="N227" s="145" t="n"/>
      <c r="O227" s="145" t="n"/>
      <c r="P227" s="145" t="n"/>
      <c r="Q227" s="145" t="n"/>
      <c r="R227" s="145" t="n"/>
      <c r="S227" s="145" t="n"/>
      <c r="T227" s="145" t="n"/>
      <c r="U227" s="145" t="n"/>
      <c r="V227" s="145" t="n"/>
      <c r="W227" s="145" t="n"/>
      <c r="X227" s="145" t="n"/>
      <c r="Y227" s="145" t="n"/>
      <c r="Z227" s="145" t="n"/>
    </row>
    <row r="228" ht="15.75" customHeight="1" s="311">
      <c r="A228" s="145" t="n"/>
      <c r="B228" s="145" t="n"/>
      <c r="C228" s="145" t="n"/>
      <c r="D228" s="145" t="n"/>
      <c r="E228" s="145" t="n"/>
      <c r="F228" s="145" t="n"/>
      <c r="G228" s="145" t="n"/>
      <c r="H228" s="145" t="n"/>
      <c r="I228" s="145" t="n"/>
      <c r="J228" s="145" t="n"/>
      <c r="K228" s="145" t="n"/>
      <c r="L228" s="145" t="n"/>
      <c r="M228" s="145" t="n"/>
      <c r="N228" s="145" t="n"/>
      <c r="O228" s="145" t="n"/>
      <c r="P228" s="145" t="n"/>
      <c r="Q228" s="145" t="n"/>
      <c r="R228" s="145" t="n"/>
      <c r="S228" s="145" t="n"/>
      <c r="T228" s="145" t="n"/>
      <c r="U228" s="145" t="n"/>
      <c r="V228" s="145" t="n"/>
      <c r="W228" s="145" t="n"/>
      <c r="X228" s="145" t="n"/>
      <c r="Y228" s="145" t="n"/>
      <c r="Z228" s="145" t="n"/>
    </row>
    <row r="229" ht="15.75" customHeight="1" s="311">
      <c r="A229" s="145" t="n"/>
      <c r="B229" s="145" t="n"/>
      <c r="C229" s="145" t="n"/>
      <c r="D229" s="145" t="n"/>
      <c r="E229" s="145" t="n"/>
      <c r="F229" s="145" t="n"/>
      <c r="G229" s="145" t="n"/>
      <c r="H229" s="145" t="n"/>
      <c r="I229" s="145" t="n"/>
      <c r="J229" s="145" t="n"/>
      <c r="K229" s="145" t="n"/>
      <c r="L229" s="145" t="n"/>
      <c r="M229" s="145" t="n"/>
      <c r="N229" s="145" t="n"/>
      <c r="O229" s="145" t="n"/>
      <c r="P229" s="145" t="n"/>
      <c r="Q229" s="145" t="n"/>
      <c r="R229" s="145" t="n"/>
      <c r="S229" s="145" t="n"/>
      <c r="T229" s="145" t="n"/>
      <c r="U229" s="145" t="n"/>
      <c r="V229" s="145" t="n"/>
      <c r="W229" s="145" t="n"/>
      <c r="X229" s="145" t="n"/>
      <c r="Y229" s="145" t="n"/>
      <c r="Z229" s="145" t="n"/>
    </row>
    <row r="230" ht="15.75" customHeight="1" s="311">
      <c r="A230" s="145" t="n"/>
      <c r="B230" s="145" t="n"/>
      <c r="C230" s="145" t="n"/>
      <c r="D230" s="145" t="n"/>
      <c r="E230" s="145" t="n"/>
      <c r="F230" s="145" t="n"/>
      <c r="G230" s="145" t="n"/>
      <c r="H230" s="145" t="n"/>
      <c r="I230" s="145" t="n"/>
      <c r="J230" s="145" t="n"/>
      <c r="K230" s="145" t="n"/>
      <c r="L230" s="145" t="n"/>
      <c r="M230" s="145" t="n"/>
      <c r="N230" s="145" t="n"/>
      <c r="O230" s="145" t="n"/>
      <c r="P230" s="145" t="n"/>
      <c r="Q230" s="145" t="n"/>
      <c r="R230" s="145" t="n"/>
      <c r="S230" s="145" t="n"/>
      <c r="T230" s="145" t="n"/>
      <c r="U230" s="145" t="n"/>
      <c r="V230" s="145" t="n"/>
      <c r="W230" s="145" t="n"/>
      <c r="X230" s="145" t="n"/>
      <c r="Y230" s="145" t="n"/>
      <c r="Z230" s="145" t="n"/>
    </row>
    <row r="231" ht="15.75" customHeight="1" s="311">
      <c r="A231" s="145" t="n"/>
      <c r="B231" s="145" t="n"/>
      <c r="C231" s="145" t="n"/>
      <c r="D231" s="145" t="n"/>
      <c r="E231" s="145" t="n"/>
      <c r="F231" s="145" t="n"/>
      <c r="G231" s="145" t="n"/>
      <c r="H231" s="145" t="n"/>
      <c r="I231" s="145" t="n"/>
      <c r="J231" s="145" t="n"/>
      <c r="K231" s="145" t="n"/>
      <c r="L231" s="145" t="n"/>
      <c r="M231" s="145" t="n"/>
      <c r="N231" s="145" t="n"/>
      <c r="O231" s="145" t="n"/>
      <c r="P231" s="145" t="n"/>
      <c r="Q231" s="145" t="n"/>
      <c r="R231" s="145" t="n"/>
      <c r="S231" s="145" t="n"/>
      <c r="T231" s="145" t="n"/>
      <c r="U231" s="145" t="n"/>
      <c r="V231" s="145" t="n"/>
      <c r="W231" s="145" t="n"/>
      <c r="X231" s="145" t="n"/>
      <c r="Y231" s="145" t="n"/>
      <c r="Z231" s="145" t="n"/>
    </row>
    <row r="232" ht="15.75" customHeight="1" s="311">
      <c r="A232" s="145" t="n"/>
      <c r="B232" s="145" t="n"/>
      <c r="C232" s="145" t="n"/>
      <c r="D232" s="145" t="n"/>
      <c r="E232" s="145" t="n"/>
      <c r="F232" s="145" t="n"/>
      <c r="G232" s="145" t="n"/>
      <c r="H232" s="145" t="n"/>
      <c r="I232" s="145" t="n"/>
      <c r="J232" s="145" t="n"/>
      <c r="K232" s="145" t="n"/>
      <c r="L232" s="145" t="n"/>
      <c r="M232" s="145" t="n"/>
      <c r="N232" s="145" t="n"/>
      <c r="O232" s="145" t="n"/>
      <c r="P232" s="145" t="n"/>
      <c r="Q232" s="145" t="n"/>
      <c r="R232" s="145" t="n"/>
      <c r="S232" s="145" t="n"/>
      <c r="T232" s="145" t="n"/>
      <c r="U232" s="145" t="n"/>
      <c r="V232" s="145" t="n"/>
      <c r="W232" s="145" t="n"/>
      <c r="X232" s="145" t="n"/>
      <c r="Y232" s="145" t="n"/>
      <c r="Z232" s="145" t="n"/>
    </row>
    <row r="233" ht="15.75" customHeight="1" s="311">
      <c r="A233" s="145" t="n"/>
      <c r="B233" s="145" t="n"/>
      <c r="C233" s="145" t="n"/>
      <c r="D233" s="145" t="n"/>
      <c r="E233" s="145" t="n"/>
      <c r="F233" s="145" t="n"/>
      <c r="G233" s="145" t="n"/>
      <c r="H233" s="145" t="n"/>
      <c r="I233" s="145" t="n"/>
      <c r="J233" s="145" t="n"/>
      <c r="K233" s="145" t="n"/>
      <c r="L233" s="145" t="n"/>
      <c r="M233" s="145" t="n"/>
      <c r="N233" s="145" t="n"/>
      <c r="O233" s="145" t="n"/>
      <c r="P233" s="145" t="n"/>
      <c r="Q233" s="145" t="n"/>
      <c r="R233" s="145" t="n"/>
      <c r="S233" s="145" t="n"/>
      <c r="T233" s="145" t="n"/>
      <c r="U233" s="145" t="n"/>
      <c r="V233" s="145" t="n"/>
      <c r="W233" s="145" t="n"/>
      <c r="X233" s="145" t="n"/>
      <c r="Y233" s="145" t="n"/>
      <c r="Z233" s="145" t="n"/>
    </row>
    <row r="234" ht="15.75" customHeight="1" s="311">
      <c r="A234" s="145" t="n"/>
      <c r="B234" s="145" t="n"/>
      <c r="C234" s="145" t="n"/>
      <c r="D234" s="145" t="n"/>
      <c r="E234" s="145" t="n"/>
      <c r="F234" s="145" t="n"/>
      <c r="G234" s="145" t="n"/>
      <c r="H234" s="145" t="n"/>
      <c r="I234" s="145" t="n"/>
      <c r="J234" s="145" t="n"/>
      <c r="K234" s="145" t="n"/>
      <c r="L234" s="145" t="n"/>
      <c r="M234" s="145" t="n"/>
      <c r="N234" s="145" t="n"/>
      <c r="O234" s="145" t="n"/>
      <c r="P234" s="145" t="n"/>
      <c r="Q234" s="145" t="n"/>
      <c r="R234" s="145" t="n"/>
      <c r="S234" s="145" t="n"/>
      <c r="T234" s="145" t="n"/>
      <c r="U234" s="145" t="n"/>
      <c r="V234" s="145" t="n"/>
      <c r="W234" s="145" t="n"/>
      <c r="X234" s="145" t="n"/>
      <c r="Y234" s="145" t="n"/>
      <c r="Z234" s="145" t="n"/>
    </row>
    <row r="235" ht="15.75" customHeight="1" s="311">
      <c r="A235" s="145" t="n"/>
      <c r="B235" s="145" t="n"/>
      <c r="C235" s="145" t="n"/>
      <c r="D235" s="145" t="n"/>
      <c r="E235" s="145" t="n"/>
      <c r="F235" s="145" t="n"/>
      <c r="G235" s="145" t="n"/>
      <c r="H235" s="145" t="n"/>
      <c r="I235" s="145" t="n"/>
      <c r="J235" s="145" t="n"/>
      <c r="K235" s="145" t="n"/>
      <c r="L235" s="145" t="n"/>
      <c r="M235" s="145" t="n"/>
      <c r="N235" s="145" t="n"/>
      <c r="O235" s="145" t="n"/>
      <c r="P235" s="145" t="n"/>
      <c r="Q235" s="145" t="n"/>
      <c r="R235" s="145" t="n"/>
      <c r="S235" s="145" t="n"/>
      <c r="T235" s="145" t="n"/>
      <c r="U235" s="145" t="n"/>
      <c r="V235" s="145" t="n"/>
      <c r="W235" s="145" t="n"/>
      <c r="X235" s="145" t="n"/>
      <c r="Y235" s="145" t="n"/>
      <c r="Z235" s="145" t="n"/>
    </row>
    <row r="236" ht="15.75" customHeight="1" s="311">
      <c r="A236" s="145" t="n"/>
      <c r="B236" s="145" t="n"/>
      <c r="C236" s="145" t="n"/>
      <c r="D236" s="145" t="n"/>
      <c r="E236" s="145" t="n"/>
      <c r="F236" s="145" t="n"/>
      <c r="G236" s="145" t="n"/>
      <c r="H236" s="145" t="n"/>
      <c r="I236" s="145" t="n"/>
      <c r="J236" s="145" t="n"/>
      <c r="K236" s="145" t="n"/>
      <c r="L236" s="145" t="n"/>
      <c r="M236" s="145" t="n"/>
      <c r="N236" s="145" t="n"/>
      <c r="O236" s="145" t="n"/>
      <c r="P236" s="145" t="n"/>
      <c r="Q236" s="145" t="n"/>
      <c r="R236" s="145" t="n"/>
      <c r="S236" s="145" t="n"/>
      <c r="T236" s="145" t="n"/>
      <c r="U236" s="145" t="n"/>
      <c r="V236" s="145" t="n"/>
      <c r="W236" s="145" t="n"/>
      <c r="X236" s="145" t="n"/>
      <c r="Y236" s="145" t="n"/>
      <c r="Z236" s="145" t="n"/>
    </row>
    <row r="237" ht="15.75" customHeight="1" s="311">
      <c r="A237" s="145" t="n"/>
      <c r="B237" s="145" t="n"/>
      <c r="C237" s="145" t="n"/>
      <c r="D237" s="145" t="n"/>
      <c r="E237" s="145" t="n"/>
      <c r="F237" s="145" t="n"/>
      <c r="G237" s="145" t="n"/>
      <c r="H237" s="145" t="n"/>
      <c r="I237" s="145" t="n"/>
      <c r="J237" s="145" t="n"/>
      <c r="K237" s="145" t="n"/>
      <c r="L237" s="145" t="n"/>
      <c r="M237" s="145" t="n"/>
      <c r="N237" s="145" t="n"/>
      <c r="O237" s="145" t="n"/>
      <c r="P237" s="145" t="n"/>
      <c r="Q237" s="145" t="n"/>
      <c r="R237" s="145" t="n"/>
      <c r="S237" s="145" t="n"/>
      <c r="T237" s="145" t="n"/>
      <c r="U237" s="145" t="n"/>
      <c r="V237" s="145" t="n"/>
      <c r="W237" s="145" t="n"/>
      <c r="X237" s="145" t="n"/>
      <c r="Y237" s="145" t="n"/>
      <c r="Z237" s="145" t="n"/>
    </row>
    <row r="238" ht="15.75" customHeight="1" s="311">
      <c r="A238" s="145" t="n"/>
      <c r="B238" s="145" t="n"/>
      <c r="C238" s="145" t="n"/>
      <c r="D238" s="145" t="n"/>
      <c r="E238" s="145" t="n"/>
      <c r="F238" s="145" t="n"/>
      <c r="G238" s="145" t="n"/>
      <c r="H238" s="145" t="n"/>
      <c r="I238" s="145" t="n"/>
      <c r="J238" s="145" t="n"/>
      <c r="K238" s="145" t="n"/>
      <c r="L238" s="145" t="n"/>
      <c r="M238" s="145" t="n"/>
      <c r="N238" s="145" t="n"/>
      <c r="O238" s="145" t="n"/>
      <c r="P238" s="145" t="n"/>
      <c r="Q238" s="145" t="n"/>
      <c r="R238" s="145" t="n"/>
      <c r="S238" s="145" t="n"/>
      <c r="T238" s="145" t="n"/>
      <c r="U238" s="145" t="n"/>
      <c r="V238" s="145" t="n"/>
      <c r="W238" s="145" t="n"/>
      <c r="X238" s="145" t="n"/>
      <c r="Y238" s="145" t="n"/>
      <c r="Z238" s="145" t="n"/>
    </row>
    <row r="239" ht="15.75" customHeight="1" s="311">
      <c r="A239" s="145" t="n"/>
      <c r="B239" s="145" t="n"/>
      <c r="C239" s="145" t="n"/>
      <c r="D239" s="145" t="n"/>
      <c r="E239" s="145" t="n"/>
      <c r="F239" s="145" t="n"/>
      <c r="G239" s="145" t="n"/>
      <c r="H239" s="145" t="n"/>
      <c r="I239" s="145" t="n"/>
      <c r="J239" s="145" t="n"/>
      <c r="K239" s="145" t="n"/>
      <c r="L239" s="145" t="n"/>
      <c r="M239" s="145" t="n"/>
      <c r="N239" s="145" t="n"/>
      <c r="O239" s="145" t="n"/>
      <c r="P239" s="145" t="n"/>
      <c r="Q239" s="145" t="n"/>
      <c r="R239" s="145" t="n"/>
      <c r="S239" s="145" t="n"/>
      <c r="T239" s="145" t="n"/>
      <c r="U239" s="145" t="n"/>
      <c r="V239" s="145" t="n"/>
      <c r="W239" s="145" t="n"/>
      <c r="X239" s="145" t="n"/>
      <c r="Y239" s="145" t="n"/>
      <c r="Z239" s="145" t="n"/>
    </row>
    <row r="240" ht="15.75" customHeight="1" s="311">
      <c r="A240" s="145" t="n"/>
      <c r="B240" s="145" t="n"/>
      <c r="C240" s="145" t="n"/>
      <c r="D240" s="145" t="n"/>
      <c r="E240" s="145" t="n"/>
      <c r="F240" s="145" t="n"/>
      <c r="G240" s="145" t="n"/>
      <c r="H240" s="145" t="n"/>
      <c r="I240" s="145" t="n"/>
      <c r="J240" s="145" t="n"/>
      <c r="K240" s="145" t="n"/>
      <c r="L240" s="145" t="n"/>
      <c r="M240" s="145" t="n"/>
      <c r="N240" s="145" t="n"/>
      <c r="O240" s="145" t="n"/>
      <c r="P240" s="145" t="n"/>
      <c r="Q240" s="145" t="n"/>
      <c r="R240" s="145" t="n"/>
      <c r="S240" s="145" t="n"/>
      <c r="T240" s="145" t="n"/>
      <c r="U240" s="145" t="n"/>
      <c r="V240" s="145" t="n"/>
      <c r="W240" s="145" t="n"/>
      <c r="X240" s="145" t="n"/>
      <c r="Y240" s="145" t="n"/>
      <c r="Z240" s="145" t="n"/>
    </row>
    <row r="241" ht="15.75" customHeight="1" s="311">
      <c r="A241" s="145" t="n"/>
      <c r="B241" s="145" t="n"/>
      <c r="C241" s="145" t="n"/>
      <c r="D241" s="145" t="n"/>
      <c r="E241" s="145" t="n"/>
      <c r="F241" s="145" t="n"/>
      <c r="G241" s="145" t="n"/>
      <c r="H241" s="145" t="n"/>
      <c r="I241" s="145" t="n"/>
      <c r="J241" s="145" t="n"/>
      <c r="K241" s="145" t="n"/>
      <c r="L241" s="145" t="n"/>
      <c r="M241" s="145" t="n"/>
      <c r="N241" s="145" t="n"/>
      <c r="O241" s="145" t="n"/>
      <c r="P241" s="145" t="n"/>
      <c r="Q241" s="145" t="n"/>
      <c r="R241" s="145" t="n"/>
      <c r="S241" s="145" t="n"/>
      <c r="T241" s="145" t="n"/>
      <c r="U241" s="145" t="n"/>
      <c r="V241" s="145" t="n"/>
      <c r="W241" s="145" t="n"/>
      <c r="X241" s="145" t="n"/>
      <c r="Y241" s="145" t="n"/>
      <c r="Z241" s="145" t="n"/>
    </row>
    <row r="242" ht="15.75" customHeight="1" s="311">
      <c r="A242" s="145" t="n"/>
      <c r="B242" s="145" t="n"/>
      <c r="C242" s="145" t="n"/>
      <c r="D242" s="145" t="n"/>
      <c r="E242" s="145" t="n"/>
      <c r="F242" s="145" t="n"/>
      <c r="G242" s="145" t="n"/>
      <c r="H242" s="145" t="n"/>
      <c r="I242" s="145" t="n"/>
      <c r="J242" s="145" t="n"/>
      <c r="K242" s="145" t="n"/>
      <c r="L242" s="145" t="n"/>
      <c r="M242" s="145" t="n"/>
      <c r="N242" s="145" t="n"/>
      <c r="O242" s="145" t="n"/>
      <c r="P242" s="145" t="n"/>
      <c r="Q242" s="145" t="n"/>
      <c r="R242" s="145" t="n"/>
      <c r="S242" s="145" t="n"/>
      <c r="T242" s="145" t="n"/>
      <c r="U242" s="145" t="n"/>
      <c r="V242" s="145" t="n"/>
      <c r="W242" s="145" t="n"/>
      <c r="X242" s="145" t="n"/>
      <c r="Y242" s="145" t="n"/>
      <c r="Z242" s="145" t="n"/>
    </row>
    <row r="243" ht="15.75" customHeight="1" s="311">
      <c r="A243" s="145" t="n"/>
      <c r="B243" s="145" t="n"/>
      <c r="C243" s="145" t="n"/>
      <c r="D243" s="145" t="n"/>
      <c r="E243" s="145" t="n"/>
      <c r="F243" s="145" t="n"/>
      <c r="G243" s="145" t="n"/>
      <c r="H243" s="145" t="n"/>
      <c r="I243" s="145" t="n"/>
      <c r="J243" s="145" t="n"/>
      <c r="K243" s="145" t="n"/>
      <c r="L243" s="145" t="n"/>
      <c r="M243" s="145" t="n"/>
      <c r="N243" s="145" t="n"/>
      <c r="O243" s="145" t="n"/>
      <c r="P243" s="145" t="n"/>
      <c r="Q243" s="145" t="n"/>
      <c r="R243" s="145" t="n"/>
      <c r="S243" s="145" t="n"/>
      <c r="T243" s="145" t="n"/>
      <c r="U243" s="145" t="n"/>
      <c r="V243" s="145" t="n"/>
      <c r="W243" s="145" t="n"/>
      <c r="X243" s="145" t="n"/>
      <c r="Y243" s="145" t="n"/>
      <c r="Z243" s="145" t="n"/>
    </row>
    <row r="244" ht="15.75" customHeight="1" s="311">
      <c r="A244" s="145" t="n"/>
      <c r="B244" s="145" t="n"/>
      <c r="C244" s="145" t="n"/>
      <c r="D244" s="145" t="n"/>
      <c r="E244" s="145" t="n"/>
      <c r="F244" s="145" t="n"/>
      <c r="G244" s="145" t="n"/>
      <c r="H244" s="145" t="n"/>
      <c r="I244" s="145" t="n"/>
      <c r="J244" s="145" t="n"/>
      <c r="K244" s="145" t="n"/>
      <c r="L244" s="145" t="n"/>
      <c r="M244" s="145" t="n"/>
      <c r="N244" s="145" t="n"/>
      <c r="O244" s="145" t="n"/>
      <c r="P244" s="145" t="n"/>
      <c r="Q244" s="145" t="n"/>
      <c r="R244" s="145" t="n"/>
      <c r="S244" s="145" t="n"/>
      <c r="T244" s="145" t="n"/>
      <c r="U244" s="145" t="n"/>
      <c r="V244" s="145" t="n"/>
      <c r="W244" s="145" t="n"/>
      <c r="X244" s="145" t="n"/>
      <c r="Y244" s="145" t="n"/>
      <c r="Z244" s="145" t="n"/>
    </row>
    <row r="245" ht="15.75" customHeight="1" s="311">
      <c r="A245" s="145" t="n"/>
      <c r="B245" s="145" t="n"/>
      <c r="C245" s="145" t="n"/>
      <c r="D245" s="145" t="n"/>
      <c r="E245" s="145" t="n"/>
      <c r="F245" s="145" t="n"/>
      <c r="G245" s="145" t="n"/>
      <c r="H245" s="145" t="n"/>
      <c r="I245" s="145" t="n"/>
      <c r="J245" s="145" t="n"/>
      <c r="K245" s="145" t="n"/>
      <c r="L245" s="145" t="n"/>
      <c r="M245" s="145" t="n"/>
      <c r="N245" s="145" t="n"/>
      <c r="O245" s="145" t="n"/>
      <c r="P245" s="145" t="n"/>
      <c r="Q245" s="145" t="n"/>
      <c r="R245" s="145" t="n"/>
      <c r="S245" s="145" t="n"/>
      <c r="T245" s="145" t="n"/>
      <c r="U245" s="145" t="n"/>
      <c r="V245" s="145" t="n"/>
      <c r="W245" s="145" t="n"/>
      <c r="X245" s="145" t="n"/>
      <c r="Y245" s="145" t="n"/>
      <c r="Z245" s="145" t="n"/>
    </row>
    <row r="246" ht="15.75" customHeight="1" s="311">
      <c r="A246" s="145" t="n"/>
      <c r="B246" s="145" t="n"/>
      <c r="C246" s="145" t="n"/>
      <c r="D246" s="145" t="n"/>
      <c r="E246" s="145" t="n"/>
      <c r="F246" s="145" t="n"/>
      <c r="G246" s="145" t="n"/>
      <c r="H246" s="145" t="n"/>
      <c r="I246" s="145" t="n"/>
      <c r="J246" s="145" t="n"/>
      <c r="K246" s="145" t="n"/>
      <c r="L246" s="145" t="n"/>
      <c r="M246" s="145" t="n"/>
      <c r="N246" s="145" t="n"/>
      <c r="O246" s="145" t="n"/>
      <c r="P246" s="145" t="n"/>
      <c r="Q246" s="145" t="n"/>
      <c r="R246" s="145" t="n"/>
      <c r="S246" s="145" t="n"/>
      <c r="T246" s="145" t="n"/>
      <c r="U246" s="145" t="n"/>
      <c r="V246" s="145" t="n"/>
      <c r="W246" s="145" t="n"/>
      <c r="X246" s="145" t="n"/>
      <c r="Y246" s="145" t="n"/>
      <c r="Z246" s="145" t="n"/>
    </row>
    <row r="247" ht="15.75" customHeight="1" s="311">
      <c r="A247" s="145" t="n"/>
      <c r="B247" s="145" t="n"/>
      <c r="C247" s="145" t="n"/>
      <c r="D247" s="145" t="n"/>
      <c r="E247" s="145" t="n"/>
      <c r="F247" s="145" t="n"/>
      <c r="G247" s="145" t="n"/>
      <c r="H247" s="145" t="n"/>
      <c r="I247" s="145" t="n"/>
      <c r="J247" s="145" t="n"/>
      <c r="K247" s="145" t="n"/>
      <c r="L247" s="145" t="n"/>
      <c r="M247" s="145" t="n"/>
      <c r="N247" s="145" t="n"/>
      <c r="O247" s="145" t="n"/>
      <c r="P247" s="145" t="n"/>
      <c r="Q247" s="145" t="n"/>
      <c r="R247" s="145" t="n"/>
      <c r="S247" s="145" t="n"/>
      <c r="T247" s="145" t="n"/>
      <c r="U247" s="145" t="n"/>
      <c r="V247" s="145" t="n"/>
      <c r="W247" s="145" t="n"/>
      <c r="X247" s="145" t="n"/>
      <c r="Y247" s="145" t="n"/>
      <c r="Z247" s="145" t="n"/>
    </row>
    <row r="248" ht="15.75" customHeight="1" s="311">
      <c r="A248" s="145" t="n"/>
      <c r="B248" s="145" t="n"/>
      <c r="C248" s="145" t="n"/>
      <c r="D248" s="145" t="n"/>
      <c r="E248" s="145" t="n"/>
      <c r="F248" s="145" t="n"/>
      <c r="G248" s="145" t="n"/>
      <c r="H248" s="145" t="n"/>
      <c r="I248" s="145" t="n"/>
      <c r="J248" s="145" t="n"/>
      <c r="K248" s="145" t="n"/>
      <c r="L248" s="145" t="n"/>
      <c r="M248" s="145" t="n"/>
      <c r="N248" s="145" t="n"/>
      <c r="O248" s="145" t="n"/>
      <c r="P248" s="145" t="n"/>
      <c r="Q248" s="145" t="n"/>
      <c r="R248" s="145" t="n"/>
      <c r="S248" s="145" t="n"/>
      <c r="T248" s="145" t="n"/>
      <c r="U248" s="145" t="n"/>
      <c r="V248" s="145" t="n"/>
      <c r="W248" s="145" t="n"/>
      <c r="X248" s="145" t="n"/>
      <c r="Y248" s="145" t="n"/>
      <c r="Z248" s="145" t="n"/>
    </row>
    <row r="249" ht="15.75" customHeight="1" s="311">
      <c r="A249" s="145" t="n"/>
      <c r="B249" s="145" t="n"/>
      <c r="C249" s="145" t="n"/>
      <c r="D249" s="145" t="n"/>
      <c r="E249" s="145" t="n"/>
      <c r="F249" s="145" t="n"/>
      <c r="G249" s="145" t="n"/>
      <c r="H249" s="145" t="n"/>
      <c r="I249" s="145" t="n"/>
      <c r="J249" s="145" t="n"/>
      <c r="K249" s="145" t="n"/>
      <c r="L249" s="145" t="n"/>
      <c r="M249" s="145" t="n"/>
      <c r="N249" s="145" t="n"/>
      <c r="O249" s="145" t="n"/>
      <c r="P249" s="145" t="n"/>
      <c r="Q249" s="145" t="n"/>
      <c r="R249" s="145" t="n"/>
      <c r="S249" s="145" t="n"/>
      <c r="T249" s="145" t="n"/>
      <c r="U249" s="145" t="n"/>
      <c r="V249" s="145" t="n"/>
      <c r="W249" s="145" t="n"/>
      <c r="X249" s="145" t="n"/>
      <c r="Y249" s="145" t="n"/>
      <c r="Z249" s="145" t="n"/>
    </row>
    <row r="250" ht="15.75" customHeight="1" s="311">
      <c r="A250" s="145" t="n"/>
      <c r="B250" s="145" t="n"/>
      <c r="C250" s="145" t="n"/>
      <c r="D250" s="145" t="n"/>
      <c r="E250" s="145" t="n"/>
      <c r="F250" s="145" t="n"/>
      <c r="G250" s="145" t="n"/>
      <c r="H250" s="145" t="n"/>
      <c r="I250" s="145" t="n"/>
      <c r="J250" s="145" t="n"/>
      <c r="K250" s="145" t="n"/>
      <c r="L250" s="145" t="n"/>
      <c r="M250" s="145" t="n"/>
      <c r="N250" s="145" t="n"/>
      <c r="O250" s="145" t="n"/>
      <c r="P250" s="145" t="n"/>
      <c r="Q250" s="145" t="n"/>
      <c r="R250" s="145" t="n"/>
      <c r="S250" s="145" t="n"/>
      <c r="T250" s="145" t="n"/>
      <c r="U250" s="145" t="n"/>
      <c r="V250" s="145" t="n"/>
      <c r="W250" s="145" t="n"/>
      <c r="X250" s="145" t="n"/>
      <c r="Y250" s="145" t="n"/>
      <c r="Z250" s="145" t="n"/>
    </row>
    <row r="251" ht="15.75" customHeight="1" s="311">
      <c r="A251" s="145" t="n"/>
      <c r="B251" s="145" t="n"/>
      <c r="C251" s="145" t="n"/>
      <c r="D251" s="145" t="n"/>
      <c r="E251" s="145" t="n"/>
      <c r="F251" s="145" t="n"/>
      <c r="G251" s="145" t="n"/>
      <c r="H251" s="145" t="n"/>
      <c r="I251" s="145" t="n"/>
      <c r="J251" s="145" t="n"/>
      <c r="K251" s="145" t="n"/>
      <c r="L251" s="145" t="n"/>
      <c r="M251" s="145" t="n"/>
      <c r="N251" s="145" t="n"/>
      <c r="O251" s="145" t="n"/>
      <c r="P251" s="145" t="n"/>
      <c r="Q251" s="145" t="n"/>
      <c r="R251" s="145" t="n"/>
      <c r="S251" s="145" t="n"/>
      <c r="T251" s="145" t="n"/>
      <c r="U251" s="145" t="n"/>
      <c r="V251" s="145" t="n"/>
      <c r="W251" s="145" t="n"/>
      <c r="X251" s="145" t="n"/>
      <c r="Y251" s="145" t="n"/>
      <c r="Z251" s="145" t="n"/>
    </row>
    <row r="252" ht="15.75" customHeight="1" s="311">
      <c r="A252" s="145" t="n"/>
      <c r="B252" s="145" t="n"/>
      <c r="C252" s="145" t="n"/>
      <c r="D252" s="145" t="n"/>
      <c r="E252" s="145" t="n"/>
      <c r="F252" s="145" t="n"/>
      <c r="G252" s="145" t="n"/>
      <c r="H252" s="145" t="n"/>
      <c r="I252" s="145" t="n"/>
      <c r="J252" s="145" t="n"/>
      <c r="K252" s="145" t="n"/>
      <c r="L252" s="145" t="n"/>
      <c r="M252" s="145" t="n"/>
      <c r="N252" s="145" t="n"/>
      <c r="O252" s="145" t="n"/>
      <c r="P252" s="145" t="n"/>
      <c r="Q252" s="145" t="n"/>
      <c r="R252" s="145" t="n"/>
      <c r="S252" s="145" t="n"/>
      <c r="T252" s="145" t="n"/>
      <c r="U252" s="145" t="n"/>
      <c r="V252" s="145" t="n"/>
      <c r="W252" s="145" t="n"/>
      <c r="X252" s="145" t="n"/>
      <c r="Y252" s="145" t="n"/>
      <c r="Z252" s="145" t="n"/>
    </row>
    <row r="253" ht="15.75" customHeight="1" s="311">
      <c r="A253" s="145" t="n"/>
      <c r="B253" s="145" t="n"/>
      <c r="C253" s="145" t="n"/>
      <c r="D253" s="145" t="n"/>
      <c r="E253" s="145" t="n"/>
      <c r="F253" s="145" t="n"/>
      <c r="G253" s="145" t="n"/>
      <c r="H253" s="145" t="n"/>
      <c r="I253" s="145" t="n"/>
      <c r="J253" s="145" t="n"/>
      <c r="K253" s="145" t="n"/>
      <c r="L253" s="145" t="n"/>
      <c r="M253" s="145" t="n"/>
      <c r="N253" s="145" t="n"/>
      <c r="O253" s="145" t="n"/>
      <c r="P253" s="145" t="n"/>
      <c r="Q253" s="145" t="n"/>
      <c r="R253" s="145" t="n"/>
      <c r="S253" s="145" t="n"/>
      <c r="T253" s="145" t="n"/>
      <c r="U253" s="145" t="n"/>
      <c r="V253" s="145" t="n"/>
      <c r="W253" s="145" t="n"/>
      <c r="X253" s="145" t="n"/>
      <c r="Y253" s="145" t="n"/>
      <c r="Z253" s="145" t="n"/>
    </row>
    <row r="254" ht="15.75" customHeight="1" s="311">
      <c r="A254" s="145" t="n"/>
      <c r="B254" s="145" t="n"/>
      <c r="C254" s="145" t="n"/>
      <c r="D254" s="145" t="n"/>
      <c r="E254" s="145" t="n"/>
      <c r="F254" s="145" t="n"/>
      <c r="G254" s="145" t="n"/>
      <c r="H254" s="145" t="n"/>
      <c r="I254" s="145" t="n"/>
      <c r="J254" s="145" t="n"/>
      <c r="K254" s="145" t="n"/>
      <c r="L254" s="145" t="n"/>
      <c r="M254" s="145" t="n"/>
      <c r="N254" s="145" t="n"/>
      <c r="O254" s="145" t="n"/>
      <c r="P254" s="145" t="n"/>
      <c r="Q254" s="145" t="n"/>
      <c r="R254" s="145" t="n"/>
      <c r="S254" s="145" t="n"/>
      <c r="T254" s="145" t="n"/>
      <c r="U254" s="145" t="n"/>
      <c r="V254" s="145" t="n"/>
      <c r="W254" s="145" t="n"/>
      <c r="X254" s="145" t="n"/>
      <c r="Y254" s="145" t="n"/>
      <c r="Z254" s="145" t="n"/>
    </row>
    <row r="255" ht="15.75" customHeight="1" s="311">
      <c r="A255" s="145" t="n"/>
      <c r="B255" s="145" t="n"/>
      <c r="C255" s="145" t="n"/>
      <c r="D255" s="145" t="n"/>
      <c r="E255" s="145" t="n"/>
      <c r="F255" s="145" t="n"/>
      <c r="G255" s="145" t="n"/>
      <c r="H255" s="145" t="n"/>
      <c r="I255" s="145" t="n"/>
      <c r="J255" s="145" t="n"/>
      <c r="K255" s="145" t="n"/>
      <c r="L255" s="145" t="n"/>
      <c r="M255" s="145" t="n"/>
      <c r="N255" s="145" t="n"/>
      <c r="O255" s="145" t="n"/>
      <c r="P255" s="145" t="n"/>
      <c r="Q255" s="145" t="n"/>
      <c r="R255" s="145" t="n"/>
      <c r="S255" s="145" t="n"/>
      <c r="T255" s="145" t="n"/>
      <c r="U255" s="145" t="n"/>
      <c r="V255" s="145" t="n"/>
      <c r="W255" s="145" t="n"/>
      <c r="X255" s="145" t="n"/>
      <c r="Y255" s="145" t="n"/>
      <c r="Z255" s="145" t="n"/>
    </row>
    <row r="256" ht="15.75" customHeight="1" s="311">
      <c r="A256" s="145" t="n"/>
      <c r="B256" s="145" t="n"/>
      <c r="C256" s="145" t="n"/>
      <c r="D256" s="145" t="n"/>
      <c r="E256" s="145" t="n"/>
      <c r="F256" s="145" t="n"/>
      <c r="G256" s="145" t="n"/>
      <c r="H256" s="145" t="n"/>
      <c r="I256" s="145" t="n"/>
      <c r="J256" s="145" t="n"/>
      <c r="K256" s="145" t="n"/>
      <c r="L256" s="145" t="n"/>
      <c r="M256" s="145" t="n"/>
      <c r="N256" s="145" t="n"/>
      <c r="O256" s="145" t="n"/>
      <c r="P256" s="145" t="n"/>
      <c r="Q256" s="145" t="n"/>
      <c r="R256" s="145" t="n"/>
      <c r="S256" s="145" t="n"/>
      <c r="T256" s="145" t="n"/>
      <c r="U256" s="145" t="n"/>
      <c r="V256" s="145" t="n"/>
      <c r="W256" s="145" t="n"/>
      <c r="X256" s="145" t="n"/>
      <c r="Y256" s="145" t="n"/>
      <c r="Z256" s="145" t="n"/>
    </row>
    <row r="257" ht="15.75" customHeight="1" s="311">
      <c r="A257" s="145" t="n"/>
      <c r="B257" s="145" t="n"/>
      <c r="C257" s="145" t="n"/>
      <c r="D257" s="145" t="n"/>
      <c r="E257" s="145" t="n"/>
      <c r="F257" s="145" t="n"/>
      <c r="G257" s="145" t="n"/>
      <c r="H257" s="145" t="n"/>
      <c r="I257" s="145" t="n"/>
      <c r="J257" s="145" t="n"/>
      <c r="K257" s="145" t="n"/>
      <c r="L257" s="145" t="n"/>
      <c r="M257" s="145" t="n"/>
      <c r="N257" s="145" t="n"/>
      <c r="O257" s="145" t="n"/>
      <c r="P257" s="145" t="n"/>
      <c r="Q257" s="145" t="n"/>
      <c r="R257" s="145" t="n"/>
      <c r="S257" s="145" t="n"/>
      <c r="T257" s="145" t="n"/>
      <c r="U257" s="145" t="n"/>
      <c r="V257" s="145" t="n"/>
      <c r="W257" s="145" t="n"/>
      <c r="X257" s="145" t="n"/>
      <c r="Y257" s="145" t="n"/>
      <c r="Z257" s="145" t="n"/>
    </row>
    <row r="258" ht="15.75" customHeight="1" s="311">
      <c r="A258" s="145" t="n"/>
      <c r="B258" s="145" t="n"/>
      <c r="C258" s="145" t="n"/>
      <c r="D258" s="145" t="n"/>
      <c r="E258" s="145" t="n"/>
      <c r="F258" s="145" t="n"/>
      <c r="G258" s="145" t="n"/>
      <c r="H258" s="145" t="n"/>
      <c r="I258" s="145" t="n"/>
      <c r="J258" s="145" t="n"/>
      <c r="K258" s="145" t="n"/>
      <c r="L258" s="145" t="n"/>
      <c r="M258" s="145" t="n"/>
      <c r="N258" s="145" t="n"/>
      <c r="O258" s="145" t="n"/>
      <c r="P258" s="145" t="n"/>
      <c r="Q258" s="145" t="n"/>
      <c r="R258" s="145" t="n"/>
      <c r="S258" s="145" t="n"/>
      <c r="T258" s="145" t="n"/>
      <c r="U258" s="145" t="n"/>
      <c r="V258" s="145" t="n"/>
      <c r="W258" s="145" t="n"/>
      <c r="X258" s="145" t="n"/>
      <c r="Y258" s="145" t="n"/>
      <c r="Z258" s="145" t="n"/>
    </row>
    <row r="259" ht="15.75" customHeight="1" s="311">
      <c r="A259" s="145" t="n"/>
      <c r="B259" s="145" t="n"/>
      <c r="C259" s="145" t="n"/>
      <c r="D259" s="145" t="n"/>
      <c r="E259" s="145" t="n"/>
      <c r="F259" s="145" t="n"/>
      <c r="G259" s="145" t="n"/>
      <c r="H259" s="145" t="n"/>
      <c r="I259" s="145" t="n"/>
      <c r="J259" s="145" t="n"/>
      <c r="K259" s="145" t="n"/>
      <c r="L259" s="145" t="n"/>
      <c r="M259" s="145" t="n"/>
      <c r="N259" s="145" t="n"/>
      <c r="O259" s="145" t="n"/>
      <c r="P259" s="145" t="n"/>
      <c r="Q259" s="145" t="n"/>
      <c r="R259" s="145" t="n"/>
      <c r="S259" s="145" t="n"/>
      <c r="T259" s="145" t="n"/>
      <c r="U259" s="145" t="n"/>
      <c r="V259" s="145" t="n"/>
      <c r="W259" s="145" t="n"/>
      <c r="X259" s="145" t="n"/>
      <c r="Y259" s="145" t="n"/>
      <c r="Z259" s="145" t="n"/>
    </row>
    <row r="260" ht="15.75" customHeight="1" s="311">
      <c r="A260" s="145" t="n"/>
      <c r="B260" s="145" t="n"/>
      <c r="C260" s="145" t="n"/>
      <c r="D260" s="145" t="n"/>
      <c r="E260" s="145" t="n"/>
      <c r="F260" s="145" t="n"/>
      <c r="G260" s="145" t="n"/>
      <c r="H260" s="145" t="n"/>
      <c r="I260" s="145" t="n"/>
      <c r="J260" s="145" t="n"/>
      <c r="K260" s="145" t="n"/>
      <c r="L260" s="145" t="n"/>
      <c r="M260" s="145" t="n"/>
      <c r="N260" s="145" t="n"/>
      <c r="O260" s="145" t="n"/>
      <c r="P260" s="145" t="n"/>
      <c r="Q260" s="145" t="n"/>
      <c r="R260" s="145" t="n"/>
      <c r="S260" s="145" t="n"/>
      <c r="T260" s="145" t="n"/>
      <c r="U260" s="145" t="n"/>
      <c r="V260" s="145" t="n"/>
      <c r="W260" s="145" t="n"/>
      <c r="X260" s="145" t="n"/>
      <c r="Y260" s="145" t="n"/>
      <c r="Z260" s="145" t="n"/>
    </row>
    <row r="261" ht="15.75" customHeight="1" s="311">
      <c r="A261" s="145" t="n"/>
      <c r="B261" s="145" t="n"/>
      <c r="C261" s="145" t="n"/>
      <c r="D261" s="145" t="n"/>
      <c r="E261" s="145" t="n"/>
      <c r="F261" s="145" t="n"/>
      <c r="G261" s="145" t="n"/>
      <c r="H261" s="145" t="n"/>
      <c r="I261" s="145" t="n"/>
      <c r="J261" s="145" t="n"/>
      <c r="K261" s="145" t="n"/>
      <c r="L261" s="145" t="n"/>
      <c r="M261" s="145" t="n"/>
      <c r="N261" s="145" t="n"/>
      <c r="O261" s="145" t="n"/>
      <c r="P261" s="145" t="n"/>
      <c r="Q261" s="145" t="n"/>
      <c r="R261" s="145" t="n"/>
      <c r="S261" s="145" t="n"/>
      <c r="T261" s="145" t="n"/>
      <c r="U261" s="145" t="n"/>
      <c r="V261" s="145" t="n"/>
      <c r="W261" s="145" t="n"/>
      <c r="X261" s="145" t="n"/>
      <c r="Y261" s="145" t="n"/>
      <c r="Z261" s="145" t="n"/>
    </row>
    <row r="262" ht="15.75" customHeight="1" s="311">
      <c r="A262" s="145" t="n"/>
      <c r="B262" s="145" t="n"/>
      <c r="C262" s="145" t="n"/>
      <c r="D262" s="145" t="n"/>
      <c r="E262" s="145" t="n"/>
      <c r="F262" s="145" t="n"/>
      <c r="G262" s="145" t="n"/>
      <c r="H262" s="145" t="n"/>
      <c r="I262" s="145" t="n"/>
      <c r="J262" s="145" t="n"/>
      <c r="K262" s="145" t="n"/>
      <c r="L262" s="145" t="n"/>
      <c r="M262" s="145" t="n"/>
      <c r="N262" s="145" t="n"/>
      <c r="O262" s="145" t="n"/>
      <c r="P262" s="145" t="n"/>
      <c r="Q262" s="145" t="n"/>
      <c r="R262" s="145" t="n"/>
      <c r="S262" s="145" t="n"/>
      <c r="T262" s="145" t="n"/>
      <c r="U262" s="145" t="n"/>
      <c r="V262" s="145" t="n"/>
      <c r="W262" s="145" t="n"/>
      <c r="X262" s="145" t="n"/>
      <c r="Y262" s="145" t="n"/>
      <c r="Z262" s="145" t="n"/>
    </row>
    <row r="263" ht="15.75" customHeight="1" s="311">
      <c r="A263" s="145" t="n"/>
      <c r="B263" s="145" t="n"/>
      <c r="C263" s="145" t="n"/>
      <c r="D263" s="145" t="n"/>
      <c r="E263" s="145" t="n"/>
      <c r="F263" s="145" t="n"/>
      <c r="G263" s="145" t="n"/>
      <c r="H263" s="145" t="n"/>
      <c r="I263" s="145" t="n"/>
      <c r="J263" s="145" t="n"/>
      <c r="K263" s="145" t="n"/>
      <c r="L263" s="145" t="n"/>
      <c r="M263" s="145" t="n"/>
      <c r="N263" s="145" t="n"/>
      <c r="O263" s="145" t="n"/>
      <c r="P263" s="145" t="n"/>
      <c r="Q263" s="145" t="n"/>
      <c r="R263" s="145" t="n"/>
      <c r="S263" s="145" t="n"/>
      <c r="T263" s="145" t="n"/>
      <c r="U263" s="145" t="n"/>
      <c r="V263" s="145" t="n"/>
      <c r="W263" s="145" t="n"/>
      <c r="X263" s="145" t="n"/>
      <c r="Y263" s="145" t="n"/>
      <c r="Z263" s="145" t="n"/>
    </row>
    <row r="264" ht="15.75" customHeight="1" s="311">
      <c r="A264" s="145" t="n"/>
      <c r="B264" s="145" t="n"/>
      <c r="C264" s="145" t="n"/>
      <c r="D264" s="145" t="n"/>
      <c r="E264" s="145" t="n"/>
      <c r="F264" s="145" t="n"/>
      <c r="G264" s="145" t="n"/>
      <c r="H264" s="145" t="n"/>
      <c r="I264" s="145" t="n"/>
      <c r="J264" s="145" t="n"/>
      <c r="K264" s="145" t="n"/>
      <c r="L264" s="145" t="n"/>
      <c r="M264" s="145" t="n"/>
      <c r="N264" s="145" t="n"/>
      <c r="O264" s="145" t="n"/>
      <c r="P264" s="145" t="n"/>
      <c r="Q264" s="145" t="n"/>
      <c r="R264" s="145" t="n"/>
      <c r="S264" s="145" t="n"/>
      <c r="T264" s="145" t="n"/>
      <c r="U264" s="145" t="n"/>
      <c r="V264" s="145" t="n"/>
      <c r="W264" s="145" t="n"/>
      <c r="X264" s="145" t="n"/>
      <c r="Y264" s="145" t="n"/>
      <c r="Z264" s="145" t="n"/>
    </row>
    <row r="265" ht="15.75" customHeight="1" s="311">
      <c r="A265" s="145" t="n"/>
      <c r="B265" s="145" t="n"/>
      <c r="C265" s="145" t="n"/>
      <c r="D265" s="145" t="n"/>
      <c r="E265" s="145" t="n"/>
      <c r="F265" s="145" t="n"/>
      <c r="G265" s="145" t="n"/>
      <c r="H265" s="145" t="n"/>
      <c r="I265" s="145" t="n"/>
      <c r="J265" s="145" t="n"/>
      <c r="K265" s="145" t="n"/>
      <c r="L265" s="145" t="n"/>
      <c r="M265" s="145" t="n"/>
      <c r="N265" s="145" t="n"/>
      <c r="O265" s="145" t="n"/>
      <c r="P265" s="145" t="n"/>
      <c r="Q265" s="145" t="n"/>
      <c r="R265" s="145" t="n"/>
      <c r="S265" s="145" t="n"/>
      <c r="T265" s="145" t="n"/>
      <c r="U265" s="145" t="n"/>
      <c r="V265" s="145" t="n"/>
      <c r="W265" s="145" t="n"/>
      <c r="X265" s="145" t="n"/>
      <c r="Y265" s="145" t="n"/>
      <c r="Z265" s="145" t="n"/>
    </row>
    <row r="266" ht="15.75" customHeight="1" s="311">
      <c r="A266" s="145" t="n"/>
      <c r="B266" s="145" t="n"/>
      <c r="C266" s="145" t="n"/>
      <c r="D266" s="145" t="n"/>
      <c r="E266" s="145" t="n"/>
      <c r="F266" s="145" t="n"/>
      <c r="G266" s="145" t="n"/>
      <c r="H266" s="145" t="n"/>
      <c r="I266" s="145" t="n"/>
      <c r="J266" s="145" t="n"/>
      <c r="K266" s="145" t="n"/>
      <c r="L266" s="145" t="n"/>
      <c r="M266" s="145" t="n"/>
      <c r="N266" s="145" t="n"/>
      <c r="O266" s="145" t="n"/>
      <c r="P266" s="145" t="n"/>
      <c r="Q266" s="145" t="n"/>
      <c r="R266" s="145" t="n"/>
      <c r="S266" s="145" t="n"/>
      <c r="T266" s="145" t="n"/>
      <c r="U266" s="145" t="n"/>
      <c r="V266" s="145" t="n"/>
      <c r="W266" s="145" t="n"/>
      <c r="X266" s="145" t="n"/>
      <c r="Y266" s="145" t="n"/>
      <c r="Z266" s="145" t="n"/>
    </row>
    <row r="267" ht="15.75" customHeight="1" s="311">
      <c r="A267" s="145" t="n"/>
      <c r="B267" s="145" t="n"/>
      <c r="C267" s="145" t="n"/>
      <c r="D267" s="145" t="n"/>
      <c r="E267" s="145" t="n"/>
      <c r="F267" s="145" t="n"/>
      <c r="G267" s="145" t="n"/>
      <c r="H267" s="145" t="n"/>
      <c r="I267" s="145" t="n"/>
      <c r="J267" s="145" t="n"/>
      <c r="K267" s="145" t="n"/>
      <c r="L267" s="145" t="n"/>
      <c r="M267" s="145" t="n"/>
      <c r="N267" s="145" t="n"/>
      <c r="O267" s="145" t="n"/>
      <c r="P267" s="145" t="n"/>
      <c r="Q267" s="145" t="n"/>
      <c r="R267" s="145" t="n"/>
      <c r="S267" s="145" t="n"/>
      <c r="T267" s="145" t="n"/>
      <c r="U267" s="145" t="n"/>
      <c r="V267" s="145" t="n"/>
      <c r="W267" s="145" t="n"/>
      <c r="X267" s="145" t="n"/>
      <c r="Y267" s="145" t="n"/>
      <c r="Z267" s="145" t="n"/>
    </row>
    <row r="268" ht="15.75" customHeight="1" s="311">
      <c r="A268" s="145" t="n"/>
      <c r="B268" s="145" t="n"/>
      <c r="C268" s="145" t="n"/>
      <c r="D268" s="145" t="n"/>
      <c r="E268" s="145" t="n"/>
      <c r="F268" s="145" t="n"/>
      <c r="G268" s="145" t="n"/>
      <c r="H268" s="145" t="n"/>
      <c r="I268" s="145" t="n"/>
      <c r="J268" s="145" t="n"/>
      <c r="K268" s="145" t="n"/>
      <c r="L268" s="145" t="n"/>
      <c r="M268" s="145" t="n"/>
      <c r="N268" s="145" t="n"/>
      <c r="O268" s="145" t="n"/>
      <c r="P268" s="145" t="n"/>
      <c r="Q268" s="145" t="n"/>
      <c r="R268" s="145" t="n"/>
      <c r="S268" s="145" t="n"/>
      <c r="T268" s="145" t="n"/>
      <c r="U268" s="145" t="n"/>
      <c r="V268" s="145" t="n"/>
      <c r="W268" s="145" t="n"/>
      <c r="X268" s="145" t="n"/>
      <c r="Y268" s="145" t="n"/>
      <c r="Z268" s="145" t="n"/>
    </row>
    <row r="269" ht="15.75" customHeight="1" s="311">
      <c r="A269" s="145" t="n"/>
      <c r="B269" s="145" t="n"/>
      <c r="C269" s="145" t="n"/>
      <c r="D269" s="145" t="n"/>
      <c r="E269" s="145" t="n"/>
      <c r="F269" s="145" t="n"/>
      <c r="G269" s="145" t="n"/>
      <c r="H269" s="145" t="n"/>
      <c r="I269" s="145" t="n"/>
      <c r="J269" s="145" t="n"/>
      <c r="K269" s="145" t="n"/>
      <c r="L269" s="145" t="n"/>
      <c r="M269" s="145" t="n"/>
      <c r="N269" s="145" t="n"/>
      <c r="O269" s="145" t="n"/>
      <c r="P269" s="145" t="n"/>
      <c r="Q269" s="145" t="n"/>
      <c r="R269" s="145" t="n"/>
      <c r="S269" s="145" t="n"/>
      <c r="T269" s="145" t="n"/>
      <c r="U269" s="145" t="n"/>
      <c r="V269" s="145" t="n"/>
      <c r="W269" s="145" t="n"/>
      <c r="X269" s="145" t="n"/>
      <c r="Y269" s="145" t="n"/>
      <c r="Z269" s="145" t="n"/>
    </row>
    <row r="270" ht="15.75" customHeight="1" s="311">
      <c r="A270" s="145" t="n"/>
      <c r="B270" s="145" t="n"/>
      <c r="C270" s="145" t="n"/>
      <c r="D270" s="145" t="n"/>
      <c r="E270" s="145" t="n"/>
      <c r="F270" s="145" t="n"/>
      <c r="G270" s="145" t="n"/>
      <c r="H270" s="145" t="n"/>
      <c r="I270" s="145" t="n"/>
      <c r="J270" s="145" t="n"/>
      <c r="K270" s="145" t="n"/>
      <c r="L270" s="145" t="n"/>
      <c r="M270" s="145" t="n"/>
      <c r="N270" s="145" t="n"/>
      <c r="O270" s="145" t="n"/>
      <c r="P270" s="145" t="n"/>
      <c r="Q270" s="145" t="n"/>
      <c r="R270" s="145" t="n"/>
      <c r="S270" s="145" t="n"/>
      <c r="T270" s="145" t="n"/>
      <c r="U270" s="145" t="n"/>
      <c r="V270" s="145" t="n"/>
      <c r="W270" s="145" t="n"/>
      <c r="X270" s="145" t="n"/>
      <c r="Y270" s="145" t="n"/>
      <c r="Z270" s="145" t="n"/>
    </row>
    <row r="271" ht="15.75" customHeight="1" s="311">
      <c r="A271" s="145" t="n"/>
      <c r="B271" s="145" t="n"/>
      <c r="C271" s="145" t="n"/>
      <c r="D271" s="145" t="n"/>
      <c r="E271" s="145" t="n"/>
      <c r="F271" s="145" t="n"/>
      <c r="G271" s="145" t="n"/>
      <c r="H271" s="145" t="n"/>
      <c r="I271" s="145" t="n"/>
      <c r="J271" s="145" t="n"/>
      <c r="K271" s="145" t="n"/>
      <c r="L271" s="145" t="n"/>
      <c r="M271" s="145" t="n"/>
      <c r="N271" s="145" t="n"/>
      <c r="O271" s="145" t="n"/>
      <c r="P271" s="145" t="n"/>
      <c r="Q271" s="145" t="n"/>
      <c r="R271" s="145" t="n"/>
      <c r="S271" s="145" t="n"/>
      <c r="T271" s="145" t="n"/>
      <c r="U271" s="145" t="n"/>
      <c r="V271" s="145" t="n"/>
      <c r="W271" s="145" t="n"/>
      <c r="X271" s="145" t="n"/>
      <c r="Y271" s="145" t="n"/>
      <c r="Z271" s="145" t="n"/>
    </row>
    <row r="272" ht="15.75" customHeight="1" s="311">
      <c r="A272" s="145" t="n"/>
      <c r="B272" s="145" t="n"/>
      <c r="C272" s="145" t="n"/>
      <c r="D272" s="145" t="n"/>
      <c r="E272" s="145" t="n"/>
      <c r="F272" s="145" t="n"/>
      <c r="G272" s="145" t="n"/>
      <c r="H272" s="145" t="n"/>
      <c r="I272" s="145" t="n"/>
      <c r="J272" s="145" t="n"/>
      <c r="K272" s="145" t="n"/>
      <c r="L272" s="145" t="n"/>
      <c r="M272" s="145" t="n"/>
      <c r="N272" s="145" t="n"/>
      <c r="O272" s="145" t="n"/>
      <c r="P272" s="145" t="n"/>
      <c r="Q272" s="145" t="n"/>
      <c r="R272" s="145" t="n"/>
      <c r="S272" s="145" t="n"/>
      <c r="T272" s="145" t="n"/>
      <c r="U272" s="145" t="n"/>
      <c r="V272" s="145" t="n"/>
      <c r="W272" s="145" t="n"/>
      <c r="X272" s="145" t="n"/>
      <c r="Y272" s="145" t="n"/>
      <c r="Z272" s="145" t="n"/>
    </row>
    <row r="273" ht="15.75" customHeight="1" s="311">
      <c r="A273" s="145" t="n"/>
      <c r="B273" s="145" t="n"/>
      <c r="C273" s="145" t="n"/>
      <c r="D273" s="145" t="n"/>
      <c r="E273" s="145" t="n"/>
      <c r="F273" s="145" t="n"/>
      <c r="G273" s="145" t="n"/>
      <c r="H273" s="145" t="n"/>
      <c r="I273" s="145" t="n"/>
      <c r="J273" s="145" t="n"/>
      <c r="K273" s="145" t="n"/>
      <c r="L273" s="145" t="n"/>
      <c r="M273" s="145" t="n"/>
      <c r="N273" s="145" t="n"/>
      <c r="O273" s="145" t="n"/>
      <c r="P273" s="145" t="n"/>
      <c r="Q273" s="145" t="n"/>
      <c r="R273" s="145" t="n"/>
      <c r="S273" s="145" t="n"/>
      <c r="T273" s="145" t="n"/>
      <c r="U273" s="145" t="n"/>
      <c r="V273" s="145" t="n"/>
      <c r="W273" s="145" t="n"/>
      <c r="X273" s="145" t="n"/>
      <c r="Y273" s="145" t="n"/>
      <c r="Z273" s="145" t="n"/>
    </row>
    <row r="274" ht="15.75" customHeight="1" s="311">
      <c r="A274" s="145" t="n"/>
      <c r="B274" s="145" t="n"/>
      <c r="C274" s="145" t="n"/>
      <c r="D274" s="145" t="n"/>
      <c r="E274" s="145" t="n"/>
      <c r="F274" s="145" t="n"/>
      <c r="G274" s="145" t="n"/>
      <c r="H274" s="145" t="n"/>
      <c r="I274" s="145" t="n"/>
      <c r="J274" s="145" t="n"/>
      <c r="K274" s="145" t="n"/>
      <c r="L274" s="145" t="n"/>
      <c r="M274" s="145" t="n"/>
      <c r="N274" s="145" t="n"/>
      <c r="O274" s="145" t="n"/>
      <c r="P274" s="145" t="n"/>
      <c r="Q274" s="145" t="n"/>
      <c r="R274" s="145" t="n"/>
      <c r="S274" s="145" t="n"/>
      <c r="T274" s="145" t="n"/>
      <c r="U274" s="145" t="n"/>
      <c r="V274" s="145" t="n"/>
      <c r="W274" s="145" t="n"/>
      <c r="X274" s="145" t="n"/>
      <c r="Y274" s="145" t="n"/>
      <c r="Z274" s="145" t="n"/>
    </row>
    <row r="275" ht="15.75" customHeight="1" s="311">
      <c r="A275" s="145" t="n"/>
      <c r="B275" s="145" t="n"/>
      <c r="C275" s="145" t="n"/>
      <c r="D275" s="145" t="n"/>
      <c r="E275" s="145" t="n"/>
      <c r="F275" s="145" t="n"/>
      <c r="G275" s="145" t="n"/>
      <c r="H275" s="145" t="n"/>
      <c r="I275" s="145" t="n"/>
      <c r="J275" s="145" t="n"/>
      <c r="K275" s="145" t="n"/>
      <c r="L275" s="145" t="n"/>
      <c r="M275" s="145" t="n"/>
      <c r="N275" s="145" t="n"/>
      <c r="O275" s="145" t="n"/>
      <c r="P275" s="145" t="n"/>
      <c r="Q275" s="145" t="n"/>
      <c r="R275" s="145" t="n"/>
      <c r="S275" s="145" t="n"/>
      <c r="T275" s="145" t="n"/>
      <c r="U275" s="145" t="n"/>
      <c r="V275" s="145" t="n"/>
      <c r="W275" s="145" t="n"/>
      <c r="X275" s="145" t="n"/>
      <c r="Y275" s="145" t="n"/>
      <c r="Z275" s="145" t="n"/>
    </row>
    <row r="276" ht="15.75" customHeight="1" s="311">
      <c r="A276" s="145" t="n"/>
      <c r="B276" s="145" t="n"/>
      <c r="C276" s="145" t="n"/>
      <c r="D276" s="145" t="n"/>
      <c r="E276" s="145" t="n"/>
      <c r="F276" s="145" t="n"/>
      <c r="G276" s="145" t="n"/>
      <c r="H276" s="145" t="n"/>
      <c r="I276" s="145" t="n"/>
      <c r="J276" s="145" t="n"/>
      <c r="K276" s="145" t="n"/>
      <c r="L276" s="145" t="n"/>
      <c r="M276" s="145" t="n"/>
      <c r="N276" s="145" t="n"/>
      <c r="O276" s="145" t="n"/>
      <c r="P276" s="145" t="n"/>
      <c r="Q276" s="145" t="n"/>
      <c r="R276" s="145" t="n"/>
      <c r="S276" s="145" t="n"/>
      <c r="T276" s="145" t="n"/>
      <c r="U276" s="145" t="n"/>
      <c r="V276" s="145" t="n"/>
      <c r="W276" s="145" t="n"/>
      <c r="X276" s="145" t="n"/>
      <c r="Y276" s="145" t="n"/>
      <c r="Z276" s="145" t="n"/>
    </row>
    <row r="277" ht="15.75" customHeight="1" s="311">
      <c r="A277" s="145" t="n"/>
      <c r="B277" s="145" t="n"/>
      <c r="C277" s="145" t="n"/>
      <c r="D277" s="145" t="n"/>
      <c r="E277" s="145" t="n"/>
      <c r="F277" s="145" t="n"/>
      <c r="G277" s="145" t="n"/>
      <c r="H277" s="145" t="n"/>
      <c r="I277" s="145" t="n"/>
      <c r="J277" s="145" t="n"/>
      <c r="K277" s="145" t="n"/>
      <c r="L277" s="145" t="n"/>
      <c r="M277" s="145" t="n"/>
      <c r="N277" s="145" t="n"/>
      <c r="O277" s="145" t="n"/>
      <c r="P277" s="145" t="n"/>
      <c r="Q277" s="145" t="n"/>
      <c r="R277" s="145" t="n"/>
      <c r="S277" s="145" t="n"/>
      <c r="T277" s="145" t="n"/>
      <c r="U277" s="145" t="n"/>
      <c r="V277" s="145" t="n"/>
      <c r="W277" s="145" t="n"/>
      <c r="X277" s="145" t="n"/>
      <c r="Y277" s="145" t="n"/>
      <c r="Z277" s="145" t="n"/>
    </row>
    <row r="278" ht="15.75" customHeight="1" s="311">
      <c r="A278" s="145" t="n"/>
      <c r="B278" s="145" t="n"/>
      <c r="C278" s="145" t="n"/>
      <c r="D278" s="145" t="n"/>
      <c r="E278" s="145" t="n"/>
      <c r="F278" s="145" t="n"/>
      <c r="G278" s="145" t="n"/>
      <c r="H278" s="145" t="n"/>
      <c r="I278" s="145" t="n"/>
      <c r="J278" s="145" t="n"/>
      <c r="K278" s="145" t="n"/>
      <c r="L278" s="145" t="n"/>
      <c r="M278" s="145" t="n"/>
      <c r="N278" s="145" t="n"/>
      <c r="O278" s="145" t="n"/>
      <c r="P278" s="145" t="n"/>
      <c r="Q278" s="145" t="n"/>
      <c r="R278" s="145" t="n"/>
      <c r="S278" s="145" t="n"/>
      <c r="T278" s="145" t="n"/>
      <c r="U278" s="145" t="n"/>
      <c r="V278" s="145" t="n"/>
      <c r="W278" s="145" t="n"/>
      <c r="X278" s="145" t="n"/>
      <c r="Y278" s="145" t="n"/>
      <c r="Z278" s="145" t="n"/>
    </row>
    <row r="279" ht="15.75" customHeight="1" s="311">
      <c r="A279" s="145" t="n"/>
      <c r="B279" s="145" t="n"/>
      <c r="C279" s="145" t="n"/>
      <c r="D279" s="145" t="n"/>
      <c r="E279" s="145" t="n"/>
      <c r="F279" s="145" t="n"/>
      <c r="G279" s="145" t="n"/>
      <c r="H279" s="145" t="n"/>
      <c r="I279" s="145" t="n"/>
      <c r="J279" s="145" t="n"/>
      <c r="K279" s="145" t="n"/>
      <c r="L279" s="145" t="n"/>
      <c r="M279" s="145" t="n"/>
      <c r="N279" s="145" t="n"/>
      <c r="O279" s="145" t="n"/>
      <c r="P279" s="145" t="n"/>
      <c r="Q279" s="145" t="n"/>
      <c r="R279" s="145" t="n"/>
      <c r="S279" s="145" t="n"/>
      <c r="T279" s="145" t="n"/>
      <c r="U279" s="145" t="n"/>
      <c r="V279" s="145" t="n"/>
      <c r="W279" s="145" t="n"/>
      <c r="X279" s="145" t="n"/>
      <c r="Y279" s="145" t="n"/>
      <c r="Z279" s="145" t="n"/>
    </row>
    <row r="280" ht="15.75" customHeight="1" s="311">
      <c r="A280" s="145" t="n"/>
      <c r="B280" s="145" t="n"/>
      <c r="C280" s="145" t="n"/>
      <c r="D280" s="145" t="n"/>
      <c r="E280" s="145" t="n"/>
      <c r="F280" s="145" t="n"/>
      <c r="G280" s="145" t="n"/>
      <c r="H280" s="145" t="n"/>
      <c r="I280" s="145" t="n"/>
      <c r="J280" s="145" t="n"/>
      <c r="K280" s="145" t="n"/>
      <c r="L280" s="145" t="n"/>
      <c r="M280" s="145" t="n"/>
      <c r="N280" s="145" t="n"/>
      <c r="O280" s="145" t="n"/>
      <c r="P280" s="145" t="n"/>
      <c r="Q280" s="145" t="n"/>
      <c r="R280" s="145" t="n"/>
      <c r="S280" s="145" t="n"/>
      <c r="T280" s="145" t="n"/>
      <c r="U280" s="145" t="n"/>
      <c r="V280" s="145" t="n"/>
      <c r="W280" s="145" t="n"/>
      <c r="X280" s="145" t="n"/>
      <c r="Y280" s="145" t="n"/>
      <c r="Z280" s="145" t="n"/>
    </row>
    <row r="281" ht="15.75" customHeight="1" s="311">
      <c r="A281" s="145" t="n"/>
      <c r="B281" s="145" t="n"/>
      <c r="C281" s="145" t="n"/>
      <c r="D281" s="145" t="n"/>
      <c r="E281" s="145" t="n"/>
      <c r="F281" s="145" t="n"/>
      <c r="G281" s="145" t="n"/>
      <c r="H281" s="145" t="n"/>
      <c r="I281" s="145" t="n"/>
      <c r="J281" s="145" t="n"/>
      <c r="K281" s="145" t="n"/>
      <c r="L281" s="145" t="n"/>
      <c r="M281" s="145" t="n"/>
      <c r="N281" s="145" t="n"/>
      <c r="O281" s="145" t="n"/>
      <c r="P281" s="145" t="n"/>
      <c r="Q281" s="145" t="n"/>
      <c r="R281" s="145" t="n"/>
      <c r="S281" s="145" t="n"/>
      <c r="T281" s="145" t="n"/>
      <c r="U281" s="145" t="n"/>
      <c r="V281" s="145" t="n"/>
      <c r="W281" s="145" t="n"/>
      <c r="X281" s="145" t="n"/>
      <c r="Y281" s="145" t="n"/>
      <c r="Z281" s="145" t="n"/>
    </row>
    <row r="282" ht="15.75" customHeight="1" s="311">
      <c r="A282" s="145" t="n"/>
      <c r="B282" s="145" t="n"/>
      <c r="C282" s="145" t="n"/>
      <c r="D282" s="145" t="n"/>
      <c r="E282" s="145" t="n"/>
      <c r="F282" s="145" t="n"/>
      <c r="G282" s="145" t="n"/>
      <c r="H282" s="145" t="n"/>
      <c r="I282" s="145" t="n"/>
      <c r="J282" s="145" t="n"/>
      <c r="K282" s="145" t="n"/>
      <c r="L282" s="145" t="n"/>
      <c r="M282" s="145" t="n"/>
      <c r="N282" s="145" t="n"/>
      <c r="O282" s="145" t="n"/>
      <c r="P282" s="145" t="n"/>
      <c r="Q282" s="145" t="n"/>
      <c r="R282" s="145" t="n"/>
      <c r="S282" s="145" t="n"/>
      <c r="T282" s="145" t="n"/>
      <c r="U282" s="145" t="n"/>
      <c r="V282" s="145" t="n"/>
      <c r="W282" s="145" t="n"/>
      <c r="X282" s="145" t="n"/>
      <c r="Y282" s="145" t="n"/>
      <c r="Z282" s="145" t="n"/>
    </row>
    <row r="283" ht="15.75" customHeight="1" s="311">
      <c r="A283" s="145" t="n"/>
      <c r="B283" s="145" t="n"/>
      <c r="C283" s="145" t="n"/>
      <c r="D283" s="145" t="n"/>
      <c r="E283" s="145" t="n"/>
      <c r="F283" s="145" t="n"/>
      <c r="G283" s="145" t="n"/>
      <c r="H283" s="145" t="n"/>
      <c r="I283" s="145" t="n"/>
      <c r="J283" s="145" t="n"/>
      <c r="K283" s="145" t="n"/>
      <c r="L283" s="145" t="n"/>
      <c r="M283" s="145" t="n"/>
      <c r="N283" s="145" t="n"/>
      <c r="O283" s="145" t="n"/>
      <c r="P283" s="145" t="n"/>
      <c r="Q283" s="145" t="n"/>
      <c r="R283" s="145" t="n"/>
      <c r="S283" s="145" t="n"/>
      <c r="T283" s="145" t="n"/>
      <c r="U283" s="145" t="n"/>
      <c r="V283" s="145" t="n"/>
      <c r="W283" s="145" t="n"/>
      <c r="X283" s="145" t="n"/>
      <c r="Y283" s="145" t="n"/>
      <c r="Z283" s="145" t="n"/>
    </row>
    <row r="284" ht="15.75" customHeight="1" s="311">
      <c r="A284" s="145" t="n"/>
      <c r="B284" s="145" t="n"/>
      <c r="C284" s="145" t="n"/>
      <c r="D284" s="145" t="n"/>
      <c r="E284" s="145" t="n"/>
      <c r="F284" s="145" t="n"/>
      <c r="G284" s="145" t="n"/>
      <c r="H284" s="145" t="n"/>
      <c r="I284" s="145" t="n"/>
      <c r="J284" s="145" t="n"/>
      <c r="K284" s="145" t="n"/>
      <c r="L284" s="145" t="n"/>
      <c r="M284" s="145" t="n"/>
      <c r="N284" s="145" t="n"/>
      <c r="O284" s="145" t="n"/>
      <c r="P284" s="145" t="n"/>
      <c r="Q284" s="145" t="n"/>
      <c r="R284" s="145" t="n"/>
      <c r="S284" s="145" t="n"/>
      <c r="T284" s="145" t="n"/>
      <c r="U284" s="145" t="n"/>
      <c r="V284" s="145" t="n"/>
      <c r="W284" s="145" t="n"/>
      <c r="X284" s="145" t="n"/>
      <c r="Y284" s="145" t="n"/>
      <c r="Z284" s="145" t="n"/>
    </row>
    <row r="285" ht="15.75" customHeight="1" s="311">
      <c r="A285" s="145" t="n"/>
      <c r="B285" s="145" t="n"/>
      <c r="C285" s="145" t="n"/>
      <c r="D285" s="145" t="n"/>
      <c r="E285" s="145" t="n"/>
      <c r="F285" s="145" t="n"/>
      <c r="G285" s="145" t="n"/>
      <c r="H285" s="145" t="n"/>
      <c r="I285" s="145" t="n"/>
      <c r="J285" s="145" t="n"/>
      <c r="K285" s="145" t="n"/>
      <c r="L285" s="145" t="n"/>
      <c r="M285" s="145" t="n"/>
      <c r="N285" s="145" t="n"/>
      <c r="O285" s="145" t="n"/>
      <c r="P285" s="145" t="n"/>
      <c r="Q285" s="145" t="n"/>
      <c r="R285" s="145" t="n"/>
      <c r="S285" s="145" t="n"/>
      <c r="T285" s="145" t="n"/>
      <c r="U285" s="145" t="n"/>
      <c r="V285" s="145" t="n"/>
      <c r="W285" s="145" t="n"/>
      <c r="X285" s="145" t="n"/>
      <c r="Y285" s="145" t="n"/>
      <c r="Z285" s="145" t="n"/>
    </row>
    <row r="286" ht="15.75" customHeight="1" s="311">
      <c r="A286" s="145" t="n"/>
      <c r="B286" s="145" t="n"/>
      <c r="C286" s="145" t="n"/>
      <c r="D286" s="145" t="n"/>
      <c r="E286" s="145" t="n"/>
      <c r="F286" s="145" t="n"/>
      <c r="G286" s="145" t="n"/>
      <c r="H286" s="145" t="n"/>
      <c r="I286" s="145" t="n"/>
      <c r="J286" s="145" t="n"/>
      <c r="K286" s="145" t="n"/>
      <c r="L286" s="145" t="n"/>
      <c r="M286" s="145" t="n"/>
      <c r="N286" s="145" t="n"/>
      <c r="O286" s="145" t="n"/>
      <c r="P286" s="145" t="n"/>
      <c r="Q286" s="145" t="n"/>
      <c r="R286" s="145" t="n"/>
      <c r="S286" s="145" t="n"/>
      <c r="T286" s="145" t="n"/>
      <c r="U286" s="145" t="n"/>
      <c r="V286" s="145" t="n"/>
      <c r="W286" s="145" t="n"/>
      <c r="X286" s="145" t="n"/>
      <c r="Y286" s="145" t="n"/>
      <c r="Z286" s="145" t="n"/>
    </row>
    <row r="287" ht="15.75" customHeight="1" s="311">
      <c r="A287" s="145" t="n"/>
      <c r="B287" s="145" t="n"/>
      <c r="C287" s="145" t="n"/>
      <c r="D287" s="145" t="n"/>
      <c r="E287" s="145" t="n"/>
      <c r="F287" s="145" t="n"/>
      <c r="G287" s="145" t="n"/>
      <c r="H287" s="145" t="n"/>
      <c r="I287" s="145" t="n"/>
      <c r="J287" s="145" t="n"/>
      <c r="K287" s="145" t="n"/>
      <c r="L287" s="145" t="n"/>
      <c r="M287" s="145" t="n"/>
      <c r="N287" s="145" t="n"/>
      <c r="O287" s="145" t="n"/>
      <c r="P287" s="145" t="n"/>
      <c r="Q287" s="145" t="n"/>
      <c r="R287" s="145" t="n"/>
      <c r="S287" s="145" t="n"/>
      <c r="T287" s="145" t="n"/>
      <c r="U287" s="145" t="n"/>
      <c r="V287" s="145" t="n"/>
      <c r="W287" s="145" t="n"/>
      <c r="X287" s="145" t="n"/>
      <c r="Y287" s="145" t="n"/>
      <c r="Z287" s="145" t="n"/>
    </row>
    <row r="288" ht="15.75" customHeight="1" s="311">
      <c r="A288" s="145" t="n"/>
      <c r="B288" s="145" t="n"/>
      <c r="C288" s="145" t="n"/>
      <c r="D288" s="145" t="n"/>
      <c r="E288" s="145" t="n"/>
      <c r="F288" s="145" t="n"/>
      <c r="G288" s="145" t="n"/>
      <c r="H288" s="145" t="n"/>
      <c r="I288" s="145" t="n"/>
      <c r="J288" s="145" t="n"/>
      <c r="K288" s="145" t="n"/>
      <c r="L288" s="145" t="n"/>
      <c r="M288" s="145" t="n"/>
      <c r="N288" s="145" t="n"/>
      <c r="O288" s="145" t="n"/>
      <c r="P288" s="145" t="n"/>
      <c r="Q288" s="145" t="n"/>
      <c r="R288" s="145" t="n"/>
      <c r="S288" s="145" t="n"/>
      <c r="T288" s="145" t="n"/>
      <c r="U288" s="145" t="n"/>
      <c r="V288" s="145" t="n"/>
      <c r="W288" s="145" t="n"/>
      <c r="X288" s="145" t="n"/>
      <c r="Y288" s="145" t="n"/>
      <c r="Z288" s="145" t="n"/>
    </row>
    <row r="289" ht="15.75" customHeight="1" s="311">
      <c r="A289" s="145" t="n"/>
      <c r="B289" s="145" t="n"/>
      <c r="C289" s="145" t="n"/>
      <c r="D289" s="145" t="n"/>
      <c r="E289" s="145" t="n"/>
      <c r="F289" s="145" t="n"/>
      <c r="G289" s="145" t="n"/>
      <c r="H289" s="145" t="n"/>
      <c r="I289" s="145" t="n"/>
      <c r="J289" s="145" t="n"/>
      <c r="K289" s="145" t="n"/>
      <c r="L289" s="145" t="n"/>
      <c r="M289" s="145" t="n"/>
      <c r="N289" s="145" t="n"/>
      <c r="O289" s="145" t="n"/>
      <c r="P289" s="145" t="n"/>
      <c r="Q289" s="145" t="n"/>
      <c r="R289" s="145" t="n"/>
      <c r="S289" s="145" t="n"/>
      <c r="T289" s="145" t="n"/>
      <c r="U289" s="145" t="n"/>
      <c r="V289" s="145" t="n"/>
      <c r="W289" s="145" t="n"/>
      <c r="X289" s="145" t="n"/>
      <c r="Y289" s="145" t="n"/>
      <c r="Z289" s="145" t="n"/>
    </row>
    <row r="290" ht="15.75" customHeight="1" s="311">
      <c r="A290" s="145" t="n"/>
      <c r="B290" s="145" t="n"/>
      <c r="C290" s="145" t="n"/>
      <c r="D290" s="145" t="n"/>
      <c r="E290" s="145" t="n"/>
      <c r="F290" s="145" t="n"/>
      <c r="G290" s="145" t="n"/>
      <c r="H290" s="145" t="n"/>
      <c r="I290" s="145" t="n"/>
      <c r="J290" s="145" t="n"/>
      <c r="K290" s="145" t="n"/>
      <c r="L290" s="145" t="n"/>
      <c r="M290" s="145" t="n"/>
      <c r="N290" s="145" t="n"/>
      <c r="O290" s="145" t="n"/>
      <c r="P290" s="145" t="n"/>
      <c r="Q290" s="145" t="n"/>
      <c r="R290" s="145" t="n"/>
      <c r="S290" s="145" t="n"/>
      <c r="T290" s="145" t="n"/>
      <c r="U290" s="145" t="n"/>
      <c r="V290" s="145" t="n"/>
      <c r="W290" s="145" t="n"/>
      <c r="X290" s="145" t="n"/>
      <c r="Y290" s="145" t="n"/>
      <c r="Z290" s="145" t="n"/>
    </row>
    <row r="291" ht="15.75" customHeight="1" s="311">
      <c r="A291" s="145" t="n"/>
      <c r="B291" s="145" t="n"/>
      <c r="C291" s="145" t="n"/>
      <c r="D291" s="145" t="n"/>
      <c r="E291" s="145" t="n"/>
      <c r="F291" s="145" t="n"/>
      <c r="G291" s="145" t="n"/>
      <c r="H291" s="145" t="n"/>
      <c r="I291" s="145" t="n"/>
      <c r="J291" s="145" t="n"/>
      <c r="K291" s="145" t="n"/>
      <c r="L291" s="145" t="n"/>
      <c r="M291" s="145" t="n"/>
      <c r="N291" s="145" t="n"/>
      <c r="O291" s="145" t="n"/>
      <c r="P291" s="145" t="n"/>
      <c r="Q291" s="145" t="n"/>
      <c r="R291" s="145" t="n"/>
      <c r="S291" s="145" t="n"/>
      <c r="T291" s="145" t="n"/>
      <c r="U291" s="145" t="n"/>
      <c r="V291" s="145" t="n"/>
      <c r="W291" s="145" t="n"/>
      <c r="X291" s="145" t="n"/>
      <c r="Y291" s="145" t="n"/>
      <c r="Z291" s="145" t="n"/>
    </row>
    <row r="292" ht="15.75" customHeight="1" s="311">
      <c r="A292" s="145" t="n"/>
      <c r="B292" s="145" t="n"/>
      <c r="C292" s="145" t="n"/>
      <c r="D292" s="145" t="n"/>
      <c r="E292" s="145" t="n"/>
      <c r="F292" s="145" t="n"/>
      <c r="G292" s="145" t="n"/>
      <c r="H292" s="145" t="n"/>
      <c r="I292" s="145" t="n"/>
      <c r="J292" s="145" t="n"/>
      <c r="K292" s="145" t="n"/>
      <c r="L292" s="145" t="n"/>
      <c r="M292" s="145" t="n"/>
      <c r="N292" s="145" t="n"/>
      <c r="O292" s="145" t="n"/>
      <c r="P292" s="145" t="n"/>
      <c r="Q292" s="145" t="n"/>
      <c r="R292" s="145" t="n"/>
      <c r="S292" s="145" t="n"/>
      <c r="T292" s="145" t="n"/>
      <c r="U292" s="145" t="n"/>
      <c r="V292" s="145" t="n"/>
      <c r="W292" s="145" t="n"/>
      <c r="X292" s="145" t="n"/>
      <c r="Y292" s="145" t="n"/>
      <c r="Z292" s="145" t="n"/>
    </row>
    <row r="293" ht="15.75" customHeight="1" s="311">
      <c r="A293" s="145" t="n"/>
      <c r="B293" s="145" t="n"/>
      <c r="C293" s="145" t="n"/>
      <c r="D293" s="145" t="n"/>
      <c r="E293" s="145" t="n"/>
      <c r="F293" s="145" t="n"/>
      <c r="G293" s="145" t="n"/>
      <c r="H293" s="145" t="n"/>
      <c r="I293" s="145" t="n"/>
      <c r="J293" s="145" t="n"/>
      <c r="K293" s="145" t="n"/>
      <c r="L293" s="145" t="n"/>
      <c r="M293" s="145" t="n"/>
      <c r="N293" s="145" t="n"/>
      <c r="O293" s="145" t="n"/>
      <c r="P293" s="145" t="n"/>
      <c r="Q293" s="145" t="n"/>
      <c r="R293" s="145" t="n"/>
      <c r="S293" s="145" t="n"/>
      <c r="T293" s="145" t="n"/>
      <c r="U293" s="145" t="n"/>
      <c r="V293" s="145" t="n"/>
      <c r="W293" s="145" t="n"/>
      <c r="X293" s="145" t="n"/>
      <c r="Y293" s="145" t="n"/>
      <c r="Z293" s="145" t="n"/>
    </row>
    <row r="294" ht="15.75" customHeight="1" s="311">
      <c r="A294" s="145" t="n"/>
      <c r="B294" s="145" t="n"/>
      <c r="C294" s="145" t="n"/>
      <c r="D294" s="145" t="n"/>
      <c r="E294" s="145" t="n"/>
      <c r="F294" s="145" t="n"/>
      <c r="G294" s="145" t="n"/>
      <c r="H294" s="145" t="n"/>
      <c r="I294" s="145" t="n"/>
      <c r="J294" s="145" t="n"/>
      <c r="K294" s="145" t="n"/>
      <c r="L294" s="145" t="n"/>
      <c r="M294" s="145" t="n"/>
      <c r="N294" s="145" t="n"/>
      <c r="O294" s="145" t="n"/>
      <c r="P294" s="145" t="n"/>
      <c r="Q294" s="145" t="n"/>
      <c r="R294" s="145" t="n"/>
      <c r="S294" s="145" t="n"/>
      <c r="T294" s="145" t="n"/>
      <c r="U294" s="145" t="n"/>
      <c r="V294" s="145" t="n"/>
      <c r="W294" s="145" t="n"/>
      <c r="X294" s="145" t="n"/>
      <c r="Y294" s="145" t="n"/>
      <c r="Z294" s="145" t="n"/>
    </row>
    <row r="295" ht="15.75" customHeight="1" s="311">
      <c r="A295" s="145" t="n"/>
      <c r="B295" s="145" t="n"/>
      <c r="C295" s="145" t="n"/>
      <c r="D295" s="145" t="n"/>
      <c r="E295" s="145" t="n"/>
      <c r="F295" s="145" t="n"/>
      <c r="G295" s="145" t="n"/>
      <c r="H295" s="145" t="n"/>
      <c r="I295" s="145" t="n"/>
      <c r="J295" s="145" t="n"/>
      <c r="K295" s="145" t="n"/>
      <c r="L295" s="145" t="n"/>
      <c r="M295" s="145" t="n"/>
      <c r="N295" s="145" t="n"/>
      <c r="O295" s="145" t="n"/>
      <c r="P295" s="145" t="n"/>
      <c r="Q295" s="145" t="n"/>
      <c r="R295" s="145" t="n"/>
      <c r="S295" s="145" t="n"/>
      <c r="T295" s="145" t="n"/>
      <c r="U295" s="145" t="n"/>
      <c r="V295" s="145" t="n"/>
      <c r="W295" s="145" t="n"/>
      <c r="X295" s="145" t="n"/>
      <c r="Y295" s="145" t="n"/>
      <c r="Z295" s="145" t="n"/>
    </row>
    <row r="296" ht="15.75" customHeight="1" s="311">
      <c r="A296" s="145" t="n"/>
      <c r="B296" s="145" t="n"/>
      <c r="C296" s="145" t="n"/>
      <c r="D296" s="145" t="n"/>
      <c r="E296" s="145" t="n"/>
      <c r="F296" s="145" t="n"/>
      <c r="G296" s="145" t="n"/>
      <c r="H296" s="145" t="n"/>
      <c r="I296" s="145" t="n"/>
      <c r="J296" s="145" t="n"/>
      <c r="K296" s="145" t="n"/>
      <c r="L296" s="145" t="n"/>
      <c r="M296" s="145" t="n"/>
      <c r="N296" s="145" t="n"/>
      <c r="O296" s="145" t="n"/>
      <c r="P296" s="145" t="n"/>
      <c r="Q296" s="145" t="n"/>
      <c r="R296" s="145" t="n"/>
      <c r="S296" s="145" t="n"/>
      <c r="T296" s="145" t="n"/>
      <c r="U296" s="145" t="n"/>
      <c r="V296" s="145" t="n"/>
      <c r="W296" s="145" t="n"/>
      <c r="X296" s="145" t="n"/>
      <c r="Y296" s="145" t="n"/>
      <c r="Z296" s="145" t="n"/>
    </row>
    <row r="297" ht="15.75" customHeight="1" s="311">
      <c r="A297" s="145" t="n"/>
      <c r="B297" s="145" t="n"/>
      <c r="C297" s="145" t="n"/>
      <c r="D297" s="145" t="n"/>
      <c r="E297" s="145" t="n"/>
      <c r="F297" s="145" t="n"/>
      <c r="G297" s="145" t="n"/>
      <c r="H297" s="145" t="n"/>
      <c r="I297" s="145" t="n"/>
      <c r="J297" s="145" t="n"/>
      <c r="K297" s="145" t="n"/>
      <c r="L297" s="145" t="n"/>
      <c r="M297" s="145" t="n"/>
      <c r="N297" s="145" t="n"/>
      <c r="O297" s="145" t="n"/>
      <c r="P297" s="145" t="n"/>
      <c r="Q297" s="145" t="n"/>
      <c r="R297" s="145" t="n"/>
      <c r="S297" s="145" t="n"/>
      <c r="T297" s="145" t="n"/>
      <c r="U297" s="145" t="n"/>
      <c r="V297" s="145" t="n"/>
      <c r="W297" s="145" t="n"/>
      <c r="X297" s="145" t="n"/>
      <c r="Y297" s="145" t="n"/>
      <c r="Z297" s="145" t="n"/>
    </row>
    <row r="298" ht="15.75" customHeight="1" s="311">
      <c r="A298" s="145" t="n"/>
      <c r="B298" s="145" t="n"/>
      <c r="C298" s="145" t="n"/>
      <c r="D298" s="145" t="n"/>
      <c r="E298" s="145" t="n"/>
      <c r="F298" s="145" t="n"/>
      <c r="G298" s="145" t="n"/>
      <c r="H298" s="145" t="n"/>
      <c r="I298" s="145" t="n"/>
      <c r="J298" s="145" t="n"/>
      <c r="K298" s="145" t="n"/>
      <c r="L298" s="145" t="n"/>
      <c r="M298" s="145" t="n"/>
      <c r="N298" s="145" t="n"/>
      <c r="O298" s="145" t="n"/>
      <c r="P298" s="145" t="n"/>
      <c r="Q298" s="145" t="n"/>
      <c r="R298" s="145" t="n"/>
      <c r="S298" s="145" t="n"/>
      <c r="T298" s="145" t="n"/>
      <c r="U298" s="145" t="n"/>
      <c r="V298" s="145" t="n"/>
      <c r="W298" s="145" t="n"/>
      <c r="X298" s="145" t="n"/>
      <c r="Y298" s="145" t="n"/>
      <c r="Z298" s="145" t="n"/>
    </row>
    <row r="299" ht="15.75" customHeight="1" s="311">
      <c r="A299" s="145" t="n"/>
      <c r="B299" s="145" t="n"/>
      <c r="C299" s="145" t="n"/>
      <c r="D299" s="145" t="n"/>
      <c r="E299" s="145" t="n"/>
      <c r="F299" s="145" t="n"/>
      <c r="G299" s="145" t="n"/>
      <c r="H299" s="145" t="n"/>
      <c r="I299" s="145" t="n"/>
      <c r="J299" s="145" t="n"/>
      <c r="K299" s="145" t="n"/>
      <c r="L299" s="145" t="n"/>
      <c r="M299" s="145" t="n"/>
      <c r="N299" s="145" t="n"/>
      <c r="O299" s="145" t="n"/>
      <c r="P299" s="145" t="n"/>
      <c r="Q299" s="145" t="n"/>
      <c r="R299" s="145" t="n"/>
      <c r="S299" s="145" t="n"/>
      <c r="T299" s="145" t="n"/>
      <c r="U299" s="145" t="n"/>
      <c r="V299" s="145" t="n"/>
      <c r="W299" s="145" t="n"/>
      <c r="X299" s="145" t="n"/>
      <c r="Y299" s="145" t="n"/>
      <c r="Z299" s="145" t="n"/>
    </row>
    <row r="300" ht="15.75" customHeight="1" s="311">
      <c r="A300" s="145" t="n"/>
      <c r="B300" s="145" t="n"/>
      <c r="C300" s="145" t="n"/>
      <c r="D300" s="145" t="n"/>
      <c r="E300" s="145" t="n"/>
      <c r="F300" s="145" t="n"/>
      <c r="G300" s="145" t="n"/>
      <c r="H300" s="145" t="n"/>
      <c r="I300" s="145" t="n"/>
      <c r="J300" s="145" t="n"/>
      <c r="K300" s="145" t="n"/>
      <c r="L300" s="145" t="n"/>
      <c r="M300" s="145" t="n"/>
      <c r="N300" s="145" t="n"/>
      <c r="O300" s="145" t="n"/>
      <c r="P300" s="145" t="n"/>
      <c r="Q300" s="145" t="n"/>
      <c r="R300" s="145" t="n"/>
      <c r="S300" s="145" t="n"/>
      <c r="T300" s="145" t="n"/>
      <c r="U300" s="145" t="n"/>
      <c r="V300" s="145" t="n"/>
      <c r="W300" s="145" t="n"/>
      <c r="X300" s="145" t="n"/>
      <c r="Y300" s="145" t="n"/>
      <c r="Z300" s="145" t="n"/>
    </row>
    <row r="301" ht="15.75" customHeight="1" s="311">
      <c r="A301" s="145" t="n"/>
      <c r="B301" s="145" t="n"/>
      <c r="C301" s="145" t="n"/>
      <c r="D301" s="145" t="n"/>
      <c r="E301" s="145" t="n"/>
      <c r="F301" s="145" t="n"/>
      <c r="G301" s="145" t="n"/>
      <c r="H301" s="145" t="n"/>
      <c r="I301" s="145" t="n"/>
      <c r="J301" s="145" t="n"/>
      <c r="K301" s="145" t="n"/>
      <c r="L301" s="145" t="n"/>
      <c r="M301" s="145" t="n"/>
      <c r="N301" s="145" t="n"/>
      <c r="O301" s="145" t="n"/>
      <c r="P301" s="145" t="n"/>
      <c r="Q301" s="145" t="n"/>
      <c r="R301" s="145" t="n"/>
      <c r="S301" s="145" t="n"/>
      <c r="T301" s="145" t="n"/>
      <c r="U301" s="145" t="n"/>
      <c r="V301" s="145" t="n"/>
      <c r="W301" s="145" t="n"/>
      <c r="X301" s="145" t="n"/>
      <c r="Y301" s="145" t="n"/>
      <c r="Z301" s="145" t="n"/>
    </row>
    <row r="302" ht="15.75" customHeight="1" s="311">
      <c r="A302" s="145" t="n"/>
      <c r="B302" s="145" t="n"/>
      <c r="C302" s="145" t="n"/>
      <c r="D302" s="145" t="n"/>
      <c r="E302" s="145" t="n"/>
      <c r="F302" s="145" t="n"/>
      <c r="G302" s="145" t="n"/>
      <c r="H302" s="145" t="n"/>
      <c r="I302" s="145" t="n"/>
      <c r="J302" s="145" t="n"/>
      <c r="K302" s="145" t="n"/>
      <c r="L302" s="145" t="n"/>
      <c r="M302" s="145" t="n"/>
      <c r="N302" s="145" t="n"/>
      <c r="O302" s="145" t="n"/>
      <c r="P302" s="145" t="n"/>
      <c r="Q302" s="145" t="n"/>
      <c r="R302" s="145" t="n"/>
      <c r="S302" s="145" t="n"/>
      <c r="T302" s="145" t="n"/>
      <c r="U302" s="145" t="n"/>
      <c r="V302" s="145" t="n"/>
      <c r="W302" s="145" t="n"/>
      <c r="X302" s="145" t="n"/>
      <c r="Y302" s="145" t="n"/>
      <c r="Z302" s="145" t="n"/>
    </row>
    <row r="303" ht="15.75" customHeight="1" s="311">
      <c r="A303" s="145" t="n"/>
      <c r="B303" s="145" t="n"/>
      <c r="C303" s="145" t="n"/>
      <c r="D303" s="145" t="n"/>
      <c r="E303" s="145" t="n"/>
      <c r="F303" s="145" t="n"/>
      <c r="G303" s="145" t="n"/>
      <c r="H303" s="145" t="n"/>
      <c r="I303" s="145" t="n"/>
      <c r="J303" s="145" t="n"/>
      <c r="K303" s="145" t="n"/>
      <c r="L303" s="145" t="n"/>
      <c r="M303" s="145" t="n"/>
      <c r="N303" s="145" t="n"/>
      <c r="O303" s="145" t="n"/>
      <c r="P303" s="145" t="n"/>
      <c r="Q303" s="145" t="n"/>
      <c r="R303" s="145" t="n"/>
      <c r="S303" s="145" t="n"/>
      <c r="T303" s="145" t="n"/>
      <c r="U303" s="145" t="n"/>
      <c r="V303" s="145" t="n"/>
      <c r="W303" s="145" t="n"/>
      <c r="X303" s="145" t="n"/>
      <c r="Y303" s="145" t="n"/>
      <c r="Z303" s="145" t="n"/>
    </row>
    <row r="304" ht="15.75" customHeight="1" s="311">
      <c r="A304" s="145" t="n"/>
      <c r="B304" s="145" t="n"/>
      <c r="C304" s="145" t="n"/>
      <c r="D304" s="145" t="n"/>
      <c r="E304" s="145" t="n"/>
      <c r="F304" s="145" t="n"/>
      <c r="G304" s="145" t="n"/>
      <c r="H304" s="145" t="n"/>
      <c r="I304" s="145" t="n"/>
      <c r="J304" s="145" t="n"/>
      <c r="K304" s="145" t="n"/>
      <c r="L304" s="145" t="n"/>
      <c r="M304" s="145" t="n"/>
      <c r="N304" s="145" t="n"/>
      <c r="O304" s="145" t="n"/>
      <c r="P304" s="145" t="n"/>
      <c r="Q304" s="145" t="n"/>
      <c r="R304" s="145" t="n"/>
      <c r="S304" s="145" t="n"/>
      <c r="T304" s="145" t="n"/>
      <c r="U304" s="145" t="n"/>
      <c r="V304" s="145" t="n"/>
      <c r="W304" s="145" t="n"/>
      <c r="X304" s="145" t="n"/>
      <c r="Y304" s="145" t="n"/>
      <c r="Z304" s="145" t="n"/>
    </row>
    <row r="305" ht="15.75" customHeight="1" s="311">
      <c r="A305" s="145" t="n"/>
      <c r="B305" s="145" t="n"/>
      <c r="C305" s="145" t="n"/>
      <c r="D305" s="145" t="n"/>
      <c r="E305" s="145" t="n"/>
      <c r="F305" s="145" t="n"/>
      <c r="G305" s="145" t="n"/>
      <c r="H305" s="145" t="n"/>
      <c r="I305" s="145" t="n"/>
      <c r="J305" s="145" t="n"/>
      <c r="K305" s="145" t="n"/>
      <c r="L305" s="145" t="n"/>
      <c r="M305" s="145" t="n"/>
      <c r="N305" s="145" t="n"/>
      <c r="O305" s="145" t="n"/>
      <c r="P305" s="145" t="n"/>
      <c r="Q305" s="145" t="n"/>
      <c r="R305" s="145" t="n"/>
      <c r="S305" s="145" t="n"/>
      <c r="T305" s="145" t="n"/>
      <c r="U305" s="145" t="n"/>
      <c r="V305" s="145" t="n"/>
      <c r="W305" s="145" t="n"/>
      <c r="X305" s="145" t="n"/>
      <c r="Y305" s="145" t="n"/>
      <c r="Z305" s="145" t="n"/>
    </row>
    <row r="306" ht="15.75" customHeight="1" s="311">
      <c r="A306" s="1" t="n"/>
      <c r="B306" s="1" t="n"/>
      <c r="C306" s="1" t="n"/>
      <c r="D306" s="1" t="n"/>
      <c r="E306" s="1" t="n"/>
      <c r="F306" s="1" t="n"/>
    </row>
    <row r="307" ht="15.75" customHeight="1" s="311">
      <c r="A307" s="1" t="n"/>
      <c r="B307" s="1" t="n"/>
      <c r="C307" s="1" t="n"/>
      <c r="D307" s="1" t="n"/>
      <c r="E307" s="1" t="n"/>
      <c r="F307" s="1" t="n"/>
    </row>
    <row r="308" ht="15.75" customHeight="1" s="311">
      <c r="A308" s="1" t="n"/>
      <c r="B308" s="1" t="n"/>
      <c r="C308" s="1" t="n"/>
      <c r="D308" s="1" t="n"/>
      <c r="E308" s="1" t="n"/>
      <c r="F308" s="1" t="n"/>
    </row>
    <row r="309" ht="15.75" customHeight="1" s="311">
      <c r="A309" s="1" t="n"/>
      <c r="B309" s="1" t="n"/>
      <c r="C309" s="1" t="n"/>
      <c r="D309" s="1" t="n"/>
      <c r="E309" s="1" t="n"/>
      <c r="F309" s="1" t="n"/>
    </row>
    <row r="310" ht="15.75" customHeight="1" s="311">
      <c r="A310" s="1" t="n"/>
      <c r="B310" s="1" t="n"/>
      <c r="C310" s="1" t="n"/>
      <c r="D310" s="1" t="n"/>
      <c r="E310" s="1" t="n"/>
      <c r="F310" s="1" t="n"/>
    </row>
    <row r="311" ht="15.75" customHeight="1" s="311">
      <c r="A311" s="1" t="n"/>
      <c r="B311" s="1" t="n"/>
      <c r="C311" s="1" t="n"/>
      <c r="D311" s="1" t="n"/>
      <c r="E311" s="1" t="n"/>
      <c r="F311" s="1" t="n"/>
    </row>
    <row r="312" ht="15.75" customHeight="1" s="311">
      <c r="A312" s="1" t="n"/>
      <c r="B312" s="1" t="n"/>
      <c r="C312" s="1" t="n"/>
      <c r="D312" s="1" t="n"/>
      <c r="E312" s="1" t="n"/>
      <c r="F312" s="1" t="n"/>
    </row>
    <row r="313" ht="15.75" customHeight="1" s="311">
      <c r="A313" s="1" t="n"/>
      <c r="B313" s="1" t="n"/>
      <c r="C313" s="1" t="n"/>
      <c r="D313" s="1" t="n"/>
      <c r="E313" s="1" t="n"/>
      <c r="F313" s="1" t="n"/>
    </row>
    <row r="314" ht="15.75" customHeight="1" s="311">
      <c r="A314" s="1" t="n"/>
      <c r="B314" s="1" t="n"/>
      <c r="C314" s="1" t="n"/>
      <c r="D314" s="1" t="n"/>
      <c r="E314" s="1" t="n"/>
      <c r="F314" s="1" t="n"/>
    </row>
    <row r="315" ht="15.75" customHeight="1" s="311">
      <c r="A315" s="1" t="n"/>
      <c r="B315" s="1" t="n"/>
      <c r="C315" s="1" t="n"/>
      <c r="D315" s="1" t="n"/>
      <c r="E315" s="1" t="n"/>
      <c r="F315" s="1" t="n"/>
    </row>
    <row r="316" ht="15.75" customHeight="1" s="311">
      <c r="A316" s="1" t="n"/>
      <c r="B316" s="1" t="n"/>
      <c r="C316" s="1" t="n"/>
      <c r="D316" s="1" t="n"/>
      <c r="E316" s="1" t="n"/>
      <c r="F316" s="1" t="n"/>
    </row>
    <row r="317" ht="15.75" customHeight="1" s="311">
      <c r="A317" s="1" t="n"/>
      <c r="B317" s="1" t="n"/>
      <c r="C317" s="1" t="n"/>
      <c r="D317" s="1" t="n"/>
      <c r="E317" s="1" t="n"/>
      <c r="F317" s="1" t="n"/>
    </row>
    <row r="318" ht="15.75" customHeight="1" s="311">
      <c r="A318" s="1" t="n"/>
      <c r="B318" s="1" t="n"/>
      <c r="C318" s="1" t="n"/>
      <c r="D318" s="1" t="n"/>
      <c r="E318" s="1" t="n"/>
      <c r="F318" s="1" t="n"/>
    </row>
    <row r="319" ht="15.75" customHeight="1" s="311">
      <c r="A319" s="1" t="n"/>
      <c r="B319" s="1" t="n"/>
      <c r="C319" s="1" t="n"/>
      <c r="D319" s="1" t="n"/>
      <c r="E319" s="1" t="n"/>
      <c r="F319" s="1" t="n"/>
    </row>
    <row r="320" ht="15.75" customHeight="1" s="311">
      <c r="A320" s="1" t="n"/>
      <c r="B320" s="1" t="n"/>
      <c r="C320" s="1" t="n"/>
      <c r="D320" s="1" t="n"/>
      <c r="E320" s="1" t="n"/>
      <c r="F320" s="1" t="n"/>
    </row>
    <row r="321" ht="15.75" customHeight="1" s="311">
      <c r="A321" s="1" t="n"/>
      <c r="B321" s="1" t="n"/>
      <c r="C321" s="1" t="n"/>
      <c r="D321" s="1" t="n"/>
      <c r="E321" s="1" t="n"/>
      <c r="F321" s="1" t="n"/>
    </row>
    <row r="322" ht="15.75" customHeight="1" s="311">
      <c r="A322" s="1" t="n"/>
      <c r="B322" s="1" t="n"/>
      <c r="C322" s="1" t="n"/>
      <c r="D322" s="1" t="n"/>
      <c r="E322" s="1" t="n"/>
      <c r="F322" s="1" t="n"/>
    </row>
    <row r="323" ht="15.75" customHeight="1" s="311">
      <c r="A323" s="1" t="n"/>
      <c r="B323" s="1" t="n"/>
      <c r="C323" s="1" t="n"/>
      <c r="D323" s="1" t="n"/>
      <c r="E323" s="1" t="n"/>
      <c r="F323" s="1" t="n"/>
    </row>
    <row r="324" ht="15.75" customHeight="1" s="311">
      <c r="A324" s="1" t="n"/>
      <c r="B324" s="1" t="n"/>
      <c r="C324" s="1" t="n"/>
      <c r="D324" s="1" t="n"/>
      <c r="E324" s="1" t="n"/>
      <c r="F324" s="1" t="n"/>
    </row>
    <row r="325" ht="15.75" customHeight="1" s="311">
      <c r="A325" s="1" t="n"/>
      <c r="B325" s="1" t="n"/>
      <c r="C325" s="1" t="n"/>
      <c r="D325" s="1" t="n"/>
      <c r="E325" s="1" t="n"/>
      <c r="F325" s="1" t="n"/>
    </row>
    <row r="326" ht="15.75" customHeight="1" s="311">
      <c r="A326" s="1" t="n"/>
      <c r="B326" s="1" t="n"/>
      <c r="C326" s="1" t="n"/>
      <c r="D326" s="1" t="n"/>
      <c r="E326" s="1" t="n"/>
      <c r="F326" s="1" t="n"/>
    </row>
    <row r="327" ht="15.75" customHeight="1" s="311">
      <c r="A327" s="1" t="n"/>
      <c r="B327" s="1" t="n"/>
      <c r="C327" s="1" t="n"/>
      <c r="D327" s="1" t="n"/>
      <c r="E327" s="1" t="n"/>
      <c r="F327" s="1" t="n"/>
    </row>
    <row r="328" ht="15.75" customHeight="1" s="311">
      <c r="A328" s="1" t="n"/>
      <c r="B328" s="1" t="n"/>
      <c r="C328" s="1" t="n"/>
      <c r="D328" s="1" t="n"/>
      <c r="E328" s="1" t="n"/>
      <c r="F328" s="1" t="n"/>
    </row>
    <row r="329" ht="15.75" customHeight="1" s="311">
      <c r="A329" s="1" t="n"/>
      <c r="B329" s="1" t="n"/>
      <c r="C329" s="1" t="n"/>
      <c r="D329" s="1" t="n"/>
      <c r="E329" s="1" t="n"/>
      <c r="F329" s="1" t="n"/>
    </row>
    <row r="330" ht="15.75" customHeight="1" s="311">
      <c r="A330" s="1" t="n"/>
      <c r="B330" s="1" t="n"/>
      <c r="C330" s="1" t="n"/>
      <c r="D330" s="1" t="n"/>
      <c r="E330" s="1" t="n"/>
      <c r="F330" s="1" t="n"/>
    </row>
    <row r="331" ht="15.75" customHeight="1" s="311">
      <c r="A331" s="1" t="n"/>
      <c r="B331" s="1" t="n"/>
      <c r="C331" s="1" t="n"/>
      <c r="D331" s="1" t="n"/>
      <c r="E331" s="1" t="n"/>
      <c r="F331" s="1" t="n"/>
    </row>
    <row r="332" ht="15.75" customHeight="1" s="311">
      <c r="A332" s="1" t="n"/>
      <c r="B332" s="1" t="n"/>
      <c r="C332" s="1" t="n"/>
      <c r="D332" s="1" t="n"/>
      <c r="E332" s="1" t="n"/>
      <c r="F332" s="1" t="n"/>
    </row>
    <row r="333" ht="15.75" customHeight="1" s="311">
      <c r="A333" s="1" t="n"/>
      <c r="B333" s="1" t="n"/>
      <c r="C333" s="1" t="n"/>
      <c r="D333" s="1" t="n"/>
      <c r="E333" s="1" t="n"/>
      <c r="F333" s="1" t="n"/>
    </row>
    <row r="334" ht="15.75" customHeight="1" s="311">
      <c r="A334" s="1" t="n"/>
      <c r="B334" s="1" t="n"/>
      <c r="C334" s="1" t="n"/>
      <c r="D334" s="1" t="n"/>
      <c r="E334" s="1" t="n"/>
      <c r="F334" s="1" t="n"/>
    </row>
    <row r="335" ht="15.75" customHeight="1" s="311">
      <c r="A335" s="1" t="n"/>
      <c r="B335" s="1" t="n"/>
      <c r="C335" s="1" t="n"/>
      <c r="D335" s="1" t="n"/>
      <c r="E335" s="1" t="n"/>
      <c r="F335" s="1" t="n"/>
    </row>
    <row r="336" ht="15.75" customHeight="1" s="311">
      <c r="A336" s="1" t="n"/>
      <c r="B336" s="1" t="n"/>
      <c r="C336" s="1" t="n"/>
      <c r="D336" s="1" t="n"/>
      <c r="E336" s="1" t="n"/>
      <c r="F336" s="1" t="n"/>
    </row>
    <row r="337" ht="15.75" customHeight="1" s="311">
      <c r="A337" s="1" t="n"/>
      <c r="B337" s="1" t="n"/>
      <c r="C337" s="1" t="n"/>
      <c r="D337" s="1" t="n"/>
      <c r="E337" s="1" t="n"/>
      <c r="F337" s="1" t="n"/>
    </row>
    <row r="338" ht="15.75" customHeight="1" s="311">
      <c r="A338" s="1" t="n"/>
      <c r="B338" s="1" t="n"/>
      <c r="C338" s="1" t="n"/>
      <c r="D338" s="1" t="n"/>
      <c r="E338" s="1" t="n"/>
      <c r="F338" s="1" t="n"/>
    </row>
    <row r="339" ht="15.75" customHeight="1" s="311">
      <c r="A339" s="1" t="n"/>
      <c r="B339" s="1" t="n"/>
      <c r="C339" s="1" t="n"/>
      <c r="D339" s="1" t="n"/>
      <c r="E339" s="1" t="n"/>
      <c r="F339" s="1" t="n"/>
    </row>
    <row r="340" ht="15.75" customHeight="1" s="311">
      <c r="A340" s="1" t="n"/>
      <c r="B340" s="1" t="n"/>
      <c r="C340" s="1" t="n"/>
      <c r="D340" s="1" t="n"/>
      <c r="E340" s="1" t="n"/>
      <c r="F340" s="1" t="n"/>
    </row>
    <row r="341" ht="15.75" customHeight="1" s="311">
      <c r="A341" s="1" t="n"/>
      <c r="B341" s="1" t="n"/>
      <c r="C341" s="1" t="n"/>
      <c r="D341" s="1" t="n"/>
      <c r="E341" s="1" t="n"/>
      <c r="F341" s="1" t="n"/>
    </row>
    <row r="342" ht="15.75" customHeight="1" s="311">
      <c r="A342" s="1" t="n"/>
      <c r="B342" s="1" t="n"/>
      <c r="C342" s="1" t="n"/>
      <c r="D342" s="1" t="n"/>
      <c r="E342" s="1" t="n"/>
      <c r="F342" s="1" t="n"/>
    </row>
    <row r="343" ht="15.75" customHeight="1" s="311">
      <c r="A343" s="1" t="n"/>
      <c r="B343" s="1" t="n"/>
      <c r="C343" s="1" t="n"/>
      <c r="D343" s="1" t="n"/>
      <c r="E343" s="1" t="n"/>
      <c r="F343" s="1" t="n"/>
    </row>
    <row r="344" ht="15.75" customHeight="1" s="311">
      <c r="A344" s="1" t="n"/>
      <c r="B344" s="1" t="n"/>
      <c r="C344" s="1" t="n"/>
      <c r="D344" s="1" t="n"/>
      <c r="E344" s="1" t="n"/>
      <c r="F344" s="1" t="n"/>
    </row>
    <row r="345" ht="15.75" customHeight="1" s="311">
      <c r="A345" s="1" t="n"/>
      <c r="B345" s="1" t="n"/>
      <c r="C345" s="1" t="n"/>
      <c r="D345" s="1" t="n"/>
      <c r="E345" s="1" t="n"/>
      <c r="F345" s="1" t="n"/>
    </row>
    <row r="346" ht="15.75" customHeight="1" s="311">
      <c r="A346" s="1" t="n"/>
      <c r="B346" s="1" t="n"/>
      <c r="C346" s="1" t="n"/>
      <c r="D346" s="1" t="n"/>
      <c r="E346" s="1" t="n"/>
      <c r="F346" s="1" t="n"/>
    </row>
    <row r="347" ht="15.75" customHeight="1" s="311">
      <c r="A347" s="1" t="n"/>
      <c r="B347" s="1" t="n"/>
      <c r="C347" s="1" t="n"/>
      <c r="D347" s="1" t="n"/>
      <c r="E347" s="1" t="n"/>
      <c r="F347" s="1" t="n"/>
    </row>
    <row r="348" ht="15.75" customHeight="1" s="311">
      <c r="A348" s="1" t="n"/>
      <c r="B348" s="1" t="n"/>
      <c r="C348" s="1" t="n"/>
      <c r="D348" s="1" t="n"/>
      <c r="E348" s="1" t="n"/>
      <c r="F348" s="1" t="n"/>
    </row>
    <row r="349" ht="15.75" customHeight="1" s="311">
      <c r="A349" s="1" t="n"/>
      <c r="B349" s="1" t="n"/>
      <c r="C349" s="1" t="n"/>
      <c r="D349" s="1" t="n"/>
      <c r="E349" s="1" t="n"/>
      <c r="F349" s="1" t="n"/>
    </row>
    <row r="350" ht="15.75" customHeight="1" s="311">
      <c r="A350" s="1" t="n"/>
      <c r="B350" s="1" t="n"/>
      <c r="C350" s="1" t="n"/>
      <c r="D350" s="1" t="n"/>
      <c r="E350" s="1" t="n"/>
      <c r="F350" s="1" t="n"/>
    </row>
    <row r="351" ht="15.75" customHeight="1" s="311">
      <c r="A351" s="1" t="n"/>
      <c r="B351" s="1" t="n"/>
      <c r="C351" s="1" t="n"/>
      <c r="D351" s="1" t="n"/>
      <c r="E351" s="1" t="n"/>
      <c r="F351" s="1" t="n"/>
    </row>
    <row r="352" ht="15.75" customHeight="1" s="311">
      <c r="A352" s="1" t="n"/>
      <c r="B352" s="1" t="n"/>
      <c r="C352" s="1" t="n"/>
      <c r="D352" s="1" t="n"/>
      <c r="E352" s="1" t="n"/>
      <c r="F352" s="1" t="n"/>
    </row>
    <row r="353" ht="15.75" customHeight="1" s="311">
      <c r="A353" s="1" t="n"/>
      <c r="B353" s="1" t="n"/>
      <c r="C353" s="1" t="n"/>
      <c r="D353" s="1" t="n"/>
      <c r="E353" s="1" t="n"/>
      <c r="F353" s="1" t="n"/>
    </row>
    <row r="354" ht="15.75" customHeight="1" s="311">
      <c r="A354" s="1" t="n"/>
      <c r="B354" s="1" t="n"/>
      <c r="C354" s="1" t="n"/>
      <c r="D354" s="1" t="n"/>
      <c r="E354" s="1" t="n"/>
      <c r="F354" s="1" t="n"/>
    </row>
    <row r="355" ht="15.75" customHeight="1" s="311">
      <c r="A355" s="1" t="n"/>
      <c r="B355" s="1" t="n"/>
      <c r="C355" s="1" t="n"/>
      <c r="D355" s="1" t="n"/>
      <c r="E355" s="1" t="n"/>
      <c r="F355" s="1" t="n"/>
    </row>
    <row r="356" ht="15.75" customHeight="1" s="311">
      <c r="A356" s="1" t="n"/>
      <c r="B356" s="1" t="n"/>
      <c r="C356" s="1" t="n"/>
      <c r="D356" s="1" t="n"/>
      <c r="E356" s="1" t="n"/>
      <c r="F356" s="1" t="n"/>
    </row>
    <row r="357" ht="15.75" customHeight="1" s="311">
      <c r="A357" s="1" t="n"/>
      <c r="B357" s="1" t="n"/>
      <c r="C357" s="1" t="n"/>
      <c r="D357" s="1" t="n"/>
      <c r="E357" s="1" t="n"/>
      <c r="F357" s="1" t="n"/>
    </row>
    <row r="358" ht="15.75" customHeight="1" s="311">
      <c r="A358" s="1" t="n"/>
      <c r="B358" s="1" t="n"/>
      <c r="C358" s="1" t="n"/>
      <c r="D358" s="1" t="n"/>
      <c r="E358" s="1" t="n"/>
      <c r="F358" s="1" t="n"/>
    </row>
    <row r="359" ht="15.75" customHeight="1" s="311">
      <c r="A359" s="1" t="n"/>
      <c r="B359" s="1" t="n"/>
      <c r="C359" s="1" t="n"/>
      <c r="D359" s="1" t="n"/>
      <c r="E359" s="1" t="n"/>
      <c r="F359" s="1" t="n"/>
    </row>
    <row r="360" ht="15.75" customHeight="1" s="311">
      <c r="A360" s="1" t="n"/>
      <c r="B360" s="1" t="n"/>
      <c r="C360" s="1" t="n"/>
      <c r="D360" s="1" t="n"/>
      <c r="E360" s="1" t="n"/>
      <c r="F360" s="1" t="n"/>
    </row>
    <row r="361" ht="15.75" customHeight="1" s="311">
      <c r="A361" s="1" t="n"/>
      <c r="B361" s="1" t="n"/>
      <c r="C361" s="1" t="n"/>
      <c r="D361" s="1" t="n"/>
      <c r="E361" s="1" t="n"/>
      <c r="F361" s="1" t="n"/>
    </row>
    <row r="362" ht="15.75" customHeight="1" s="311">
      <c r="A362" s="1" t="n"/>
      <c r="B362" s="1" t="n"/>
      <c r="C362" s="1" t="n"/>
      <c r="D362" s="1" t="n"/>
      <c r="E362" s="1" t="n"/>
      <c r="F362" s="1" t="n"/>
    </row>
    <row r="363" ht="15.75" customHeight="1" s="311">
      <c r="A363" s="1" t="n"/>
      <c r="B363" s="1" t="n"/>
      <c r="C363" s="1" t="n"/>
      <c r="D363" s="1" t="n"/>
      <c r="E363" s="1" t="n"/>
      <c r="F363" s="1" t="n"/>
    </row>
    <row r="364" ht="15.75" customHeight="1" s="311">
      <c r="A364" s="1" t="n"/>
      <c r="B364" s="1" t="n"/>
      <c r="C364" s="1" t="n"/>
      <c r="D364" s="1" t="n"/>
      <c r="E364" s="1" t="n"/>
      <c r="F364" s="1" t="n"/>
    </row>
    <row r="365" ht="15.75" customHeight="1" s="311">
      <c r="A365" s="1" t="n"/>
      <c r="B365" s="1" t="n"/>
      <c r="C365" s="1" t="n"/>
      <c r="D365" s="1" t="n"/>
      <c r="E365" s="1" t="n"/>
      <c r="F365" s="1" t="n"/>
    </row>
    <row r="366" ht="15.75" customHeight="1" s="311">
      <c r="A366" s="1" t="n"/>
      <c r="B366" s="1" t="n"/>
      <c r="C366" s="1" t="n"/>
      <c r="D366" s="1" t="n"/>
      <c r="E366" s="1" t="n"/>
      <c r="F366" s="1" t="n"/>
    </row>
    <row r="367" ht="15.75" customHeight="1" s="311">
      <c r="A367" s="1" t="n"/>
      <c r="B367" s="1" t="n"/>
      <c r="C367" s="1" t="n"/>
      <c r="D367" s="1" t="n"/>
      <c r="E367" s="1" t="n"/>
      <c r="F367" s="1" t="n"/>
    </row>
    <row r="368" ht="15.75" customHeight="1" s="311">
      <c r="A368" s="1" t="n"/>
      <c r="B368" s="1" t="n"/>
      <c r="C368" s="1" t="n"/>
      <c r="D368" s="1" t="n"/>
      <c r="E368" s="1" t="n"/>
      <c r="F368" s="1" t="n"/>
    </row>
    <row r="369" ht="15.75" customHeight="1" s="311">
      <c r="A369" s="1" t="n"/>
      <c r="B369" s="1" t="n"/>
      <c r="C369" s="1" t="n"/>
      <c r="D369" s="1" t="n"/>
      <c r="E369" s="1" t="n"/>
      <c r="F369" s="1" t="n"/>
    </row>
    <row r="370" ht="15.75" customHeight="1" s="311">
      <c r="A370" s="1" t="n"/>
      <c r="B370" s="1" t="n"/>
      <c r="C370" s="1" t="n"/>
      <c r="D370" s="1" t="n"/>
      <c r="E370" s="1" t="n"/>
      <c r="F370" s="1" t="n"/>
    </row>
    <row r="371" ht="15.75" customHeight="1" s="311">
      <c r="A371" s="1" t="n"/>
      <c r="B371" s="1" t="n"/>
      <c r="C371" s="1" t="n"/>
      <c r="D371" s="1" t="n"/>
      <c r="E371" s="1" t="n"/>
      <c r="F371" s="1" t="n"/>
    </row>
    <row r="372" ht="15.75" customHeight="1" s="311">
      <c r="A372" s="1" t="n"/>
      <c r="B372" s="1" t="n"/>
      <c r="C372" s="1" t="n"/>
      <c r="D372" s="1" t="n"/>
      <c r="E372" s="1" t="n"/>
      <c r="F372" s="1" t="n"/>
    </row>
    <row r="373" ht="15.75" customHeight="1" s="311">
      <c r="A373" s="1" t="n"/>
      <c r="B373" s="1" t="n"/>
      <c r="C373" s="1" t="n"/>
      <c r="D373" s="1" t="n"/>
      <c r="E373" s="1" t="n"/>
      <c r="F373" s="1" t="n"/>
    </row>
    <row r="374" ht="15.75" customHeight="1" s="311">
      <c r="A374" s="1" t="n"/>
      <c r="B374" s="1" t="n"/>
      <c r="C374" s="1" t="n"/>
      <c r="D374" s="1" t="n"/>
      <c r="E374" s="1" t="n"/>
      <c r="F374" s="1" t="n"/>
    </row>
    <row r="375" ht="15.75" customHeight="1" s="311">
      <c r="A375" s="1" t="n"/>
      <c r="B375" s="1" t="n"/>
      <c r="C375" s="1" t="n"/>
      <c r="D375" s="1" t="n"/>
      <c r="E375" s="1" t="n"/>
      <c r="F375" s="1" t="n"/>
    </row>
    <row r="376" ht="15.75" customHeight="1" s="311">
      <c r="A376" s="1" t="n"/>
      <c r="B376" s="1" t="n"/>
      <c r="C376" s="1" t="n"/>
      <c r="D376" s="1" t="n"/>
      <c r="E376" s="1" t="n"/>
      <c r="F376" s="1" t="n"/>
    </row>
    <row r="377" ht="15.75" customHeight="1" s="311">
      <c r="A377" s="1" t="n"/>
      <c r="B377" s="1" t="n"/>
      <c r="C377" s="1" t="n"/>
      <c r="D377" s="1" t="n"/>
      <c r="E377" s="1" t="n"/>
      <c r="F377" s="1" t="n"/>
    </row>
    <row r="378" ht="15.75" customHeight="1" s="311">
      <c r="A378" s="1" t="n"/>
      <c r="B378" s="1" t="n"/>
      <c r="C378" s="1" t="n"/>
      <c r="D378" s="1" t="n"/>
      <c r="E378" s="1" t="n"/>
      <c r="F378" s="1" t="n"/>
    </row>
    <row r="379" ht="15.75" customHeight="1" s="311">
      <c r="A379" s="1" t="n"/>
      <c r="B379" s="1" t="n"/>
      <c r="C379" s="1" t="n"/>
      <c r="D379" s="1" t="n"/>
      <c r="E379" s="1" t="n"/>
      <c r="F379" s="1" t="n"/>
    </row>
    <row r="380" ht="15.75" customHeight="1" s="311">
      <c r="A380" s="1" t="n"/>
      <c r="B380" s="1" t="n"/>
      <c r="C380" s="1" t="n"/>
      <c r="D380" s="1" t="n"/>
      <c r="E380" s="1" t="n"/>
      <c r="F380" s="1" t="n"/>
    </row>
    <row r="381" ht="15.75" customHeight="1" s="311">
      <c r="A381" s="1" t="n"/>
      <c r="B381" s="1" t="n"/>
      <c r="C381" s="1" t="n"/>
      <c r="D381" s="1" t="n"/>
      <c r="E381" s="1" t="n"/>
      <c r="F381" s="1" t="n"/>
    </row>
    <row r="382" ht="15.75" customHeight="1" s="311">
      <c r="A382" s="1" t="n"/>
      <c r="B382" s="1" t="n"/>
      <c r="C382" s="1" t="n"/>
      <c r="D382" s="1" t="n"/>
      <c r="E382" s="1" t="n"/>
      <c r="F382" s="1" t="n"/>
    </row>
    <row r="383" ht="15.75" customHeight="1" s="311">
      <c r="A383" s="1" t="n"/>
      <c r="B383" s="1" t="n"/>
      <c r="C383" s="1" t="n"/>
      <c r="D383" s="1" t="n"/>
      <c r="E383" s="1" t="n"/>
      <c r="F383" s="1" t="n"/>
    </row>
    <row r="384" ht="15.75" customHeight="1" s="311">
      <c r="A384" s="1" t="n"/>
      <c r="B384" s="1" t="n"/>
      <c r="C384" s="1" t="n"/>
      <c r="D384" s="1" t="n"/>
      <c r="E384" s="1" t="n"/>
      <c r="F384" s="1" t="n"/>
    </row>
    <row r="385" ht="15.75" customHeight="1" s="311">
      <c r="A385" s="1" t="n"/>
      <c r="B385" s="1" t="n"/>
      <c r="C385" s="1" t="n"/>
      <c r="D385" s="1" t="n"/>
      <c r="E385" s="1" t="n"/>
      <c r="F385" s="1" t="n"/>
    </row>
    <row r="386" ht="15.75" customHeight="1" s="311">
      <c r="A386" s="1" t="n"/>
      <c r="B386" s="1" t="n"/>
      <c r="C386" s="1" t="n"/>
      <c r="D386" s="1" t="n"/>
      <c r="E386" s="1" t="n"/>
      <c r="F386" s="1" t="n"/>
    </row>
    <row r="387" ht="15.75" customHeight="1" s="311">
      <c r="A387" s="1" t="n"/>
      <c r="B387" s="1" t="n"/>
      <c r="C387" s="1" t="n"/>
      <c r="D387" s="1" t="n"/>
      <c r="E387" s="1" t="n"/>
      <c r="F387" s="1" t="n"/>
    </row>
    <row r="388" ht="15.75" customHeight="1" s="311">
      <c r="A388" s="1" t="n"/>
      <c r="B388" s="1" t="n"/>
      <c r="C388" s="1" t="n"/>
      <c r="D388" s="1" t="n"/>
      <c r="E388" s="1" t="n"/>
      <c r="F388" s="1" t="n"/>
    </row>
    <row r="389" ht="15.75" customHeight="1" s="311">
      <c r="A389" s="1" t="n"/>
      <c r="B389" s="1" t="n"/>
      <c r="C389" s="1" t="n"/>
      <c r="D389" s="1" t="n"/>
      <c r="E389" s="1" t="n"/>
      <c r="F389" s="1" t="n"/>
    </row>
    <row r="390" ht="15.75" customHeight="1" s="311">
      <c r="A390" s="1" t="n"/>
      <c r="B390" s="1" t="n"/>
      <c r="C390" s="1" t="n"/>
      <c r="D390" s="1" t="n"/>
      <c r="E390" s="1" t="n"/>
      <c r="F390" s="1" t="n"/>
    </row>
    <row r="391" ht="15.75" customHeight="1" s="311">
      <c r="A391" s="1" t="n"/>
      <c r="B391" s="1" t="n"/>
      <c r="C391" s="1" t="n"/>
      <c r="D391" s="1" t="n"/>
      <c r="E391" s="1" t="n"/>
      <c r="F391" s="1" t="n"/>
    </row>
    <row r="392" ht="15.75" customHeight="1" s="311">
      <c r="A392" s="1" t="n"/>
      <c r="B392" s="1" t="n"/>
      <c r="C392" s="1" t="n"/>
      <c r="D392" s="1" t="n"/>
      <c r="E392" s="1" t="n"/>
      <c r="F392" s="1" t="n"/>
    </row>
    <row r="393" ht="15.75" customHeight="1" s="311">
      <c r="A393" s="1" t="n"/>
      <c r="B393" s="1" t="n"/>
      <c r="C393" s="1" t="n"/>
      <c r="D393" s="1" t="n"/>
      <c r="E393" s="1" t="n"/>
      <c r="F393" s="1" t="n"/>
    </row>
    <row r="394" ht="15.75" customHeight="1" s="311">
      <c r="A394" s="1" t="n"/>
      <c r="B394" s="1" t="n"/>
      <c r="C394" s="1" t="n"/>
      <c r="D394" s="1" t="n"/>
      <c r="E394" s="1" t="n"/>
      <c r="F394" s="1" t="n"/>
    </row>
    <row r="395" ht="15.75" customHeight="1" s="311">
      <c r="A395" s="1" t="n"/>
      <c r="B395" s="1" t="n"/>
      <c r="C395" s="1" t="n"/>
      <c r="D395" s="1" t="n"/>
      <c r="E395" s="1" t="n"/>
      <c r="F395" s="1" t="n"/>
    </row>
    <row r="396" ht="15.75" customHeight="1" s="311">
      <c r="A396" s="1" t="n"/>
      <c r="B396" s="1" t="n"/>
      <c r="C396" s="1" t="n"/>
      <c r="D396" s="1" t="n"/>
      <c r="E396" s="1" t="n"/>
      <c r="F396" s="1" t="n"/>
    </row>
    <row r="397" ht="15.75" customHeight="1" s="311">
      <c r="A397" s="1" t="n"/>
      <c r="B397" s="1" t="n"/>
      <c r="C397" s="1" t="n"/>
      <c r="D397" s="1" t="n"/>
      <c r="E397" s="1" t="n"/>
      <c r="F397" s="1" t="n"/>
    </row>
    <row r="398" ht="15.75" customHeight="1" s="311">
      <c r="A398" s="1" t="n"/>
      <c r="B398" s="1" t="n"/>
      <c r="C398" s="1" t="n"/>
      <c r="D398" s="1" t="n"/>
      <c r="E398" s="1" t="n"/>
      <c r="F398" s="1" t="n"/>
    </row>
    <row r="399" ht="15.75" customHeight="1" s="311">
      <c r="A399" s="1" t="n"/>
      <c r="B399" s="1" t="n"/>
      <c r="C399" s="1" t="n"/>
      <c r="D399" s="1" t="n"/>
      <c r="E399" s="1" t="n"/>
      <c r="F399" s="1" t="n"/>
    </row>
    <row r="400" ht="15.75" customHeight="1" s="311">
      <c r="A400" s="1" t="n"/>
      <c r="B400" s="1" t="n"/>
      <c r="C400" s="1" t="n"/>
      <c r="D400" s="1" t="n"/>
      <c r="E400" s="1" t="n"/>
      <c r="F400" s="1" t="n"/>
    </row>
    <row r="401" ht="15.75" customHeight="1" s="311">
      <c r="A401" s="1" t="n"/>
      <c r="B401" s="1" t="n"/>
      <c r="C401" s="1" t="n"/>
      <c r="D401" s="1" t="n"/>
      <c r="E401" s="1" t="n"/>
      <c r="F401" s="1" t="n"/>
    </row>
    <row r="402" ht="15.75" customHeight="1" s="311">
      <c r="A402" s="1" t="n"/>
      <c r="B402" s="1" t="n"/>
      <c r="C402" s="1" t="n"/>
      <c r="D402" s="1" t="n"/>
      <c r="E402" s="1" t="n"/>
      <c r="F402" s="1" t="n"/>
    </row>
    <row r="403" ht="15.75" customHeight="1" s="311">
      <c r="A403" s="1" t="n"/>
      <c r="B403" s="1" t="n"/>
      <c r="C403" s="1" t="n"/>
      <c r="D403" s="1" t="n"/>
      <c r="E403" s="1" t="n"/>
      <c r="F403" s="1" t="n"/>
    </row>
    <row r="404" ht="15.75" customHeight="1" s="311">
      <c r="A404" s="1" t="n"/>
      <c r="B404" s="1" t="n"/>
      <c r="C404" s="1" t="n"/>
      <c r="D404" s="1" t="n"/>
      <c r="E404" s="1" t="n"/>
      <c r="F404" s="1" t="n"/>
    </row>
    <row r="405" ht="15.75" customHeight="1" s="311">
      <c r="A405" s="1" t="n"/>
      <c r="B405" s="1" t="n"/>
      <c r="C405" s="1" t="n"/>
      <c r="D405" s="1" t="n"/>
      <c r="E405" s="1" t="n"/>
      <c r="F405" s="1" t="n"/>
    </row>
    <row r="406" ht="15.75" customHeight="1" s="311">
      <c r="A406" s="1" t="n"/>
      <c r="B406" s="1" t="n"/>
      <c r="C406" s="1" t="n"/>
      <c r="D406" s="1" t="n"/>
      <c r="E406" s="1" t="n"/>
      <c r="F406" s="1" t="n"/>
    </row>
    <row r="407" ht="15.75" customHeight="1" s="311">
      <c r="A407" s="1" t="n"/>
      <c r="B407" s="1" t="n"/>
      <c r="C407" s="1" t="n"/>
      <c r="D407" s="1" t="n"/>
      <c r="E407" s="1" t="n"/>
      <c r="F407" s="1" t="n"/>
    </row>
    <row r="408" ht="15.75" customHeight="1" s="311">
      <c r="A408" s="1" t="n"/>
      <c r="B408" s="1" t="n"/>
      <c r="C408" s="1" t="n"/>
      <c r="D408" s="1" t="n"/>
      <c r="E408" s="1" t="n"/>
      <c r="F408" s="1" t="n"/>
    </row>
    <row r="409" ht="15.75" customHeight="1" s="311">
      <c r="A409" s="1" t="n"/>
      <c r="B409" s="1" t="n"/>
      <c r="C409" s="1" t="n"/>
      <c r="D409" s="1" t="n"/>
      <c r="E409" s="1" t="n"/>
      <c r="F409" s="1" t="n"/>
    </row>
    <row r="410" ht="15.75" customHeight="1" s="311">
      <c r="A410" s="1" t="n"/>
      <c r="B410" s="1" t="n"/>
      <c r="C410" s="1" t="n"/>
      <c r="D410" s="1" t="n"/>
      <c r="E410" s="1" t="n"/>
      <c r="F410" s="1" t="n"/>
    </row>
    <row r="411" ht="15.75" customHeight="1" s="311">
      <c r="A411" s="1" t="n"/>
      <c r="B411" s="1" t="n"/>
      <c r="C411" s="1" t="n"/>
      <c r="D411" s="1" t="n"/>
      <c r="E411" s="1" t="n"/>
      <c r="F411" s="1" t="n"/>
    </row>
    <row r="412" ht="15.75" customHeight="1" s="311">
      <c r="A412" s="1" t="n"/>
      <c r="B412" s="1" t="n"/>
      <c r="C412" s="1" t="n"/>
      <c r="D412" s="1" t="n"/>
      <c r="E412" s="1" t="n"/>
      <c r="F412" s="1" t="n"/>
    </row>
    <row r="413" ht="15.75" customHeight="1" s="311">
      <c r="A413" s="1" t="n"/>
      <c r="B413" s="1" t="n"/>
      <c r="C413" s="1" t="n"/>
      <c r="D413" s="1" t="n"/>
      <c r="E413" s="1" t="n"/>
      <c r="F413" s="1" t="n"/>
    </row>
    <row r="414" ht="15.75" customHeight="1" s="311">
      <c r="A414" s="1" t="n"/>
      <c r="B414" s="1" t="n"/>
      <c r="C414" s="1" t="n"/>
      <c r="D414" s="1" t="n"/>
      <c r="E414" s="1" t="n"/>
      <c r="F414" s="1" t="n"/>
    </row>
    <row r="415" ht="15.75" customHeight="1" s="311">
      <c r="A415" s="1" t="n"/>
      <c r="B415" s="1" t="n"/>
      <c r="C415" s="1" t="n"/>
      <c r="D415" s="1" t="n"/>
      <c r="E415" s="1" t="n"/>
      <c r="F415" s="1" t="n"/>
    </row>
    <row r="416" ht="15.75" customHeight="1" s="311">
      <c r="A416" s="1" t="n"/>
      <c r="B416" s="1" t="n"/>
      <c r="C416" s="1" t="n"/>
      <c r="D416" s="1" t="n"/>
      <c r="E416" s="1" t="n"/>
      <c r="F416" s="1" t="n"/>
    </row>
    <row r="417" ht="15.75" customHeight="1" s="311">
      <c r="A417" s="1" t="n"/>
      <c r="B417" s="1" t="n"/>
      <c r="C417" s="1" t="n"/>
      <c r="D417" s="1" t="n"/>
      <c r="E417" s="1" t="n"/>
      <c r="F417" s="1" t="n"/>
    </row>
    <row r="418" ht="15.75" customHeight="1" s="311">
      <c r="A418" s="1" t="n"/>
      <c r="B418" s="1" t="n"/>
      <c r="C418" s="1" t="n"/>
      <c r="D418" s="1" t="n"/>
      <c r="E418" s="1" t="n"/>
      <c r="F418" s="1" t="n"/>
    </row>
    <row r="419" ht="15.75" customHeight="1" s="311">
      <c r="A419" s="1" t="n"/>
      <c r="B419" s="1" t="n"/>
      <c r="C419" s="1" t="n"/>
      <c r="D419" s="1" t="n"/>
      <c r="E419" s="1" t="n"/>
      <c r="F419" s="1" t="n"/>
    </row>
    <row r="420" ht="15.75" customHeight="1" s="311">
      <c r="A420" s="1" t="n"/>
      <c r="B420" s="1" t="n"/>
      <c r="C420" s="1" t="n"/>
      <c r="D420" s="1" t="n"/>
      <c r="E420" s="1" t="n"/>
      <c r="F420" s="1" t="n"/>
    </row>
    <row r="421" ht="15.75" customHeight="1" s="311">
      <c r="A421" s="1" t="n"/>
      <c r="B421" s="1" t="n"/>
      <c r="C421" s="1" t="n"/>
      <c r="D421" s="1" t="n"/>
      <c r="E421" s="1" t="n"/>
      <c r="F421" s="1" t="n"/>
    </row>
    <row r="422" ht="15.75" customHeight="1" s="311">
      <c r="A422" s="1" t="n"/>
      <c r="B422" s="1" t="n"/>
      <c r="C422" s="1" t="n"/>
      <c r="D422" s="1" t="n"/>
      <c r="E422" s="1" t="n"/>
      <c r="F422" s="1" t="n"/>
    </row>
    <row r="423" ht="15.75" customHeight="1" s="311">
      <c r="A423" s="1" t="n"/>
      <c r="B423" s="1" t="n"/>
      <c r="C423" s="1" t="n"/>
      <c r="D423" s="1" t="n"/>
      <c r="E423" s="1" t="n"/>
      <c r="F423" s="1" t="n"/>
    </row>
    <row r="424" ht="15.75" customHeight="1" s="311">
      <c r="A424" s="1" t="n"/>
      <c r="B424" s="1" t="n"/>
      <c r="C424" s="1" t="n"/>
      <c r="D424" s="1" t="n"/>
      <c r="E424" s="1" t="n"/>
      <c r="F424" s="1" t="n"/>
    </row>
    <row r="425" ht="15.75" customHeight="1" s="311">
      <c r="A425" s="1" t="n"/>
      <c r="B425" s="1" t="n"/>
      <c r="C425" s="1" t="n"/>
      <c r="D425" s="1" t="n"/>
      <c r="E425" s="1" t="n"/>
      <c r="F425" s="1" t="n"/>
    </row>
    <row r="426" ht="15.75" customHeight="1" s="311">
      <c r="A426" s="1" t="n"/>
      <c r="B426" s="1" t="n"/>
      <c r="C426" s="1" t="n"/>
      <c r="D426" s="1" t="n"/>
      <c r="E426" s="1" t="n"/>
      <c r="F426" s="1" t="n"/>
    </row>
    <row r="427" ht="15.75" customHeight="1" s="311">
      <c r="A427" s="1" t="n"/>
      <c r="B427" s="1" t="n"/>
      <c r="C427" s="1" t="n"/>
      <c r="D427" s="1" t="n"/>
      <c r="E427" s="1" t="n"/>
      <c r="F427" s="1" t="n"/>
    </row>
    <row r="428" ht="15.75" customHeight="1" s="311">
      <c r="A428" s="1" t="n"/>
      <c r="B428" s="1" t="n"/>
      <c r="C428" s="1" t="n"/>
      <c r="D428" s="1" t="n"/>
      <c r="E428" s="1" t="n"/>
      <c r="F428" s="1" t="n"/>
    </row>
    <row r="429" ht="15.75" customHeight="1" s="311">
      <c r="A429" s="1" t="n"/>
      <c r="B429" s="1" t="n"/>
      <c r="C429" s="1" t="n"/>
      <c r="D429" s="1" t="n"/>
      <c r="E429" s="1" t="n"/>
      <c r="F429" s="1" t="n"/>
    </row>
    <row r="430" ht="15.75" customHeight="1" s="311">
      <c r="A430" s="1" t="n"/>
      <c r="B430" s="1" t="n"/>
      <c r="C430" s="1" t="n"/>
      <c r="D430" s="1" t="n"/>
      <c r="E430" s="1" t="n"/>
      <c r="F430" s="1" t="n"/>
    </row>
    <row r="431" ht="15.75" customHeight="1" s="311">
      <c r="A431" s="1" t="n"/>
      <c r="B431" s="1" t="n"/>
      <c r="C431" s="1" t="n"/>
      <c r="D431" s="1" t="n"/>
      <c r="E431" s="1" t="n"/>
      <c r="F431" s="1" t="n"/>
    </row>
    <row r="432" ht="15.75" customHeight="1" s="311">
      <c r="A432" s="1" t="n"/>
      <c r="B432" s="1" t="n"/>
      <c r="C432" s="1" t="n"/>
      <c r="D432" s="1" t="n"/>
      <c r="E432" s="1" t="n"/>
      <c r="F432" s="1" t="n"/>
    </row>
    <row r="433" ht="15.75" customHeight="1" s="311">
      <c r="A433" s="1" t="n"/>
      <c r="B433" s="1" t="n"/>
      <c r="C433" s="1" t="n"/>
      <c r="D433" s="1" t="n"/>
      <c r="E433" s="1" t="n"/>
      <c r="F433" s="1" t="n"/>
    </row>
    <row r="434" ht="15.75" customHeight="1" s="311">
      <c r="A434" s="1" t="n"/>
      <c r="B434" s="1" t="n"/>
      <c r="C434" s="1" t="n"/>
      <c r="D434" s="1" t="n"/>
      <c r="E434" s="1" t="n"/>
      <c r="F434" s="1" t="n"/>
    </row>
    <row r="435" ht="15.75" customHeight="1" s="311">
      <c r="A435" s="1" t="n"/>
      <c r="B435" s="1" t="n"/>
      <c r="C435" s="1" t="n"/>
      <c r="D435" s="1" t="n"/>
      <c r="E435" s="1" t="n"/>
      <c r="F435" s="1" t="n"/>
    </row>
    <row r="436" ht="15.75" customHeight="1" s="311">
      <c r="A436" s="1" t="n"/>
      <c r="B436" s="1" t="n"/>
      <c r="C436" s="1" t="n"/>
      <c r="D436" s="1" t="n"/>
      <c r="E436" s="1" t="n"/>
      <c r="F436" s="1" t="n"/>
    </row>
    <row r="437" ht="15.75" customHeight="1" s="311">
      <c r="A437" s="1" t="n"/>
      <c r="B437" s="1" t="n"/>
      <c r="C437" s="1" t="n"/>
      <c r="D437" s="1" t="n"/>
      <c r="E437" s="1" t="n"/>
      <c r="F437" s="1" t="n"/>
    </row>
    <row r="438" ht="15.75" customHeight="1" s="311">
      <c r="A438" s="1" t="n"/>
      <c r="B438" s="1" t="n"/>
      <c r="C438" s="1" t="n"/>
      <c r="D438" s="1" t="n"/>
      <c r="E438" s="1" t="n"/>
      <c r="F438" s="1" t="n"/>
    </row>
    <row r="439" ht="15.75" customHeight="1" s="311">
      <c r="A439" s="1" t="n"/>
      <c r="B439" s="1" t="n"/>
      <c r="C439" s="1" t="n"/>
      <c r="D439" s="1" t="n"/>
      <c r="E439" s="1" t="n"/>
      <c r="F439" s="1" t="n"/>
    </row>
    <row r="440" ht="15.75" customHeight="1" s="311">
      <c r="A440" s="1" t="n"/>
      <c r="B440" s="1" t="n"/>
      <c r="C440" s="1" t="n"/>
      <c r="D440" s="1" t="n"/>
      <c r="E440" s="1" t="n"/>
      <c r="F440" s="1" t="n"/>
    </row>
    <row r="441" ht="15.75" customHeight="1" s="311">
      <c r="A441" s="1" t="n"/>
      <c r="B441" s="1" t="n"/>
      <c r="C441" s="1" t="n"/>
      <c r="D441" s="1" t="n"/>
      <c r="E441" s="1" t="n"/>
      <c r="F441" s="1" t="n"/>
    </row>
    <row r="442" ht="15.75" customHeight="1" s="311">
      <c r="A442" s="1" t="n"/>
      <c r="B442" s="1" t="n"/>
      <c r="C442" s="1" t="n"/>
      <c r="D442" s="1" t="n"/>
      <c r="E442" s="1" t="n"/>
      <c r="F442" s="1" t="n"/>
    </row>
    <row r="443" ht="15.75" customHeight="1" s="311">
      <c r="A443" s="1" t="n"/>
      <c r="B443" s="1" t="n"/>
      <c r="C443" s="1" t="n"/>
      <c r="D443" s="1" t="n"/>
      <c r="E443" s="1" t="n"/>
      <c r="F443" s="1" t="n"/>
    </row>
    <row r="444" ht="15.75" customHeight="1" s="311">
      <c r="A444" s="1" t="n"/>
      <c r="B444" s="1" t="n"/>
      <c r="C444" s="1" t="n"/>
      <c r="D444" s="1" t="n"/>
      <c r="E444" s="1" t="n"/>
      <c r="F444" s="1" t="n"/>
    </row>
    <row r="445" ht="15.75" customHeight="1" s="311">
      <c r="A445" s="1" t="n"/>
      <c r="B445" s="1" t="n"/>
      <c r="C445" s="1" t="n"/>
      <c r="D445" s="1" t="n"/>
      <c r="E445" s="1" t="n"/>
      <c r="F445" s="1" t="n"/>
    </row>
    <row r="446" ht="15.75" customHeight="1" s="311">
      <c r="A446" s="1" t="n"/>
      <c r="B446" s="1" t="n"/>
      <c r="C446" s="1" t="n"/>
      <c r="D446" s="1" t="n"/>
      <c r="E446" s="1" t="n"/>
      <c r="F446" s="1" t="n"/>
    </row>
    <row r="447" ht="15.75" customHeight="1" s="311">
      <c r="A447" s="1" t="n"/>
      <c r="B447" s="1" t="n"/>
      <c r="C447" s="1" t="n"/>
      <c r="D447" s="1" t="n"/>
      <c r="E447" s="1" t="n"/>
      <c r="F447" s="1" t="n"/>
    </row>
    <row r="448" ht="15.75" customHeight="1" s="311">
      <c r="A448" s="1" t="n"/>
      <c r="B448" s="1" t="n"/>
      <c r="C448" s="1" t="n"/>
      <c r="D448" s="1" t="n"/>
      <c r="E448" s="1" t="n"/>
      <c r="F448" s="1" t="n"/>
    </row>
    <row r="449" ht="15.75" customHeight="1" s="311">
      <c r="A449" s="1" t="n"/>
      <c r="B449" s="1" t="n"/>
      <c r="C449" s="1" t="n"/>
      <c r="D449" s="1" t="n"/>
      <c r="E449" s="1" t="n"/>
      <c r="F449" s="1" t="n"/>
    </row>
    <row r="450" ht="15.75" customHeight="1" s="311">
      <c r="A450" s="1" t="n"/>
      <c r="B450" s="1" t="n"/>
      <c r="C450" s="1" t="n"/>
      <c r="D450" s="1" t="n"/>
      <c r="E450" s="1" t="n"/>
      <c r="F450" s="1" t="n"/>
    </row>
    <row r="451" ht="15.75" customHeight="1" s="311">
      <c r="A451" s="1" t="n"/>
      <c r="B451" s="1" t="n"/>
      <c r="C451" s="1" t="n"/>
      <c r="D451" s="1" t="n"/>
      <c r="E451" s="1" t="n"/>
      <c r="F451" s="1" t="n"/>
    </row>
    <row r="452" ht="15.75" customHeight="1" s="311">
      <c r="A452" s="1" t="n"/>
      <c r="B452" s="1" t="n"/>
      <c r="C452" s="1" t="n"/>
      <c r="D452" s="1" t="n"/>
      <c r="E452" s="1" t="n"/>
      <c r="F452" s="1" t="n"/>
    </row>
    <row r="453" ht="15.75" customHeight="1" s="311">
      <c r="A453" s="1" t="n"/>
      <c r="B453" s="1" t="n"/>
      <c r="C453" s="1" t="n"/>
      <c r="D453" s="1" t="n"/>
      <c r="E453" s="1" t="n"/>
      <c r="F453" s="1" t="n"/>
    </row>
    <row r="454" ht="15.75" customHeight="1" s="311">
      <c r="A454" s="1" t="n"/>
      <c r="B454" s="1" t="n"/>
      <c r="C454" s="1" t="n"/>
      <c r="D454" s="1" t="n"/>
      <c r="E454" s="1" t="n"/>
      <c r="F454" s="1" t="n"/>
    </row>
    <row r="455" ht="15.75" customHeight="1" s="311">
      <c r="A455" s="1" t="n"/>
      <c r="B455" s="1" t="n"/>
      <c r="C455" s="1" t="n"/>
      <c r="D455" s="1" t="n"/>
      <c r="E455" s="1" t="n"/>
      <c r="F455" s="1" t="n"/>
    </row>
    <row r="456" ht="15.75" customHeight="1" s="311">
      <c r="A456" s="1" t="n"/>
      <c r="B456" s="1" t="n"/>
      <c r="C456" s="1" t="n"/>
      <c r="D456" s="1" t="n"/>
      <c r="E456" s="1" t="n"/>
      <c r="F456" s="1" t="n"/>
    </row>
    <row r="457" ht="15.75" customHeight="1" s="311">
      <c r="A457" s="1" t="n"/>
      <c r="B457" s="1" t="n"/>
      <c r="C457" s="1" t="n"/>
      <c r="D457" s="1" t="n"/>
      <c r="E457" s="1" t="n"/>
      <c r="F457" s="1" t="n"/>
    </row>
    <row r="458" ht="15.75" customHeight="1" s="311">
      <c r="A458" s="1" t="n"/>
      <c r="B458" s="1" t="n"/>
      <c r="C458" s="1" t="n"/>
      <c r="D458" s="1" t="n"/>
      <c r="E458" s="1" t="n"/>
      <c r="F458" s="1" t="n"/>
    </row>
    <row r="459" ht="15.75" customHeight="1" s="311">
      <c r="A459" s="1" t="n"/>
      <c r="B459" s="1" t="n"/>
      <c r="C459" s="1" t="n"/>
      <c r="D459" s="1" t="n"/>
      <c r="E459" s="1" t="n"/>
      <c r="F459" s="1" t="n"/>
    </row>
    <row r="460" ht="15.75" customHeight="1" s="311">
      <c r="A460" s="1" t="n"/>
      <c r="B460" s="1" t="n"/>
      <c r="C460" s="1" t="n"/>
      <c r="D460" s="1" t="n"/>
      <c r="E460" s="1" t="n"/>
      <c r="F460" s="1" t="n"/>
    </row>
    <row r="461" ht="15.75" customHeight="1" s="311">
      <c r="A461" s="1" t="n"/>
      <c r="B461" s="1" t="n"/>
      <c r="C461" s="1" t="n"/>
      <c r="D461" s="1" t="n"/>
      <c r="E461" s="1" t="n"/>
      <c r="F461" s="1" t="n"/>
    </row>
    <row r="462" ht="15.75" customHeight="1" s="311">
      <c r="A462" s="1" t="n"/>
      <c r="B462" s="1" t="n"/>
      <c r="C462" s="1" t="n"/>
      <c r="D462" s="1" t="n"/>
      <c r="E462" s="1" t="n"/>
      <c r="F462" s="1" t="n"/>
    </row>
    <row r="463" ht="15.75" customHeight="1" s="311">
      <c r="A463" s="1" t="n"/>
      <c r="B463" s="1" t="n"/>
      <c r="C463" s="1" t="n"/>
      <c r="D463" s="1" t="n"/>
      <c r="E463" s="1" t="n"/>
      <c r="F463" s="1" t="n"/>
    </row>
    <row r="464" ht="15.75" customHeight="1" s="311">
      <c r="A464" s="1" t="n"/>
      <c r="B464" s="1" t="n"/>
      <c r="C464" s="1" t="n"/>
      <c r="D464" s="1" t="n"/>
      <c r="E464" s="1" t="n"/>
      <c r="F464" s="1" t="n"/>
    </row>
    <row r="465" ht="15.75" customHeight="1" s="311">
      <c r="A465" s="1" t="n"/>
      <c r="B465" s="1" t="n"/>
      <c r="C465" s="1" t="n"/>
      <c r="D465" s="1" t="n"/>
      <c r="E465" s="1" t="n"/>
      <c r="F465" s="1" t="n"/>
    </row>
    <row r="466" ht="15.75" customHeight="1" s="311">
      <c r="A466" s="1" t="n"/>
      <c r="B466" s="1" t="n"/>
      <c r="C466" s="1" t="n"/>
      <c r="D466" s="1" t="n"/>
      <c r="E466" s="1" t="n"/>
      <c r="F466" s="1" t="n"/>
    </row>
    <row r="467" ht="15.75" customHeight="1" s="311">
      <c r="A467" s="1" t="n"/>
      <c r="B467" s="1" t="n"/>
      <c r="C467" s="1" t="n"/>
      <c r="D467" s="1" t="n"/>
      <c r="E467" s="1" t="n"/>
      <c r="F467" s="1" t="n"/>
    </row>
    <row r="468" ht="15.75" customHeight="1" s="311">
      <c r="A468" s="1" t="n"/>
      <c r="B468" s="1" t="n"/>
      <c r="C468" s="1" t="n"/>
      <c r="D468" s="1" t="n"/>
      <c r="E468" s="1" t="n"/>
      <c r="F468" s="1" t="n"/>
    </row>
    <row r="469" ht="15.75" customHeight="1" s="311">
      <c r="A469" s="1" t="n"/>
      <c r="B469" s="1" t="n"/>
      <c r="C469" s="1" t="n"/>
      <c r="D469" s="1" t="n"/>
      <c r="E469" s="1" t="n"/>
      <c r="F469" s="1" t="n"/>
    </row>
    <row r="470" ht="15.75" customHeight="1" s="311">
      <c r="A470" s="1" t="n"/>
      <c r="B470" s="1" t="n"/>
      <c r="C470" s="1" t="n"/>
      <c r="D470" s="1" t="n"/>
      <c r="E470" s="1" t="n"/>
      <c r="F470" s="1" t="n"/>
    </row>
    <row r="471" ht="15.75" customHeight="1" s="311">
      <c r="A471" s="1" t="n"/>
      <c r="B471" s="1" t="n"/>
      <c r="C471" s="1" t="n"/>
      <c r="D471" s="1" t="n"/>
      <c r="E471" s="1" t="n"/>
      <c r="F471" s="1" t="n"/>
    </row>
    <row r="472" ht="15.75" customHeight="1" s="311">
      <c r="A472" s="1" t="n"/>
      <c r="B472" s="1" t="n"/>
      <c r="C472" s="1" t="n"/>
      <c r="D472" s="1" t="n"/>
      <c r="E472" s="1" t="n"/>
      <c r="F472" s="1" t="n"/>
    </row>
    <row r="473" ht="15.75" customHeight="1" s="311">
      <c r="A473" s="1" t="n"/>
      <c r="B473" s="1" t="n"/>
      <c r="C473" s="1" t="n"/>
      <c r="D473" s="1" t="n"/>
      <c r="E473" s="1" t="n"/>
      <c r="F473" s="1" t="n"/>
    </row>
    <row r="474" ht="15.75" customHeight="1" s="311">
      <c r="A474" s="1" t="n"/>
      <c r="B474" s="1" t="n"/>
      <c r="C474" s="1" t="n"/>
      <c r="D474" s="1" t="n"/>
      <c r="E474" s="1" t="n"/>
      <c r="F474" s="1" t="n"/>
    </row>
    <row r="475" ht="15.75" customHeight="1" s="311">
      <c r="A475" s="1" t="n"/>
      <c r="B475" s="1" t="n"/>
      <c r="C475" s="1" t="n"/>
      <c r="D475" s="1" t="n"/>
      <c r="E475" s="1" t="n"/>
      <c r="F475" s="1" t="n"/>
    </row>
    <row r="476" ht="15.75" customHeight="1" s="311">
      <c r="A476" s="1" t="n"/>
      <c r="B476" s="1" t="n"/>
      <c r="C476" s="1" t="n"/>
      <c r="D476" s="1" t="n"/>
      <c r="E476" s="1" t="n"/>
      <c r="F476" s="1" t="n"/>
    </row>
    <row r="477" ht="15.75" customHeight="1" s="311">
      <c r="A477" s="1" t="n"/>
      <c r="B477" s="1" t="n"/>
      <c r="C477" s="1" t="n"/>
      <c r="D477" s="1" t="n"/>
      <c r="E477" s="1" t="n"/>
      <c r="F477" s="1" t="n"/>
    </row>
    <row r="478" ht="15.75" customHeight="1" s="311">
      <c r="A478" s="1" t="n"/>
      <c r="B478" s="1" t="n"/>
      <c r="C478" s="1" t="n"/>
      <c r="D478" s="1" t="n"/>
      <c r="E478" s="1" t="n"/>
      <c r="F478" s="1" t="n"/>
    </row>
    <row r="479" ht="15.75" customHeight="1" s="311">
      <c r="A479" s="1" t="n"/>
      <c r="B479" s="1" t="n"/>
      <c r="C479" s="1" t="n"/>
      <c r="D479" s="1" t="n"/>
      <c r="E479" s="1" t="n"/>
      <c r="F479" s="1" t="n"/>
    </row>
    <row r="480" ht="15.75" customHeight="1" s="311">
      <c r="A480" s="1" t="n"/>
      <c r="B480" s="1" t="n"/>
      <c r="C480" s="1" t="n"/>
      <c r="D480" s="1" t="n"/>
      <c r="E480" s="1" t="n"/>
      <c r="F480" s="1" t="n"/>
    </row>
    <row r="481" ht="15.75" customHeight="1" s="311">
      <c r="A481" s="1" t="n"/>
      <c r="B481" s="1" t="n"/>
      <c r="C481" s="1" t="n"/>
      <c r="D481" s="1" t="n"/>
      <c r="E481" s="1" t="n"/>
      <c r="F481" s="1" t="n"/>
    </row>
    <row r="482" ht="15.75" customHeight="1" s="311">
      <c r="A482" s="1" t="n"/>
      <c r="B482" s="1" t="n"/>
      <c r="C482" s="1" t="n"/>
      <c r="D482" s="1" t="n"/>
      <c r="E482" s="1" t="n"/>
      <c r="F482" s="1" t="n"/>
    </row>
    <row r="483" ht="15.75" customHeight="1" s="311">
      <c r="A483" s="1" t="n"/>
      <c r="B483" s="1" t="n"/>
      <c r="C483" s="1" t="n"/>
      <c r="D483" s="1" t="n"/>
      <c r="E483" s="1" t="n"/>
      <c r="F483" s="1" t="n"/>
    </row>
    <row r="484" ht="15.75" customHeight="1" s="311">
      <c r="A484" s="1" t="n"/>
      <c r="B484" s="1" t="n"/>
      <c r="C484" s="1" t="n"/>
      <c r="D484" s="1" t="n"/>
      <c r="E484" s="1" t="n"/>
      <c r="F484" s="1" t="n"/>
    </row>
    <row r="485" ht="15.75" customHeight="1" s="311">
      <c r="A485" s="1" t="n"/>
      <c r="B485" s="1" t="n"/>
      <c r="C485" s="1" t="n"/>
      <c r="D485" s="1" t="n"/>
      <c r="E485" s="1" t="n"/>
      <c r="F485" s="1" t="n"/>
    </row>
    <row r="486" ht="15.75" customHeight="1" s="311">
      <c r="A486" s="1" t="n"/>
      <c r="B486" s="1" t="n"/>
      <c r="C486" s="1" t="n"/>
      <c r="D486" s="1" t="n"/>
      <c r="E486" s="1" t="n"/>
      <c r="F486" s="1" t="n"/>
    </row>
    <row r="487" ht="15.75" customHeight="1" s="311">
      <c r="A487" s="1" t="n"/>
      <c r="B487" s="1" t="n"/>
      <c r="C487" s="1" t="n"/>
      <c r="D487" s="1" t="n"/>
      <c r="E487" s="1" t="n"/>
      <c r="F487" s="1" t="n"/>
    </row>
    <row r="488" ht="15.75" customHeight="1" s="311">
      <c r="A488" s="1" t="n"/>
      <c r="B488" s="1" t="n"/>
      <c r="C488" s="1" t="n"/>
      <c r="D488" s="1" t="n"/>
      <c r="E488" s="1" t="n"/>
      <c r="F488" s="1" t="n"/>
    </row>
    <row r="489" ht="15.75" customHeight="1" s="311">
      <c r="A489" s="1" t="n"/>
      <c r="B489" s="1" t="n"/>
      <c r="C489" s="1" t="n"/>
      <c r="D489" s="1" t="n"/>
      <c r="E489" s="1" t="n"/>
      <c r="F489" s="1" t="n"/>
    </row>
    <row r="490" ht="15.75" customHeight="1" s="311">
      <c r="A490" s="1" t="n"/>
      <c r="B490" s="1" t="n"/>
      <c r="C490" s="1" t="n"/>
      <c r="D490" s="1" t="n"/>
      <c r="E490" s="1" t="n"/>
      <c r="F490" s="1" t="n"/>
    </row>
    <row r="491" ht="15.75" customHeight="1" s="311">
      <c r="A491" s="1" t="n"/>
      <c r="B491" s="1" t="n"/>
      <c r="C491" s="1" t="n"/>
      <c r="D491" s="1" t="n"/>
      <c r="E491" s="1" t="n"/>
      <c r="F491" s="1" t="n"/>
    </row>
    <row r="492" ht="15.75" customHeight="1" s="311">
      <c r="A492" s="1" t="n"/>
      <c r="B492" s="1" t="n"/>
      <c r="C492" s="1" t="n"/>
      <c r="D492" s="1" t="n"/>
      <c r="E492" s="1" t="n"/>
      <c r="F492" s="1" t="n"/>
    </row>
    <row r="493" ht="15.75" customHeight="1" s="311">
      <c r="A493" s="1" t="n"/>
      <c r="B493" s="1" t="n"/>
      <c r="C493" s="1" t="n"/>
      <c r="D493" s="1" t="n"/>
      <c r="E493" s="1" t="n"/>
      <c r="F493" s="1" t="n"/>
    </row>
    <row r="494" ht="15.75" customHeight="1" s="311">
      <c r="A494" s="1" t="n"/>
      <c r="B494" s="1" t="n"/>
      <c r="C494" s="1" t="n"/>
      <c r="D494" s="1" t="n"/>
      <c r="E494" s="1" t="n"/>
      <c r="F494" s="1" t="n"/>
    </row>
    <row r="495" ht="15.75" customHeight="1" s="311">
      <c r="A495" s="1" t="n"/>
      <c r="B495" s="1" t="n"/>
      <c r="C495" s="1" t="n"/>
      <c r="D495" s="1" t="n"/>
      <c r="E495" s="1" t="n"/>
      <c r="F495" s="1" t="n"/>
    </row>
    <row r="496" ht="15.75" customHeight="1" s="311">
      <c r="A496" s="1" t="n"/>
      <c r="B496" s="1" t="n"/>
      <c r="C496" s="1" t="n"/>
      <c r="D496" s="1" t="n"/>
      <c r="E496" s="1" t="n"/>
      <c r="F496" s="1" t="n"/>
    </row>
    <row r="497" ht="15.75" customHeight="1" s="311">
      <c r="A497" s="1" t="n"/>
      <c r="B497" s="1" t="n"/>
      <c r="C497" s="1" t="n"/>
      <c r="D497" s="1" t="n"/>
      <c r="E497" s="1" t="n"/>
      <c r="F497" s="1" t="n"/>
    </row>
    <row r="498" ht="15.75" customHeight="1" s="311">
      <c r="A498" s="1" t="n"/>
      <c r="B498" s="1" t="n"/>
      <c r="C498" s="1" t="n"/>
      <c r="D498" s="1" t="n"/>
      <c r="E498" s="1" t="n"/>
      <c r="F498" s="1" t="n"/>
    </row>
    <row r="499" ht="15.75" customHeight="1" s="311">
      <c r="A499" s="1" t="n"/>
      <c r="B499" s="1" t="n"/>
      <c r="C499" s="1" t="n"/>
      <c r="D499" s="1" t="n"/>
      <c r="E499" s="1" t="n"/>
      <c r="F499" s="1" t="n"/>
    </row>
    <row r="500" ht="15.75" customHeight="1" s="311">
      <c r="A500" s="1" t="n"/>
      <c r="B500" s="1" t="n"/>
      <c r="C500" s="1" t="n"/>
      <c r="D500" s="1" t="n"/>
      <c r="E500" s="1" t="n"/>
      <c r="F500" s="1" t="n"/>
    </row>
    <row r="501" ht="15.75" customHeight="1" s="311">
      <c r="A501" s="1" t="n"/>
      <c r="B501" s="1" t="n"/>
      <c r="C501" s="1" t="n"/>
      <c r="D501" s="1" t="n"/>
      <c r="E501" s="1" t="n"/>
      <c r="F501" s="1" t="n"/>
    </row>
    <row r="502" ht="15.75" customHeight="1" s="311">
      <c r="A502" s="1" t="n"/>
      <c r="B502" s="1" t="n"/>
      <c r="C502" s="1" t="n"/>
      <c r="D502" s="1" t="n"/>
      <c r="E502" s="1" t="n"/>
      <c r="F502" s="1" t="n"/>
    </row>
    <row r="503" ht="15.75" customHeight="1" s="311">
      <c r="A503" s="1" t="n"/>
      <c r="B503" s="1" t="n"/>
      <c r="C503" s="1" t="n"/>
      <c r="D503" s="1" t="n"/>
      <c r="E503" s="1" t="n"/>
      <c r="F503" s="1" t="n"/>
    </row>
    <row r="504" ht="15.75" customHeight="1" s="311">
      <c r="A504" s="1" t="n"/>
      <c r="B504" s="1" t="n"/>
      <c r="C504" s="1" t="n"/>
      <c r="D504" s="1" t="n"/>
      <c r="E504" s="1" t="n"/>
      <c r="F504" s="1" t="n"/>
    </row>
    <row r="505" ht="15.75" customHeight="1" s="311">
      <c r="A505" s="1" t="n"/>
      <c r="B505" s="1" t="n"/>
      <c r="C505" s="1" t="n"/>
      <c r="D505" s="1" t="n"/>
      <c r="E505" s="1" t="n"/>
      <c r="F505" s="1" t="n"/>
    </row>
    <row r="506" ht="15.75" customHeight="1" s="311">
      <c r="A506" s="1" t="n"/>
      <c r="B506" s="1" t="n"/>
      <c r="C506" s="1" t="n"/>
      <c r="D506" s="1" t="n"/>
      <c r="E506" s="1" t="n"/>
      <c r="F506" s="1" t="n"/>
    </row>
    <row r="507" ht="15.75" customHeight="1" s="311">
      <c r="A507" s="1" t="n"/>
      <c r="B507" s="1" t="n"/>
      <c r="C507" s="1" t="n"/>
      <c r="D507" s="1" t="n"/>
      <c r="E507" s="1" t="n"/>
      <c r="F507" s="1" t="n"/>
    </row>
    <row r="508" ht="15.75" customHeight="1" s="311">
      <c r="A508" s="1" t="n"/>
      <c r="B508" s="1" t="n"/>
      <c r="C508" s="1" t="n"/>
      <c r="D508" s="1" t="n"/>
      <c r="E508" s="1" t="n"/>
      <c r="F508" s="1" t="n"/>
    </row>
    <row r="509" ht="15.75" customHeight="1" s="311">
      <c r="A509" s="1" t="n"/>
      <c r="B509" s="1" t="n"/>
      <c r="C509" s="1" t="n"/>
      <c r="D509" s="1" t="n"/>
      <c r="E509" s="1" t="n"/>
      <c r="F509" s="1" t="n"/>
    </row>
    <row r="510" ht="15.75" customHeight="1" s="311">
      <c r="A510" s="1" t="n"/>
      <c r="B510" s="1" t="n"/>
      <c r="C510" s="1" t="n"/>
      <c r="D510" s="1" t="n"/>
      <c r="E510" s="1" t="n"/>
      <c r="F510" s="1" t="n"/>
    </row>
    <row r="511" ht="15.75" customHeight="1" s="311">
      <c r="A511" s="1" t="n"/>
      <c r="B511" s="1" t="n"/>
      <c r="C511" s="1" t="n"/>
      <c r="D511" s="1" t="n"/>
      <c r="E511" s="1" t="n"/>
      <c r="F511" s="1" t="n"/>
    </row>
    <row r="512" ht="15.75" customHeight="1" s="311">
      <c r="A512" s="1" t="n"/>
      <c r="B512" s="1" t="n"/>
      <c r="C512" s="1" t="n"/>
      <c r="D512" s="1" t="n"/>
      <c r="E512" s="1" t="n"/>
      <c r="F512" s="1" t="n"/>
    </row>
    <row r="513" ht="15.75" customHeight="1" s="311">
      <c r="A513" s="1" t="n"/>
      <c r="B513" s="1" t="n"/>
      <c r="C513" s="1" t="n"/>
      <c r="D513" s="1" t="n"/>
      <c r="E513" s="1" t="n"/>
      <c r="F513" s="1" t="n"/>
    </row>
    <row r="514" ht="15.75" customHeight="1" s="311">
      <c r="A514" s="1" t="n"/>
      <c r="B514" s="1" t="n"/>
      <c r="C514" s="1" t="n"/>
      <c r="D514" s="1" t="n"/>
      <c r="E514" s="1" t="n"/>
      <c r="F514" s="1" t="n"/>
    </row>
    <row r="515" ht="15.75" customHeight="1" s="311">
      <c r="A515" s="1" t="n"/>
      <c r="B515" s="1" t="n"/>
      <c r="C515" s="1" t="n"/>
      <c r="D515" s="1" t="n"/>
      <c r="E515" s="1" t="n"/>
      <c r="F515" s="1" t="n"/>
    </row>
    <row r="516" ht="15.75" customHeight="1" s="311">
      <c r="A516" s="1" t="n"/>
      <c r="B516" s="1" t="n"/>
      <c r="C516" s="1" t="n"/>
      <c r="D516" s="1" t="n"/>
      <c r="E516" s="1" t="n"/>
      <c r="F516" s="1" t="n"/>
    </row>
    <row r="517" ht="15.75" customHeight="1" s="311">
      <c r="A517" s="1" t="n"/>
      <c r="B517" s="1" t="n"/>
      <c r="C517" s="1" t="n"/>
      <c r="D517" s="1" t="n"/>
      <c r="E517" s="1" t="n"/>
      <c r="F517" s="1" t="n"/>
    </row>
    <row r="518" ht="15.75" customHeight="1" s="311">
      <c r="A518" s="1" t="n"/>
      <c r="B518" s="1" t="n"/>
      <c r="C518" s="1" t="n"/>
      <c r="D518" s="1" t="n"/>
      <c r="E518" s="1" t="n"/>
      <c r="F518" s="1" t="n"/>
    </row>
    <row r="519" ht="15.75" customHeight="1" s="311">
      <c r="A519" s="1" t="n"/>
      <c r="B519" s="1" t="n"/>
      <c r="C519" s="1" t="n"/>
      <c r="D519" s="1" t="n"/>
      <c r="E519" s="1" t="n"/>
      <c r="F519" s="1" t="n"/>
    </row>
    <row r="520" ht="15.75" customHeight="1" s="311">
      <c r="A520" s="1" t="n"/>
      <c r="B520" s="1" t="n"/>
      <c r="C520" s="1" t="n"/>
      <c r="D520" s="1" t="n"/>
      <c r="E520" s="1" t="n"/>
      <c r="F520" s="1" t="n"/>
    </row>
    <row r="521" ht="15.75" customHeight="1" s="311">
      <c r="A521" s="1" t="n"/>
      <c r="B521" s="1" t="n"/>
      <c r="C521" s="1" t="n"/>
      <c r="D521" s="1" t="n"/>
      <c r="E521" s="1" t="n"/>
      <c r="F521" s="1" t="n"/>
    </row>
    <row r="522" ht="15.75" customHeight="1" s="311">
      <c r="A522" s="1" t="n"/>
      <c r="B522" s="1" t="n"/>
      <c r="C522" s="1" t="n"/>
      <c r="D522" s="1" t="n"/>
      <c r="E522" s="1" t="n"/>
      <c r="F522" s="1" t="n"/>
    </row>
    <row r="523" ht="15.75" customHeight="1" s="311">
      <c r="A523" s="1" t="n"/>
      <c r="B523" s="1" t="n"/>
      <c r="C523" s="1" t="n"/>
      <c r="D523" s="1" t="n"/>
      <c r="E523" s="1" t="n"/>
      <c r="F523" s="1" t="n"/>
    </row>
    <row r="524" ht="15.75" customHeight="1" s="311">
      <c r="A524" s="1" t="n"/>
      <c r="B524" s="1" t="n"/>
      <c r="C524" s="1" t="n"/>
      <c r="D524" s="1" t="n"/>
      <c r="E524" s="1" t="n"/>
      <c r="F524" s="1" t="n"/>
    </row>
    <row r="525" ht="15.75" customHeight="1" s="311">
      <c r="A525" s="1" t="n"/>
      <c r="B525" s="1" t="n"/>
      <c r="C525" s="1" t="n"/>
      <c r="D525" s="1" t="n"/>
      <c r="E525" s="1" t="n"/>
      <c r="F525" s="1" t="n"/>
    </row>
    <row r="526" ht="15.75" customHeight="1" s="311">
      <c r="A526" s="1" t="n"/>
      <c r="B526" s="1" t="n"/>
      <c r="C526" s="1" t="n"/>
      <c r="D526" s="1" t="n"/>
      <c r="E526" s="1" t="n"/>
      <c r="F526" s="1" t="n"/>
    </row>
    <row r="527" ht="15.75" customHeight="1" s="311">
      <c r="A527" s="1" t="n"/>
      <c r="B527" s="1" t="n"/>
      <c r="C527" s="1" t="n"/>
      <c r="D527" s="1" t="n"/>
      <c r="E527" s="1" t="n"/>
      <c r="F527" s="1" t="n"/>
    </row>
    <row r="528" ht="15.75" customHeight="1" s="311">
      <c r="A528" s="1" t="n"/>
      <c r="B528" s="1" t="n"/>
      <c r="C528" s="1" t="n"/>
      <c r="D528" s="1" t="n"/>
      <c r="E528" s="1" t="n"/>
      <c r="F528" s="1" t="n"/>
    </row>
    <row r="529" ht="15.75" customHeight="1" s="311">
      <c r="A529" s="1" t="n"/>
      <c r="B529" s="1" t="n"/>
      <c r="C529" s="1" t="n"/>
      <c r="D529" s="1" t="n"/>
      <c r="E529" s="1" t="n"/>
      <c r="F529" s="1" t="n"/>
    </row>
    <row r="530" ht="15.75" customHeight="1" s="311">
      <c r="A530" s="1" t="n"/>
      <c r="B530" s="1" t="n"/>
      <c r="C530" s="1" t="n"/>
      <c r="D530" s="1" t="n"/>
      <c r="E530" s="1" t="n"/>
      <c r="F530" s="1" t="n"/>
    </row>
    <row r="531" ht="15.75" customHeight="1" s="311">
      <c r="A531" s="1" t="n"/>
      <c r="B531" s="1" t="n"/>
      <c r="C531" s="1" t="n"/>
      <c r="D531" s="1" t="n"/>
      <c r="E531" s="1" t="n"/>
      <c r="F531" s="1" t="n"/>
    </row>
    <row r="532" ht="15.75" customHeight="1" s="311">
      <c r="A532" s="1" t="n"/>
      <c r="B532" s="1" t="n"/>
      <c r="C532" s="1" t="n"/>
      <c r="D532" s="1" t="n"/>
      <c r="E532" s="1" t="n"/>
      <c r="F532" s="1" t="n"/>
    </row>
    <row r="533" ht="15.75" customHeight="1" s="311">
      <c r="A533" s="1" t="n"/>
      <c r="B533" s="1" t="n"/>
      <c r="C533" s="1" t="n"/>
      <c r="D533" s="1" t="n"/>
      <c r="E533" s="1" t="n"/>
      <c r="F533" s="1" t="n"/>
    </row>
    <row r="534" ht="15.75" customHeight="1" s="311">
      <c r="A534" s="1" t="n"/>
      <c r="B534" s="1" t="n"/>
      <c r="C534" s="1" t="n"/>
      <c r="D534" s="1" t="n"/>
      <c r="E534" s="1" t="n"/>
      <c r="F534" s="1" t="n"/>
    </row>
    <row r="535" ht="15.75" customHeight="1" s="311">
      <c r="A535" s="1" t="n"/>
      <c r="B535" s="1" t="n"/>
      <c r="C535" s="1" t="n"/>
      <c r="D535" s="1" t="n"/>
      <c r="E535" s="1" t="n"/>
      <c r="F535" s="1" t="n"/>
    </row>
    <row r="536" ht="15.75" customHeight="1" s="311">
      <c r="A536" s="1" t="n"/>
      <c r="B536" s="1" t="n"/>
      <c r="C536" s="1" t="n"/>
      <c r="D536" s="1" t="n"/>
      <c r="E536" s="1" t="n"/>
      <c r="F536" s="1" t="n"/>
    </row>
    <row r="537" ht="15.75" customHeight="1" s="311">
      <c r="A537" s="1" t="n"/>
      <c r="B537" s="1" t="n"/>
      <c r="C537" s="1" t="n"/>
      <c r="D537" s="1" t="n"/>
      <c r="E537" s="1" t="n"/>
      <c r="F537" s="1" t="n"/>
    </row>
    <row r="538" ht="15.75" customHeight="1" s="311">
      <c r="A538" s="1" t="n"/>
      <c r="B538" s="1" t="n"/>
      <c r="C538" s="1" t="n"/>
      <c r="D538" s="1" t="n"/>
      <c r="E538" s="1" t="n"/>
      <c r="F538" s="1" t="n"/>
    </row>
    <row r="539" ht="15.75" customHeight="1" s="311">
      <c r="A539" s="1" t="n"/>
      <c r="B539" s="1" t="n"/>
      <c r="C539" s="1" t="n"/>
      <c r="D539" s="1" t="n"/>
      <c r="E539" s="1" t="n"/>
      <c r="F539" s="1" t="n"/>
    </row>
    <row r="540" ht="15.75" customHeight="1" s="311">
      <c r="A540" s="1" t="n"/>
      <c r="B540" s="1" t="n"/>
      <c r="C540" s="1" t="n"/>
      <c r="D540" s="1" t="n"/>
      <c r="E540" s="1" t="n"/>
      <c r="F540" s="1" t="n"/>
    </row>
    <row r="541" ht="15.75" customHeight="1" s="311">
      <c r="A541" s="1" t="n"/>
      <c r="B541" s="1" t="n"/>
      <c r="C541" s="1" t="n"/>
      <c r="D541" s="1" t="n"/>
      <c r="E541" s="1" t="n"/>
      <c r="F541" s="1" t="n"/>
    </row>
    <row r="542" ht="15.75" customHeight="1" s="311">
      <c r="A542" s="1" t="n"/>
      <c r="B542" s="1" t="n"/>
      <c r="C542" s="1" t="n"/>
      <c r="D542" s="1" t="n"/>
      <c r="E542" s="1" t="n"/>
      <c r="F542" s="1" t="n"/>
    </row>
    <row r="543" ht="15.75" customHeight="1" s="311">
      <c r="A543" s="1" t="n"/>
      <c r="B543" s="1" t="n"/>
      <c r="C543" s="1" t="n"/>
      <c r="D543" s="1" t="n"/>
      <c r="E543" s="1" t="n"/>
      <c r="F543" s="1" t="n"/>
    </row>
    <row r="544" ht="15.75" customHeight="1" s="311">
      <c r="A544" s="1" t="n"/>
      <c r="B544" s="1" t="n"/>
      <c r="C544" s="1" t="n"/>
      <c r="D544" s="1" t="n"/>
      <c r="E544" s="1" t="n"/>
      <c r="F544" s="1" t="n"/>
    </row>
    <row r="545" ht="15.75" customHeight="1" s="311">
      <c r="A545" s="1" t="n"/>
      <c r="B545" s="1" t="n"/>
      <c r="C545" s="1" t="n"/>
      <c r="D545" s="1" t="n"/>
      <c r="E545" s="1" t="n"/>
      <c r="F545" s="1" t="n"/>
    </row>
    <row r="546" ht="15.75" customHeight="1" s="311">
      <c r="A546" s="1" t="n"/>
      <c r="B546" s="1" t="n"/>
      <c r="C546" s="1" t="n"/>
      <c r="D546" s="1" t="n"/>
      <c r="E546" s="1" t="n"/>
      <c r="F546" s="1" t="n"/>
    </row>
    <row r="547" ht="15.75" customHeight="1" s="311">
      <c r="A547" s="1" t="n"/>
      <c r="B547" s="1" t="n"/>
      <c r="C547" s="1" t="n"/>
      <c r="D547" s="1" t="n"/>
      <c r="E547" s="1" t="n"/>
      <c r="F547" s="1" t="n"/>
    </row>
    <row r="548" ht="15.75" customHeight="1" s="311">
      <c r="A548" s="1" t="n"/>
      <c r="B548" s="1" t="n"/>
      <c r="C548" s="1" t="n"/>
      <c r="D548" s="1" t="n"/>
      <c r="E548" s="1" t="n"/>
      <c r="F548" s="1" t="n"/>
    </row>
    <row r="549" ht="15.75" customHeight="1" s="311">
      <c r="A549" s="1" t="n"/>
      <c r="B549" s="1" t="n"/>
      <c r="C549" s="1" t="n"/>
      <c r="D549" s="1" t="n"/>
      <c r="E549" s="1" t="n"/>
      <c r="F549" s="1" t="n"/>
    </row>
    <row r="550" ht="15.75" customHeight="1" s="311">
      <c r="A550" s="1" t="n"/>
      <c r="B550" s="1" t="n"/>
      <c r="C550" s="1" t="n"/>
      <c r="D550" s="1" t="n"/>
      <c r="E550" s="1" t="n"/>
      <c r="F550" s="1" t="n"/>
    </row>
    <row r="551" ht="15.75" customHeight="1" s="311">
      <c r="A551" s="1" t="n"/>
      <c r="B551" s="1" t="n"/>
      <c r="C551" s="1" t="n"/>
      <c r="D551" s="1" t="n"/>
      <c r="E551" s="1" t="n"/>
      <c r="F551" s="1" t="n"/>
    </row>
    <row r="552" ht="15.75" customHeight="1" s="311">
      <c r="A552" s="1" t="n"/>
      <c r="B552" s="1" t="n"/>
      <c r="C552" s="1" t="n"/>
      <c r="D552" s="1" t="n"/>
      <c r="E552" s="1" t="n"/>
      <c r="F552" s="1" t="n"/>
    </row>
    <row r="553" ht="15.75" customHeight="1" s="311">
      <c r="A553" s="1" t="n"/>
      <c r="B553" s="1" t="n"/>
      <c r="C553" s="1" t="n"/>
      <c r="D553" s="1" t="n"/>
      <c r="E553" s="1" t="n"/>
      <c r="F553" s="1" t="n"/>
    </row>
    <row r="554" ht="15.75" customHeight="1" s="311">
      <c r="A554" s="1" t="n"/>
      <c r="B554" s="1" t="n"/>
      <c r="C554" s="1" t="n"/>
      <c r="D554" s="1" t="n"/>
      <c r="E554" s="1" t="n"/>
      <c r="F554" s="1" t="n"/>
    </row>
    <row r="555" ht="15.75" customHeight="1" s="311">
      <c r="A555" s="1" t="n"/>
      <c r="B555" s="1" t="n"/>
      <c r="C555" s="1" t="n"/>
      <c r="D555" s="1" t="n"/>
      <c r="E555" s="1" t="n"/>
      <c r="F555" s="1" t="n"/>
    </row>
    <row r="556" ht="15.75" customHeight="1" s="311">
      <c r="A556" s="1" t="n"/>
      <c r="B556" s="1" t="n"/>
      <c r="C556" s="1" t="n"/>
      <c r="D556" s="1" t="n"/>
      <c r="E556" s="1" t="n"/>
      <c r="F556" s="1" t="n"/>
    </row>
    <row r="557" ht="15.75" customHeight="1" s="311">
      <c r="A557" s="1" t="n"/>
      <c r="B557" s="1" t="n"/>
      <c r="C557" s="1" t="n"/>
      <c r="D557" s="1" t="n"/>
      <c r="E557" s="1" t="n"/>
      <c r="F557" s="1" t="n"/>
    </row>
    <row r="558" ht="15.75" customHeight="1" s="311">
      <c r="A558" s="1" t="n"/>
      <c r="B558" s="1" t="n"/>
      <c r="C558" s="1" t="n"/>
      <c r="D558" s="1" t="n"/>
      <c r="E558" s="1" t="n"/>
      <c r="F558" s="1" t="n"/>
    </row>
    <row r="559" ht="15.75" customHeight="1" s="311">
      <c r="A559" s="1" t="n"/>
      <c r="B559" s="1" t="n"/>
      <c r="C559" s="1" t="n"/>
      <c r="D559" s="1" t="n"/>
      <c r="E559" s="1" t="n"/>
      <c r="F559" s="1" t="n"/>
    </row>
    <row r="560" ht="15.75" customHeight="1" s="311">
      <c r="A560" s="1" t="n"/>
      <c r="B560" s="1" t="n"/>
      <c r="C560" s="1" t="n"/>
      <c r="D560" s="1" t="n"/>
      <c r="E560" s="1" t="n"/>
      <c r="F560" s="1" t="n"/>
    </row>
    <row r="561" ht="15.75" customHeight="1" s="311">
      <c r="A561" s="1" t="n"/>
      <c r="B561" s="1" t="n"/>
      <c r="C561" s="1" t="n"/>
      <c r="D561" s="1" t="n"/>
      <c r="E561" s="1" t="n"/>
      <c r="F561" s="1" t="n"/>
    </row>
    <row r="562" ht="15.75" customHeight="1" s="311">
      <c r="A562" s="1" t="n"/>
      <c r="B562" s="1" t="n"/>
      <c r="C562" s="1" t="n"/>
      <c r="D562" s="1" t="n"/>
      <c r="E562" s="1" t="n"/>
      <c r="F562" s="1" t="n"/>
    </row>
    <row r="563" ht="15.75" customHeight="1" s="311">
      <c r="A563" s="1" t="n"/>
      <c r="B563" s="1" t="n"/>
      <c r="C563" s="1" t="n"/>
      <c r="D563" s="1" t="n"/>
      <c r="E563" s="1" t="n"/>
      <c r="F563" s="1" t="n"/>
    </row>
    <row r="564" ht="15.75" customHeight="1" s="311">
      <c r="A564" s="1" t="n"/>
      <c r="B564" s="1" t="n"/>
      <c r="C564" s="1" t="n"/>
      <c r="D564" s="1" t="n"/>
      <c r="E564" s="1" t="n"/>
      <c r="F564" s="1" t="n"/>
    </row>
    <row r="565" ht="15.75" customHeight="1" s="311">
      <c r="A565" s="1" t="n"/>
      <c r="B565" s="1" t="n"/>
      <c r="C565" s="1" t="n"/>
      <c r="D565" s="1" t="n"/>
      <c r="E565" s="1" t="n"/>
      <c r="F565" s="1" t="n"/>
    </row>
    <row r="566" ht="15.75" customHeight="1" s="311">
      <c r="A566" s="1" t="n"/>
      <c r="B566" s="1" t="n"/>
      <c r="C566" s="1" t="n"/>
      <c r="D566" s="1" t="n"/>
      <c r="E566" s="1" t="n"/>
      <c r="F566" s="1" t="n"/>
    </row>
    <row r="567" ht="15.75" customHeight="1" s="311">
      <c r="A567" s="1" t="n"/>
      <c r="B567" s="1" t="n"/>
      <c r="C567" s="1" t="n"/>
      <c r="D567" s="1" t="n"/>
      <c r="E567" s="1" t="n"/>
      <c r="F567" s="1" t="n"/>
    </row>
    <row r="568" ht="15.75" customHeight="1" s="311">
      <c r="A568" s="1" t="n"/>
      <c r="B568" s="1" t="n"/>
      <c r="C568" s="1" t="n"/>
      <c r="D568" s="1" t="n"/>
      <c r="E568" s="1" t="n"/>
      <c r="F568" s="1" t="n"/>
    </row>
    <row r="569" ht="15.75" customHeight="1" s="311">
      <c r="A569" s="1" t="n"/>
      <c r="B569" s="1" t="n"/>
      <c r="C569" s="1" t="n"/>
      <c r="D569" s="1" t="n"/>
      <c r="E569" s="1" t="n"/>
      <c r="F569" s="1" t="n"/>
    </row>
    <row r="570" ht="15.75" customHeight="1" s="311">
      <c r="A570" s="1" t="n"/>
      <c r="B570" s="1" t="n"/>
      <c r="C570" s="1" t="n"/>
      <c r="D570" s="1" t="n"/>
      <c r="E570" s="1" t="n"/>
      <c r="F570" s="1" t="n"/>
    </row>
    <row r="571" ht="15.75" customHeight="1" s="311">
      <c r="A571" s="1" t="n"/>
      <c r="B571" s="1" t="n"/>
      <c r="C571" s="1" t="n"/>
      <c r="D571" s="1" t="n"/>
      <c r="E571" s="1" t="n"/>
      <c r="F571" s="1" t="n"/>
    </row>
    <row r="572" ht="15.75" customHeight="1" s="311">
      <c r="A572" s="1" t="n"/>
      <c r="B572" s="1" t="n"/>
      <c r="C572" s="1" t="n"/>
      <c r="D572" s="1" t="n"/>
      <c r="E572" s="1" t="n"/>
      <c r="F572" s="1" t="n"/>
    </row>
    <row r="573" ht="15.75" customHeight="1" s="311">
      <c r="A573" s="1" t="n"/>
      <c r="B573" s="1" t="n"/>
      <c r="C573" s="1" t="n"/>
      <c r="D573" s="1" t="n"/>
      <c r="E573" s="1" t="n"/>
      <c r="F573" s="1" t="n"/>
    </row>
    <row r="574" ht="15.75" customHeight="1" s="311">
      <c r="A574" s="1" t="n"/>
      <c r="B574" s="1" t="n"/>
      <c r="C574" s="1" t="n"/>
      <c r="D574" s="1" t="n"/>
      <c r="E574" s="1" t="n"/>
      <c r="F574" s="1" t="n"/>
    </row>
    <row r="575" ht="15.75" customHeight="1" s="311">
      <c r="A575" s="1" t="n"/>
      <c r="B575" s="1" t="n"/>
      <c r="C575" s="1" t="n"/>
      <c r="D575" s="1" t="n"/>
      <c r="E575" s="1" t="n"/>
      <c r="F575" s="1" t="n"/>
    </row>
    <row r="576" ht="15.75" customHeight="1" s="311">
      <c r="A576" s="1" t="n"/>
      <c r="B576" s="1" t="n"/>
      <c r="C576" s="1" t="n"/>
      <c r="D576" s="1" t="n"/>
      <c r="E576" s="1" t="n"/>
      <c r="F576" s="1" t="n"/>
    </row>
    <row r="577" ht="15.75" customHeight="1" s="311">
      <c r="A577" s="1" t="n"/>
      <c r="B577" s="1" t="n"/>
      <c r="C577" s="1" t="n"/>
      <c r="D577" s="1" t="n"/>
      <c r="E577" s="1" t="n"/>
      <c r="F577" s="1" t="n"/>
    </row>
    <row r="578" ht="15.75" customHeight="1" s="311">
      <c r="A578" s="1" t="n"/>
      <c r="B578" s="1" t="n"/>
      <c r="C578" s="1" t="n"/>
      <c r="D578" s="1" t="n"/>
      <c r="E578" s="1" t="n"/>
      <c r="F578" s="1" t="n"/>
    </row>
    <row r="579" ht="15.75" customHeight="1" s="311">
      <c r="A579" s="1" t="n"/>
      <c r="B579" s="1" t="n"/>
      <c r="C579" s="1" t="n"/>
      <c r="D579" s="1" t="n"/>
      <c r="E579" s="1" t="n"/>
      <c r="F579" s="1" t="n"/>
    </row>
    <row r="580" ht="15.75" customHeight="1" s="311">
      <c r="A580" s="1" t="n"/>
      <c r="B580" s="1" t="n"/>
      <c r="C580" s="1" t="n"/>
      <c r="D580" s="1" t="n"/>
      <c r="E580" s="1" t="n"/>
      <c r="F580" s="1" t="n"/>
    </row>
    <row r="581" ht="15.75" customHeight="1" s="311">
      <c r="A581" s="1" t="n"/>
      <c r="B581" s="1" t="n"/>
      <c r="C581" s="1" t="n"/>
      <c r="D581" s="1" t="n"/>
      <c r="E581" s="1" t="n"/>
      <c r="F581" s="1" t="n"/>
    </row>
    <row r="582" ht="15.75" customHeight="1" s="311">
      <c r="A582" s="1" t="n"/>
      <c r="B582" s="1" t="n"/>
      <c r="C582" s="1" t="n"/>
      <c r="D582" s="1" t="n"/>
      <c r="E582" s="1" t="n"/>
      <c r="F582" s="1" t="n"/>
    </row>
    <row r="583" ht="15.75" customHeight="1" s="311">
      <c r="A583" s="1" t="n"/>
      <c r="B583" s="1" t="n"/>
      <c r="C583" s="1" t="n"/>
      <c r="D583" s="1" t="n"/>
      <c r="E583" s="1" t="n"/>
      <c r="F583" s="1" t="n"/>
    </row>
    <row r="584" ht="15.75" customHeight="1" s="311">
      <c r="A584" s="1" t="n"/>
      <c r="B584" s="1" t="n"/>
      <c r="C584" s="1" t="n"/>
      <c r="D584" s="1" t="n"/>
      <c r="E584" s="1" t="n"/>
      <c r="F584" s="1" t="n"/>
    </row>
    <row r="585" ht="15.75" customHeight="1" s="311">
      <c r="A585" s="1" t="n"/>
      <c r="B585" s="1" t="n"/>
      <c r="C585" s="1" t="n"/>
      <c r="D585" s="1" t="n"/>
      <c r="E585" s="1" t="n"/>
      <c r="F585" s="1" t="n"/>
    </row>
    <row r="586" ht="15.75" customHeight="1" s="311">
      <c r="A586" s="1" t="n"/>
      <c r="B586" s="1" t="n"/>
      <c r="C586" s="1" t="n"/>
      <c r="D586" s="1" t="n"/>
      <c r="E586" s="1" t="n"/>
      <c r="F586" s="1" t="n"/>
    </row>
    <row r="587" ht="15.75" customHeight="1" s="311">
      <c r="A587" s="1" t="n"/>
      <c r="B587" s="1" t="n"/>
      <c r="C587" s="1" t="n"/>
      <c r="D587" s="1" t="n"/>
      <c r="E587" s="1" t="n"/>
      <c r="F587" s="1" t="n"/>
    </row>
    <row r="588" ht="15.75" customHeight="1" s="311">
      <c r="A588" s="1" t="n"/>
      <c r="B588" s="1" t="n"/>
      <c r="C588" s="1" t="n"/>
      <c r="D588" s="1" t="n"/>
      <c r="E588" s="1" t="n"/>
      <c r="F588" s="1" t="n"/>
    </row>
    <row r="589" ht="15.75" customHeight="1" s="311">
      <c r="A589" s="1" t="n"/>
      <c r="B589" s="1" t="n"/>
      <c r="C589" s="1" t="n"/>
      <c r="D589" s="1" t="n"/>
      <c r="E589" s="1" t="n"/>
      <c r="F589" s="1" t="n"/>
    </row>
    <row r="590" ht="15.75" customHeight="1" s="311">
      <c r="A590" s="1" t="n"/>
      <c r="B590" s="1" t="n"/>
      <c r="C590" s="1" t="n"/>
      <c r="D590" s="1" t="n"/>
      <c r="E590" s="1" t="n"/>
      <c r="F590" s="1" t="n"/>
    </row>
    <row r="591" ht="15.75" customHeight="1" s="311">
      <c r="A591" s="1" t="n"/>
      <c r="B591" s="1" t="n"/>
      <c r="C591" s="1" t="n"/>
      <c r="D591" s="1" t="n"/>
      <c r="E591" s="1" t="n"/>
      <c r="F591" s="1" t="n"/>
    </row>
    <row r="592" ht="15.75" customHeight="1" s="311">
      <c r="A592" s="1" t="n"/>
      <c r="B592" s="1" t="n"/>
      <c r="C592" s="1" t="n"/>
      <c r="D592" s="1" t="n"/>
      <c r="E592" s="1" t="n"/>
      <c r="F592" s="1" t="n"/>
    </row>
    <row r="593" ht="15.75" customHeight="1" s="311">
      <c r="A593" s="1" t="n"/>
      <c r="B593" s="1" t="n"/>
      <c r="C593" s="1" t="n"/>
      <c r="D593" s="1" t="n"/>
      <c r="E593" s="1" t="n"/>
      <c r="F593" s="1" t="n"/>
    </row>
    <row r="594" ht="15.75" customHeight="1" s="311">
      <c r="A594" s="1" t="n"/>
      <c r="B594" s="1" t="n"/>
      <c r="C594" s="1" t="n"/>
      <c r="D594" s="1" t="n"/>
      <c r="E594" s="1" t="n"/>
      <c r="F594" s="1" t="n"/>
    </row>
    <row r="595" ht="15.75" customHeight="1" s="311">
      <c r="A595" s="1" t="n"/>
      <c r="B595" s="1" t="n"/>
      <c r="C595" s="1" t="n"/>
      <c r="D595" s="1" t="n"/>
      <c r="E595" s="1" t="n"/>
      <c r="F595" s="1" t="n"/>
    </row>
    <row r="596" ht="15.75" customHeight="1" s="311">
      <c r="A596" s="1" t="n"/>
      <c r="B596" s="1" t="n"/>
      <c r="C596" s="1" t="n"/>
      <c r="D596" s="1" t="n"/>
      <c r="E596" s="1" t="n"/>
      <c r="F596" s="1" t="n"/>
    </row>
    <row r="597" ht="15.75" customHeight="1" s="311">
      <c r="A597" s="1" t="n"/>
      <c r="B597" s="1" t="n"/>
      <c r="C597" s="1" t="n"/>
      <c r="D597" s="1" t="n"/>
      <c r="E597" s="1" t="n"/>
      <c r="F597" s="1" t="n"/>
    </row>
    <row r="598" ht="15.75" customHeight="1" s="311">
      <c r="A598" s="1" t="n"/>
      <c r="B598" s="1" t="n"/>
      <c r="C598" s="1" t="n"/>
      <c r="D598" s="1" t="n"/>
      <c r="E598" s="1" t="n"/>
      <c r="F598" s="1" t="n"/>
    </row>
    <row r="599" ht="15.75" customHeight="1" s="311">
      <c r="A599" s="1" t="n"/>
      <c r="B599" s="1" t="n"/>
      <c r="C599" s="1" t="n"/>
      <c r="D599" s="1" t="n"/>
      <c r="E599" s="1" t="n"/>
      <c r="F599" s="1" t="n"/>
    </row>
    <row r="600" ht="15.75" customHeight="1" s="311">
      <c r="A600" s="1" t="n"/>
      <c r="B600" s="1" t="n"/>
      <c r="C600" s="1" t="n"/>
      <c r="D600" s="1" t="n"/>
      <c r="E600" s="1" t="n"/>
      <c r="F600" s="1" t="n"/>
    </row>
    <row r="601" ht="15.75" customHeight="1" s="311">
      <c r="A601" s="1" t="n"/>
      <c r="B601" s="1" t="n"/>
      <c r="C601" s="1" t="n"/>
      <c r="D601" s="1" t="n"/>
      <c r="E601" s="1" t="n"/>
      <c r="F601" s="1" t="n"/>
    </row>
    <row r="602" ht="15.75" customHeight="1" s="311">
      <c r="A602" s="1" t="n"/>
      <c r="B602" s="1" t="n"/>
      <c r="C602" s="1" t="n"/>
      <c r="D602" s="1" t="n"/>
      <c r="E602" s="1" t="n"/>
      <c r="F602" s="1" t="n"/>
    </row>
    <row r="603" ht="15.75" customHeight="1" s="311">
      <c r="A603" s="1" t="n"/>
      <c r="B603" s="1" t="n"/>
      <c r="C603" s="1" t="n"/>
      <c r="D603" s="1" t="n"/>
      <c r="E603" s="1" t="n"/>
      <c r="F603" s="1" t="n"/>
    </row>
    <row r="604" ht="15.75" customHeight="1" s="311">
      <c r="A604" s="1" t="n"/>
      <c r="B604" s="1" t="n"/>
      <c r="C604" s="1" t="n"/>
      <c r="D604" s="1" t="n"/>
      <c r="E604" s="1" t="n"/>
      <c r="F604" s="1" t="n"/>
    </row>
    <row r="605" ht="15.75" customHeight="1" s="311">
      <c r="A605" s="1" t="n"/>
      <c r="B605" s="1" t="n"/>
      <c r="C605" s="1" t="n"/>
      <c r="D605" s="1" t="n"/>
      <c r="E605" s="1" t="n"/>
      <c r="F605" s="1" t="n"/>
    </row>
    <row r="606" ht="15.75" customHeight="1" s="311">
      <c r="A606" s="1" t="n"/>
      <c r="B606" s="1" t="n"/>
      <c r="C606" s="1" t="n"/>
      <c r="D606" s="1" t="n"/>
      <c r="E606" s="1" t="n"/>
      <c r="F606" s="1" t="n"/>
    </row>
    <row r="607" ht="15.75" customHeight="1" s="311">
      <c r="A607" s="1" t="n"/>
      <c r="B607" s="1" t="n"/>
      <c r="C607" s="1" t="n"/>
      <c r="D607" s="1" t="n"/>
      <c r="E607" s="1" t="n"/>
      <c r="F607" s="1" t="n"/>
    </row>
    <row r="608" ht="15.75" customHeight="1" s="311">
      <c r="A608" s="1" t="n"/>
      <c r="B608" s="1" t="n"/>
      <c r="C608" s="1" t="n"/>
      <c r="D608" s="1" t="n"/>
      <c r="E608" s="1" t="n"/>
      <c r="F608" s="1" t="n"/>
    </row>
    <row r="609" ht="15.75" customHeight="1" s="311">
      <c r="A609" s="1" t="n"/>
      <c r="B609" s="1" t="n"/>
      <c r="C609" s="1" t="n"/>
      <c r="D609" s="1" t="n"/>
      <c r="E609" s="1" t="n"/>
      <c r="F609" s="1" t="n"/>
    </row>
    <row r="610" ht="15.75" customHeight="1" s="311">
      <c r="A610" s="1" t="n"/>
      <c r="B610" s="1" t="n"/>
      <c r="C610" s="1" t="n"/>
      <c r="D610" s="1" t="n"/>
      <c r="E610" s="1" t="n"/>
      <c r="F610" s="1" t="n"/>
    </row>
    <row r="611" ht="15.75" customHeight="1" s="311">
      <c r="A611" s="1" t="n"/>
      <c r="B611" s="1" t="n"/>
      <c r="C611" s="1" t="n"/>
      <c r="D611" s="1" t="n"/>
      <c r="E611" s="1" t="n"/>
      <c r="F611" s="1" t="n"/>
    </row>
    <row r="612" ht="15.75" customHeight="1" s="311">
      <c r="A612" s="1" t="n"/>
      <c r="B612" s="1" t="n"/>
      <c r="C612" s="1" t="n"/>
      <c r="D612" s="1" t="n"/>
      <c r="E612" s="1" t="n"/>
      <c r="F612" s="1" t="n"/>
    </row>
    <row r="613" ht="15.75" customHeight="1" s="311">
      <c r="A613" s="1" t="n"/>
      <c r="B613" s="1" t="n"/>
      <c r="C613" s="1" t="n"/>
      <c r="D613" s="1" t="n"/>
      <c r="E613" s="1" t="n"/>
      <c r="F613" s="1" t="n"/>
    </row>
    <row r="614" ht="15.75" customHeight="1" s="311">
      <c r="A614" s="1" t="n"/>
      <c r="B614" s="1" t="n"/>
      <c r="C614" s="1" t="n"/>
      <c r="D614" s="1" t="n"/>
      <c r="E614" s="1" t="n"/>
      <c r="F614" s="1" t="n"/>
    </row>
    <row r="615" ht="15.75" customHeight="1" s="311">
      <c r="A615" s="1" t="n"/>
      <c r="B615" s="1" t="n"/>
      <c r="C615" s="1" t="n"/>
      <c r="D615" s="1" t="n"/>
      <c r="E615" s="1" t="n"/>
      <c r="F615" s="1" t="n"/>
    </row>
    <row r="616" ht="15.75" customHeight="1" s="311">
      <c r="A616" s="1" t="n"/>
      <c r="B616" s="1" t="n"/>
      <c r="C616" s="1" t="n"/>
      <c r="D616" s="1" t="n"/>
      <c r="E616" s="1" t="n"/>
      <c r="F616" s="1" t="n"/>
    </row>
    <row r="617" ht="15.75" customHeight="1" s="311">
      <c r="A617" s="1" t="n"/>
      <c r="B617" s="1" t="n"/>
      <c r="C617" s="1" t="n"/>
      <c r="D617" s="1" t="n"/>
      <c r="E617" s="1" t="n"/>
      <c r="F617" s="1" t="n"/>
    </row>
    <row r="618" ht="15.75" customHeight="1" s="311">
      <c r="A618" s="1" t="n"/>
      <c r="B618" s="1" t="n"/>
      <c r="C618" s="1" t="n"/>
      <c r="D618" s="1" t="n"/>
      <c r="E618" s="1" t="n"/>
      <c r="F618" s="1" t="n"/>
    </row>
    <row r="619" ht="15.75" customHeight="1" s="311">
      <c r="A619" s="1" t="n"/>
      <c r="B619" s="1" t="n"/>
      <c r="C619" s="1" t="n"/>
      <c r="D619" s="1" t="n"/>
      <c r="E619" s="1" t="n"/>
      <c r="F619" s="1" t="n"/>
    </row>
    <row r="620" ht="15.75" customHeight="1" s="311">
      <c r="A620" s="1" t="n"/>
      <c r="B620" s="1" t="n"/>
      <c r="C620" s="1" t="n"/>
      <c r="D620" s="1" t="n"/>
      <c r="E620" s="1" t="n"/>
      <c r="F620" s="1" t="n"/>
    </row>
    <row r="621" ht="15.75" customHeight="1" s="311">
      <c r="A621" s="1" t="n"/>
      <c r="B621" s="1" t="n"/>
      <c r="C621" s="1" t="n"/>
      <c r="D621" s="1" t="n"/>
      <c r="E621" s="1" t="n"/>
      <c r="F621" s="1" t="n"/>
    </row>
    <row r="622" ht="15.75" customHeight="1" s="311">
      <c r="A622" s="1" t="n"/>
      <c r="B622" s="1" t="n"/>
      <c r="C622" s="1" t="n"/>
      <c r="D622" s="1" t="n"/>
      <c r="E622" s="1" t="n"/>
      <c r="F622" s="1" t="n"/>
    </row>
    <row r="623" ht="15.75" customHeight="1" s="311">
      <c r="A623" s="1" t="n"/>
      <c r="B623" s="1" t="n"/>
      <c r="C623" s="1" t="n"/>
      <c r="D623" s="1" t="n"/>
      <c r="E623" s="1" t="n"/>
      <c r="F623" s="1" t="n"/>
    </row>
    <row r="624" ht="15.75" customHeight="1" s="311">
      <c r="A624" s="1" t="n"/>
      <c r="B624" s="1" t="n"/>
      <c r="C624" s="1" t="n"/>
      <c r="D624" s="1" t="n"/>
      <c r="E624" s="1" t="n"/>
      <c r="F624" s="1" t="n"/>
    </row>
    <row r="625" ht="15.75" customHeight="1" s="311">
      <c r="A625" s="1" t="n"/>
      <c r="B625" s="1" t="n"/>
      <c r="C625" s="1" t="n"/>
      <c r="D625" s="1" t="n"/>
      <c r="E625" s="1" t="n"/>
      <c r="F625" s="1" t="n"/>
    </row>
    <row r="626" ht="15.75" customHeight="1" s="311">
      <c r="A626" s="1" t="n"/>
      <c r="B626" s="1" t="n"/>
      <c r="C626" s="1" t="n"/>
      <c r="D626" s="1" t="n"/>
      <c r="E626" s="1" t="n"/>
      <c r="F626" s="1" t="n"/>
    </row>
    <row r="627" ht="15.75" customHeight="1" s="311">
      <c r="A627" s="1" t="n"/>
      <c r="B627" s="1" t="n"/>
      <c r="C627" s="1" t="n"/>
      <c r="D627" s="1" t="n"/>
      <c r="E627" s="1" t="n"/>
      <c r="F627" s="1" t="n"/>
    </row>
    <row r="628" ht="15.75" customHeight="1" s="311">
      <c r="A628" s="1" t="n"/>
      <c r="B628" s="1" t="n"/>
      <c r="C628" s="1" t="n"/>
      <c r="D628" s="1" t="n"/>
      <c r="E628" s="1" t="n"/>
      <c r="F628" s="1" t="n"/>
    </row>
    <row r="629" ht="15.75" customHeight="1" s="311">
      <c r="A629" s="1" t="n"/>
      <c r="B629" s="1" t="n"/>
      <c r="C629" s="1" t="n"/>
      <c r="D629" s="1" t="n"/>
      <c r="E629" s="1" t="n"/>
      <c r="F629" s="1" t="n"/>
    </row>
    <row r="630" ht="15.75" customHeight="1" s="311">
      <c r="A630" s="1" t="n"/>
      <c r="B630" s="1" t="n"/>
      <c r="C630" s="1" t="n"/>
      <c r="D630" s="1" t="n"/>
      <c r="E630" s="1" t="n"/>
      <c r="F630" s="1" t="n"/>
    </row>
    <row r="631" ht="15.75" customHeight="1" s="311">
      <c r="A631" s="1" t="n"/>
      <c r="B631" s="1" t="n"/>
      <c r="C631" s="1" t="n"/>
      <c r="D631" s="1" t="n"/>
      <c r="E631" s="1" t="n"/>
      <c r="F631" s="1" t="n"/>
    </row>
    <row r="632" ht="15.75" customHeight="1" s="311">
      <c r="A632" s="1" t="n"/>
      <c r="B632" s="1" t="n"/>
      <c r="C632" s="1" t="n"/>
      <c r="D632" s="1" t="n"/>
      <c r="E632" s="1" t="n"/>
      <c r="F632" s="1" t="n"/>
    </row>
    <row r="633" ht="15.75" customHeight="1" s="311">
      <c r="A633" s="1" t="n"/>
      <c r="B633" s="1" t="n"/>
      <c r="C633" s="1" t="n"/>
      <c r="D633" s="1" t="n"/>
      <c r="E633" s="1" t="n"/>
      <c r="F633" s="1" t="n"/>
    </row>
    <row r="634" ht="15.75" customHeight="1" s="311">
      <c r="A634" s="1" t="n"/>
      <c r="B634" s="1" t="n"/>
      <c r="C634" s="1" t="n"/>
      <c r="D634" s="1" t="n"/>
      <c r="E634" s="1" t="n"/>
      <c r="F634" s="1" t="n"/>
    </row>
    <row r="635" ht="15.75" customHeight="1" s="311">
      <c r="A635" s="1" t="n"/>
      <c r="B635" s="1" t="n"/>
      <c r="C635" s="1" t="n"/>
      <c r="D635" s="1" t="n"/>
      <c r="E635" s="1" t="n"/>
      <c r="F635" s="1" t="n"/>
    </row>
    <row r="636" ht="15.75" customHeight="1" s="311">
      <c r="A636" s="1" t="n"/>
      <c r="B636" s="1" t="n"/>
      <c r="C636" s="1" t="n"/>
      <c r="D636" s="1" t="n"/>
      <c r="E636" s="1" t="n"/>
      <c r="F636" s="1" t="n"/>
    </row>
    <row r="637" ht="15.75" customHeight="1" s="311">
      <c r="A637" s="1" t="n"/>
      <c r="B637" s="1" t="n"/>
      <c r="C637" s="1" t="n"/>
      <c r="D637" s="1" t="n"/>
      <c r="E637" s="1" t="n"/>
      <c r="F637" s="1" t="n"/>
    </row>
    <row r="638" ht="15.75" customHeight="1" s="311">
      <c r="A638" s="1" t="n"/>
      <c r="B638" s="1" t="n"/>
      <c r="C638" s="1" t="n"/>
      <c r="D638" s="1" t="n"/>
      <c r="E638" s="1" t="n"/>
      <c r="F638" s="1" t="n"/>
    </row>
    <row r="639" ht="15.75" customHeight="1" s="311">
      <c r="A639" s="1" t="n"/>
      <c r="B639" s="1" t="n"/>
      <c r="C639" s="1" t="n"/>
      <c r="D639" s="1" t="n"/>
      <c r="E639" s="1" t="n"/>
      <c r="F639" s="1" t="n"/>
    </row>
    <row r="640" ht="15.75" customHeight="1" s="311">
      <c r="A640" s="1" t="n"/>
      <c r="B640" s="1" t="n"/>
      <c r="C640" s="1" t="n"/>
      <c r="D640" s="1" t="n"/>
      <c r="E640" s="1" t="n"/>
      <c r="F640" s="1" t="n"/>
    </row>
    <row r="641" ht="15.75" customHeight="1" s="311">
      <c r="A641" s="1" t="n"/>
      <c r="B641" s="1" t="n"/>
      <c r="C641" s="1" t="n"/>
      <c r="D641" s="1" t="n"/>
      <c r="E641" s="1" t="n"/>
      <c r="F641" s="1" t="n"/>
    </row>
    <row r="642" ht="15.75" customHeight="1" s="311">
      <c r="A642" s="1" t="n"/>
      <c r="B642" s="1" t="n"/>
      <c r="C642" s="1" t="n"/>
      <c r="D642" s="1" t="n"/>
      <c r="E642" s="1" t="n"/>
      <c r="F642" s="1" t="n"/>
    </row>
    <row r="643" ht="15.75" customHeight="1" s="311">
      <c r="A643" s="1" t="n"/>
      <c r="B643" s="1" t="n"/>
      <c r="C643" s="1" t="n"/>
      <c r="D643" s="1" t="n"/>
      <c r="E643" s="1" t="n"/>
      <c r="F643" s="1" t="n"/>
    </row>
    <row r="644" ht="15.75" customHeight="1" s="311">
      <c r="A644" s="1" t="n"/>
      <c r="B644" s="1" t="n"/>
      <c r="C644" s="1" t="n"/>
      <c r="D644" s="1" t="n"/>
      <c r="E644" s="1" t="n"/>
      <c r="F644" s="1" t="n"/>
    </row>
    <row r="645" ht="15.75" customHeight="1" s="311">
      <c r="A645" s="1" t="n"/>
      <c r="B645" s="1" t="n"/>
      <c r="C645" s="1" t="n"/>
      <c r="D645" s="1" t="n"/>
      <c r="E645" s="1" t="n"/>
      <c r="F645" s="1" t="n"/>
    </row>
    <row r="646" ht="15.75" customHeight="1" s="311">
      <c r="A646" s="1" t="n"/>
      <c r="B646" s="1" t="n"/>
      <c r="C646" s="1" t="n"/>
      <c r="D646" s="1" t="n"/>
      <c r="E646" s="1" t="n"/>
      <c r="F646" s="1" t="n"/>
    </row>
    <row r="647" ht="15.75" customHeight="1" s="311">
      <c r="A647" s="1" t="n"/>
      <c r="B647" s="1" t="n"/>
      <c r="C647" s="1" t="n"/>
      <c r="D647" s="1" t="n"/>
      <c r="E647" s="1" t="n"/>
      <c r="F647" s="1" t="n"/>
    </row>
    <row r="648" ht="15.75" customHeight="1" s="311">
      <c r="A648" s="1" t="n"/>
      <c r="B648" s="1" t="n"/>
      <c r="C648" s="1" t="n"/>
      <c r="D648" s="1" t="n"/>
      <c r="E648" s="1" t="n"/>
      <c r="F648" s="1" t="n"/>
    </row>
    <row r="649" ht="15.75" customHeight="1" s="311">
      <c r="A649" s="1" t="n"/>
      <c r="B649" s="1" t="n"/>
      <c r="C649" s="1" t="n"/>
      <c r="D649" s="1" t="n"/>
      <c r="E649" s="1" t="n"/>
      <c r="F649" s="1" t="n"/>
    </row>
    <row r="650" ht="15.75" customHeight="1" s="311">
      <c r="A650" s="1" t="n"/>
      <c r="B650" s="1" t="n"/>
      <c r="C650" s="1" t="n"/>
      <c r="D650" s="1" t="n"/>
      <c r="E650" s="1" t="n"/>
      <c r="F650" s="1" t="n"/>
    </row>
    <row r="651" ht="15.75" customHeight="1" s="311">
      <c r="A651" s="1" t="n"/>
      <c r="B651" s="1" t="n"/>
      <c r="C651" s="1" t="n"/>
      <c r="D651" s="1" t="n"/>
      <c r="E651" s="1" t="n"/>
      <c r="F651" s="1" t="n"/>
    </row>
    <row r="652" ht="15.75" customHeight="1" s="311">
      <c r="A652" s="1" t="n"/>
      <c r="B652" s="1" t="n"/>
      <c r="C652" s="1" t="n"/>
      <c r="D652" s="1" t="n"/>
      <c r="E652" s="1" t="n"/>
      <c r="F652" s="1" t="n"/>
    </row>
    <row r="653" ht="15.75" customHeight="1" s="311">
      <c r="A653" s="1" t="n"/>
      <c r="B653" s="1" t="n"/>
      <c r="C653" s="1" t="n"/>
      <c r="D653" s="1" t="n"/>
      <c r="E653" s="1" t="n"/>
      <c r="F653" s="1" t="n"/>
    </row>
    <row r="654" ht="15.75" customHeight="1" s="311">
      <c r="A654" s="1" t="n"/>
      <c r="B654" s="1" t="n"/>
      <c r="C654" s="1" t="n"/>
      <c r="D654" s="1" t="n"/>
      <c r="E654" s="1" t="n"/>
      <c r="F654" s="1" t="n"/>
    </row>
    <row r="655" ht="15.75" customHeight="1" s="311">
      <c r="A655" s="1" t="n"/>
      <c r="B655" s="1" t="n"/>
      <c r="C655" s="1" t="n"/>
      <c r="D655" s="1" t="n"/>
      <c r="E655" s="1" t="n"/>
      <c r="F655" s="1" t="n"/>
    </row>
    <row r="656" ht="15.75" customHeight="1" s="311">
      <c r="A656" s="1" t="n"/>
      <c r="B656" s="1" t="n"/>
      <c r="C656" s="1" t="n"/>
      <c r="D656" s="1" t="n"/>
      <c r="E656" s="1" t="n"/>
      <c r="F656" s="1" t="n"/>
    </row>
    <row r="657" ht="15.75" customHeight="1" s="311">
      <c r="A657" s="1" t="n"/>
      <c r="B657" s="1" t="n"/>
      <c r="C657" s="1" t="n"/>
      <c r="D657" s="1" t="n"/>
      <c r="E657" s="1" t="n"/>
      <c r="F657" s="1" t="n"/>
    </row>
    <row r="658" ht="15.75" customHeight="1" s="311">
      <c r="A658" s="1" t="n"/>
      <c r="B658" s="1" t="n"/>
      <c r="C658" s="1" t="n"/>
      <c r="D658" s="1" t="n"/>
      <c r="E658" s="1" t="n"/>
      <c r="F658" s="1" t="n"/>
    </row>
    <row r="659" ht="15.75" customHeight="1" s="311">
      <c r="A659" s="1" t="n"/>
      <c r="B659" s="1" t="n"/>
      <c r="C659" s="1" t="n"/>
      <c r="D659" s="1" t="n"/>
      <c r="E659" s="1" t="n"/>
      <c r="F659" s="1" t="n"/>
    </row>
    <row r="660" ht="15.75" customHeight="1" s="311">
      <c r="A660" s="1" t="n"/>
      <c r="B660" s="1" t="n"/>
      <c r="C660" s="1" t="n"/>
      <c r="D660" s="1" t="n"/>
      <c r="E660" s="1" t="n"/>
      <c r="F660" s="1" t="n"/>
    </row>
    <row r="661" ht="15.75" customHeight="1" s="311">
      <c r="A661" s="1" t="n"/>
      <c r="B661" s="1" t="n"/>
      <c r="C661" s="1" t="n"/>
      <c r="D661" s="1" t="n"/>
      <c r="E661" s="1" t="n"/>
      <c r="F661" s="1" t="n"/>
    </row>
    <row r="662" ht="15.75" customHeight="1" s="311">
      <c r="A662" s="1" t="n"/>
      <c r="B662" s="1" t="n"/>
      <c r="C662" s="1" t="n"/>
      <c r="D662" s="1" t="n"/>
      <c r="E662" s="1" t="n"/>
      <c r="F662" s="1" t="n"/>
    </row>
    <row r="663" ht="15.75" customHeight="1" s="311">
      <c r="A663" s="1" t="n"/>
      <c r="B663" s="1" t="n"/>
      <c r="C663" s="1" t="n"/>
      <c r="D663" s="1" t="n"/>
      <c r="E663" s="1" t="n"/>
      <c r="F663" s="1" t="n"/>
    </row>
    <row r="664" ht="15.75" customHeight="1" s="311">
      <c r="A664" s="1" t="n"/>
      <c r="B664" s="1" t="n"/>
      <c r="C664" s="1" t="n"/>
      <c r="D664" s="1" t="n"/>
      <c r="E664" s="1" t="n"/>
      <c r="F664" s="1" t="n"/>
    </row>
    <row r="665" ht="15.75" customHeight="1" s="311">
      <c r="A665" s="1" t="n"/>
      <c r="B665" s="1" t="n"/>
      <c r="C665" s="1" t="n"/>
      <c r="D665" s="1" t="n"/>
      <c r="E665" s="1" t="n"/>
      <c r="F665" s="1" t="n"/>
    </row>
    <row r="666" ht="15.75" customHeight="1" s="311">
      <c r="A666" s="1" t="n"/>
      <c r="B666" s="1" t="n"/>
      <c r="C666" s="1" t="n"/>
      <c r="D666" s="1" t="n"/>
      <c r="E666" s="1" t="n"/>
      <c r="F666" s="1" t="n"/>
    </row>
    <row r="667" ht="15.75" customHeight="1" s="311">
      <c r="A667" s="1" t="n"/>
      <c r="B667" s="1" t="n"/>
      <c r="C667" s="1" t="n"/>
      <c r="D667" s="1" t="n"/>
      <c r="E667" s="1" t="n"/>
      <c r="F667" s="1" t="n"/>
    </row>
    <row r="668" ht="15.75" customHeight="1" s="311">
      <c r="A668" s="1" t="n"/>
      <c r="B668" s="1" t="n"/>
      <c r="C668" s="1" t="n"/>
      <c r="D668" s="1" t="n"/>
      <c r="E668" s="1" t="n"/>
      <c r="F668" s="1" t="n"/>
    </row>
    <row r="669" ht="15.75" customHeight="1" s="311">
      <c r="A669" s="1" t="n"/>
      <c r="B669" s="1" t="n"/>
      <c r="C669" s="1" t="n"/>
      <c r="D669" s="1" t="n"/>
      <c r="E669" s="1" t="n"/>
      <c r="F669" s="1" t="n"/>
    </row>
    <row r="670" ht="15.75" customHeight="1" s="311">
      <c r="A670" s="1" t="n"/>
      <c r="B670" s="1" t="n"/>
      <c r="C670" s="1" t="n"/>
      <c r="D670" s="1" t="n"/>
      <c r="E670" s="1" t="n"/>
      <c r="F670" s="1" t="n"/>
    </row>
    <row r="671" ht="15.75" customHeight="1" s="311">
      <c r="A671" s="1" t="n"/>
      <c r="B671" s="1" t="n"/>
      <c r="C671" s="1" t="n"/>
      <c r="D671" s="1" t="n"/>
      <c r="E671" s="1" t="n"/>
      <c r="F671" s="1" t="n"/>
    </row>
    <row r="672" ht="15.75" customHeight="1" s="311">
      <c r="A672" s="1" t="n"/>
      <c r="B672" s="1" t="n"/>
      <c r="C672" s="1" t="n"/>
      <c r="D672" s="1" t="n"/>
      <c r="E672" s="1" t="n"/>
      <c r="F672" s="1" t="n"/>
    </row>
    <row r="673" ht="15.75" customHeight="1" s="311">
      <c r="A673" s="1" t="n"/>
      <c r="B673" s="1" t="n"/>
      <c r="C673" s="1" t="n"/>
      <c r="D673" s="1" t="n"/>
      <c r="E673" s="1" t="n"/>
      <c r="F673" s="1" t="n"/>
    </row>
    <row r="674" ht="15.75" customHeight="1" s="311">
      <c r="A674" s="1" t="n"/>
      <c r="B674" s="1" t="n"/>
      <c r="C674" s="1" t="n"/>
      <c r="D674" s="1" t="n"/>
      <c r="E674" s="1" t="n"/>
      <c r="F674" s="1" t="n"/>
    </row>
    <row r="675" ht="15.75" customHeight="1" s="311">
      <c r="A675" s="1" t="n"/>
      <c r="B675" s="1" t="n"/>
      <c r="C675" s="1" t="n"/>
      <c r="D675" s="1" t="n"/>
      <c r="E675" s="1" t="n"/>
      <c r="F675" s="1" t="n"/>
    </row>
    <row r="676" ht="15.75" customHeight="1" s="311">
      <c r="A676" s="1" t="n"/>
      <c r="B676" s="1" t="n"/>
      <c r="C676" s="1" t="n"/>
      <c r="D676" s="1" t="n"/>
      <c r="E676" s="1" t="n"/>
      <c r="F676" s="1" t="n"/>
    </row>
    <row r="677" ht="15.75" customHeight="1" s="311">
      <c r="A677" s="1" t="n"/>
      <c r="B677" s="1" t="n"/>
      <c r="C677" s="1" t="n"/>
      <c r="D677" s="1" t="n"/>
      <c r="E677" s="1" t="n"/>
      <c r="F677" s="1" t="n"/>
    </row>
    <row r="678" ht="15.75" customHeight="1" s="311">
      <c r="A678" s="1" t="n"/>
      <c r="B678" s="1" t="n"/>
      <c r="C678" s="1" t="n"/>
      <c r="D678" s="1" t="n"/>
      <c r="E678" s="1" t="n"/>
      <c r="F678" s="1" t="n"/>
    </row>
    <row r="679" ht="15.75" customHeight="1" s="311">
      <c r="A679" s="1" t="n"/>
      <c r="B679" s="1" t="n"/>
      <c r="C679" s="1" t="n"/>
      <c r="D679" s="1" t="n"/>
      <c r="E679" s="1" t="n"/>
      <c r="F679" s="1" t="n"/>
    </row>
    <row r="680" ht="15.75" customHeight="1" s="311">
      <c r="A680" s="1" t="n"/>
      <c r="B680" s="1" t="n"/>
      <c r="C680" s="1" t="n"/>
      <c r="D680" s="1" t="n"/>
      <c r="E680" s="1" t="n"/>
      <c r="F680" s="1" t="n"/>
    </row>
    <row r="681" ht="15.75" customHeight="1" s="311">
      <c r="A681" s="1" t="n"/>
      <c r="B681" s="1" t="n"/>
      <c r="C681" s="1" t="n"/>
      <c r="D681" s="1" t="n"/>
      <c r="E681" s="1" t="n"/>
      <c r="F681" s="1" t="n"/>
    </row>
    <row r="682" ht="15.75" customHeight="1" s="311">
      <c r="A682" s="1" t="n"/>
      <c r="B682" s="1" t="n"/>
      <c r="C682" s="1" t="n"/>
      <c r="D682" s="1" t="n"/>
      <c r="E682" s="1" t="n"/>
      <c r="F682" s="1" t="n"/>
    </row>
    <row r="683" ht="15.75" customHeight="1" s="311">
      <c r="A683" s="1" t="n"/>
      <c r="B683" s="1" t="n"/>
      <c r="C683" s="1" t="n"/>
      <c r="D683" s="1" t="n"/>
      <c r="E683" s="1" t="n"/>
      <c r="F683" s="1" t="n"/>
    </row>
    <row r="684" ht="15.75" customHeight="1" s="311">
      <c r="A684" s="1" t="n"/>
      <c r="B684" s="1" t="n"/>
      <c r="C684" s="1" t="n"/>
      <c r="D684" s="1" t="n"/>
      <c r="E684" s="1" t="n"/>
      <c r="F684" s="1" t="n"/>
    </row>
    <row r="685" ht="15.75" customHeight="1" s="311">
      <c r="A685" s="1" t="n"/>
      <c r="B685" s="1" t="n"/>
      <c r="C685" s="1" t="n"/>
      <c r="D685" s="1" t="n"/>
      <c r="E685" s="1" t="n"/>
      <c r="F685" s="1" t="n"/>
    </row>
    <row r="686" ht="15.75" customHeight="1" s="311">
      <c r="A686" s="1" t="n"/>
      <c r="B686" s="1" t="n"/>
      <c r="C686" s="1" t="n"/>
      <c r="D686" s="1" t="n"/>
      <c r="E686" s="1" t="n"/>
      <c r="F686" s="1" t="n"/>
    </row>
    <row r="687" ht="15.75" customHeight="1" s="311">
      <c r="A687" s="1" t="n"/>
      <c r="B687" s="1" t="n"/>
      <c r="C687" s="1" t="n"/>
      <c r="D687" s="1" t="n"/>
      <c r="E687" s="1" t="n"/>
      <c r="F687" s="1" t="n"/>
    </row>
    <row r="688" ht="15.75" customHeight="1" s="311">
      <c r="A688" s="1" t="n"/>
      <c r="B688" s="1" t="n"/>
      <c r="C688" s="1" t="n"/>
      <c r="D688" s="1" t="n"/>
      <c r="E688" s="1" t="n"/>
      <c r="F688" s="1" t="n"/>
    </row>
    <row r="689" ht="15.75" customHeight="1" s="311">
      <c r="A689" s="1" t="n"/>
      <c r="B689" s="1" t="n"/>
      <c r="C689" s="1" t="n"/>
      <c r="D689" s="1" t="n"/>
      <c r="E689" s="1" t="n"/>
      <c r="F689" s="1" t="n"/>
    </row>
    <row r="690" ht="15.75" customHeight="1" s="311">
      <c r="A690" s="1" t="n"/>
      <c r="B690" s="1" t="n"/>
      <c r="C690" s="1" t="n"/>
      <c r="D690" s="1" t="n"/>
      <c r="E690" s="1" t="n"/>
      <c r="F690" s="1" t="n"/>
    </row>
    <row r="691" ht="15.75" customHeight="1" s="311">
      <c r="A691" s="1" t="n"/>
      <c r="B691" s="1" t="n"/>
      <c r="C691" s="1" t="n"/>
      <c r="D691" s="1" t="n"/>
      <c r="E691" s="1" t="n"/>
      <c r="F691" s="1" t="n"/>
    </row>
    <row r="692" ht="15.75" customHeight="1" s="311">
      <c r="A692" s="1" t="n"/>
      <c r="B692" s="1" t="n"/>
      <c r="C692" s="1" t="n"/>
      <c r="D692" s="1" t="n"/>
      <c r="E692" s="1" t="n"/>
      <c r="F692" s="1" t="n"/>
    </row>
    <row r="693" ht="15.75" customHeight="1" s="311">
      <c r="A693" s="1" t="n"/>
      <c r="B693" s="1" t="n"/>
      <c r="C693" s="1" t="n"/>
      <c r="D693" s="1" t="n"/>
      <c r="E693" s="1" t="n"/>
      <c r="F693" s="1" t="n"/>
    </row>
    <row r="694" ht="15.75" customHeight="1" s="311">
      <c r="A694" s="1" t="n"/>
      <c r="B694" s="1" t="n"/>
      <c r="C694" s="1" t="n"/>
      <c r="D694" s="1" t="n"/>
      <c r="E694" s="1" t="n"/>
      <c r="F694" s="1" t="n"/>
    </row>
    <row r="695" ht="15.75" customHeight="1" s="311">
      <c r="A695" s="1" t="n"/>
      <c r="B695" s="1" t="n"/>
      <c r="C695" s="1" t="n"/>
      <c r="D695" s="1" t="n"/>
      <c r="E695" s="1" t="n"/>
      <c r="F695" s="1" t="n"/>
    </row>
    <row r="696" ht="15.75" customHeight="1" s="311">
      <c r="A696" s="1" t="n"/>
      <c r="B696" s="1" t="n"/>
      <c r="C696" s="1" t="n"/>
      <c r="D696" s="1" t="n"/>
      <c r="E696" s="1" t="n"/>
      <c r="F696" s="1" t="n"/>
    </row>
    <row r="697" ht="15.75" customHeight="1" s="311">
      <c r="A697" s="1" t="n"/>
      <c r="B697" s="1" t="n"/>
      <c r="C697" s="1" t="n"/>
      <c r="D697" s="1" t="n"/>
      <c r="E697" s="1" t="n"/>
      <c r="F697" s="1" t="n"/>
    </row>
    <row r="698" ht="15.75" customHeight="1" s="311">
      <c r="A698" s="1" t="n"/>
      <c r="B698" s="1" t="n"/>
      <c r="C698" s="1" t="n"/>
      <c r="D698" s="1" t="n"/>
      <c r="E698" s="1" t="n"/>
      <c r="F698" s="1" t="n"/>
    </row>
    <row r="699" ht="15.75" customHeight="1" s="311">
      <c r="A699" s="1" t="n"/>
      <c r="B699" s="1" t="n"/>
      <c r="C699" s="1" t="n"/>
      <c r="D699" s="1" t="n"/>
      <c r="E699" s="1" t="n"/>
      <c r="F699" s="1" t="n"/>
    </row>
    <row r="700" ht="15.75" customHeight="1" s="311">
      <c r="A700" s="1" t="n"/>
      <c r="B700" s="1" t="n"/>
      <c r="C700" s="1" t="n"/>
      <c r="D700" s="1" t="n"/>
      <c r="E700" s="1" t="n"/>
      <c r="F700" s="1" t="n"/>
    </row>
    <row r="701" ht="15.75" customHeight="1" s="311">
      <c r="A701" s="1" t="n"/>
      <c r="B701" s="1" t="n"/>
      <c r="C701" s="1" t="n"/>
      <c r="D701" s="1" t="n"/>
      <c r="E701" s="1" t="n"/>
      <c r="F701" s="1" t="n"/>
    </row>
    <row r="702" ht="15.75" customHeight="1" s="311">
      <c r="A702" s="1" t="n"/>
      <c r="B702" s="1" t="n"/>
      <c r="C702" s="1" t="n"/>
      <c r="D702" s="1" t="n"/>
      <c r="E702" s="1" t="n"/>
      <c r="F702" s="1" t="n"/>
    </row>
    <row r="703" ht="15.75" customHeight="1" s="311">
      <c r="A703" s="1" t="n"/>
      <c r="B703" s="1" t="n"/>
      <c r="C703" s="1" t="n"/>
      <c r="D703" s="1" t="n"/>
      <c r="E703" s="1" t="n"/>
      <c r="F703" s="1" t="n"/>
    </row>
    <row r="704" ht="15.75" customHeight="1" s="311">
      <c r="A704" s="1" t="n"/>
      <c r="B704" s="1" t="n"/>
      <c r="C704" s="1" t="n"/>
      <c r="D704" s="1" t="n"/>
      <c r="E704" s="1" t="n"/>
      <c r="F704" s="1" t="n"/>
    </row>
    <row r="705" ht="15.75" customHeight="1" s="311">
      <c r="A705" s="1" t="n"/>
      <c r="B705" s="1" t="n"/>
      <c r="C705" s="1" t="n"/>
      <c r="D705" s="1" t="n"/>
      <c r="E705" s="1" t="n"/>
      <c r="F705" s="1" t="n"/>
    </row>
    <row r="706" ht="15.75" customHeight="1" s="311">
      <c r="A706" s="1" t="n"/>
      <c r="B706" s="1" t="n"/>
      <c r="C706" s="1" t="n"/>
      <c r="D706" s="1" t="n"/>
      <c r="E706" s="1" t="n"/>
      <c r="F706" s="1" t="n"/>
    </row>
    <row r="707" ht="15.75" customHeight="1" s="311">
      <c r="A707" s="1" t="n"/>
      <c r="B707" s="1" t="n"/>
      <c r="C707" s="1" t="n"/>
      <c r="D707" s="1" t="n"/>
      <c r="E707" s="1" t="n"/>
      <c r="F707" s="1" t="n"/>
    </row>
    <row r="708" ht="15.75" customHeight="1" s="311">
      <c r="A708" s="1" t="n"/>
      <c r="B708" s="1" t="n"/>
      <c r="C708" s="1" t="n"/>
      <c r="D708" s="1" t="n"/>
      <c r="E708" s="1" t="n"/>
      <c r="F708" s="1" t="n"/>
    </row>
    <row r="709" ht="15.75" customHeight="1" s="311">
      <c r="A709" s="1" t="n"/>
      <c r="B709" s="1" t="n"/>
      <c r="C709" s="1" t="n"/>
      <c r="D709" s="1" t="n"/>
      <c r="E709" s="1" t="n"/>
      <c r="F709" s="1" t="n"/>
    </row>
    <row r="710" ht="15.75" customHeight="1" s="311">
      <c r="A710" s="1" t="n"/>
      <c r="B710" s="1" t="n"/>
      <c r="C710" s="1" t="n"/>
      <c r="D710" s="1" t="n"/>
      <c r="E710" s="1" t="n"/>
      <c r="F710" s="1" t="n"/>
    </row>
    <row r="711" ht="15.75" customHeight="1" s="311">
      <c r="A711" s="1" t="n"/>
      <c r="B711" s="1" t="n"/>
      <c r="C711" s="1" t="n"/>
      <c r="D711" s="1" t="n"/>
      <c r="E711" s="1" t="n"/>
      <c r="F711" s="1" t="n"/>
    </row>
    <row r="712" ht="15.75" customHeight="1" s="311">
      <c r="A712" s="1" t="n"/>
      <c r="B712" s="1" t="n"/>
      <c r="C712" s="1" t="n"/>
      <c r="D712" s="1" t="n"/>
      <c r="E712" s="1" t="n"/>
      <c r="F712" s="1" t="n"/>
    </row>
    <row r="713" ht="15.75" customHeight="1" s="311">
      <c r="A713" s="1" t="n"/>
      <c r="B713" s="1" t="n"/>
      <c r="C713" s="1" t="n"/>
      <c r="D713" s="1" t="n"/>
      <c r="E713" s="1" t="n"/>
      <c r="F713" s="1" t="n"/>
    </row>
    <row r="714" ht="15.75" customHeight="1" s="311">
      <c r="A714" s="1" t="n"/>
      <c r="B714" s="1" t="n"/>
      <c r="C714" s="1" t="n"/>
      <c r="D714" s="1" t="n"/>
      <c r="E714" s="1" t="n"/>
      <c r="F714" s="1" t="n"/>
    </row>
    <row r="715" ht="15.75" customHeight="1" s="311">
      <c r="A715" s="1" t="n"/>
      <c r="B715" s="1" t="n"/>
      <c r="C715" s="1" t="n"/>
      <c r="D715" s="1" t="n"/>
      <c r="E715" s="1" t="n"/>
      <c r="F715" s="1" t="n"/>
    </row>
    <row r="716" ht="15.75" customHeight="1" s="311">
      <c r="A716" s="1" t="n"/>
      <c r="B716" s="1" t="n"/>
      <c r="C716" s="1" t="n"/>
      <c r="D716" s="1" t="n"/>
      <c r="E716" s="1" t="n"/>
      <c r="F716" s="1" t="n"/>
    </row>
    <row r="717" ht="15.75" customHeight="1" s="311">
      <c r="A717" s="1" t="n"/>
      <c r="B717" s="1" t="n"/>
      <c r="C717" s="1" t="n"/>
      <c r="D717" s="1" t="n"/>
      <c r="E717" s="1" t="n"/>
      <c r="F717" s="1" t="n"/>
    </row>
    <row r="718" ht="15.75" customHeight="1" s="311">
      <c r="A718" s="1" t="n"/>
      <c r="B718" s="1" t="n"/>
      <c r="C718" s="1" t="n"/>
      <c r="D718" s="1" t="n"/>
      <c r="E718" s="1" t="n"/>
      <c r="F718" s="1" t="n"/>
    </row>
    <row r="719" ht="15.75" customHeight="1" s="311">
      <c r="A719" s="1" t="n"/>
      <c r="B719" s="1" t="n"/>
      <c r="C719" s="1" t="n"/>
      <c r="D719" s="1" t="n"/>
      <c r="E719" s="1" t="n"/>
      <c r="F719" s="1" t="n"/>
    </row>
    <row r="720" ht="15.75" customHeight="1" s="311">
      <c r="A720" s="1" t="n"/>
      <c r="B720" s="1" t="n"/>
      <c r="C720" s="1" t="n"/>
      <c r="D720" s="1" t="n"/>
      <c r="E720" s="1" t="n"/>
      <c r="F720" s="1" t="n"/>
    </row>
    <row r="721" ht="15.75" customHeight="1" s="311">
      <c r="A721" s="1" t="n"/>
      <c r="B721" s="1" t="n"/>
      <c r="C721" s="1" t="n"/>
      <c r="D721" s="1" t="n"/>
      <c r="E721" s="1" t="n"/>
      <c r="F721" s="1" t="n"/>
    </row>
    <row r="722" ht="15.75" customHeight="1" s="311">
      <c r="A722" s="1" t="n"/>
      <c r="B722" s="1" t="n"/>
      <c r="C722" s="1" t="n"/>
      <c r="D722" s="1" t="n"/>
      <c r="E722" s="1" t="n"/>
      <c r="F722" s="1" t="n"/>
    </row>
    <row r="723" ht="15.75" customHeight="1" s="311">
      <c r="A723" s="1" t="n"/>
      <c r="B723" s="1" t="n"/>
      <c r="C723" s="1" t="n"/>
      <c r="D723" s="1" t="n"/>
      <c r="E723" s="1" t="n"/>
      <c r="F723" s="1" t="n"/>
    </row>
    <row r="724" ht="15.75" customHeight="1" s="311">
      <c r="A724" s="1" t="n"/>
      <c r="B724" s="1" t="n"/>
      <c r="C724" s="1" t="n"/>
      <c r="D724" s="1" t="n"/>
      <c r="E724" s="1" t="n"/>
      <c r="F724" s="1" t="n"/>
    </row>
    <row r="725" ht="15.75" customHeight="1" s="311">
      <c r="A725" s="1" t="n"/>
      <c r="B725" s="1" t="n"/>
      <c r="C725" s="1" t="n"/>
      <c r="D725" s="1" t="n"/>
      <c r="E725" s="1" t="n"/>
      <c r="F725" s="1" t="n"/>
    </row>
    <row r="726" ht="15.75" customHeight="1" s="311">
      <c r="A726" s="1" t="n"/>
      <c r="B726" s="1" t="n"/>
      <c r="C726" s="1" t="n"/>
      <c r="D726" s="1" t="n"/>
      <c r="E726" s="1" t="n"/>
      <c r="F726" s="1" t="n"/>
    </row>
    <row r="727" ht="15.75" customHeight="1" s="311">
      <c r="A727" s="1" t="n"/>
      <c r="B727" s="1" t="n"/>
      <c r="C727" s="1" t="n"/>
      <c r="D727" s="1" t="n"/>
      <c r="E727" s="1" t="n"/>
      <c r="F727" s="1" t="n"/>
    </row>
    <row r="728" ht="15.75" customHeight="1" s="311">
      <c r="A728" s="1" t="n"/>
      <c r="B728" s="1" t="n"/>
      <c r="C728" s="1" t="n"/>
      <c r="D728" s="1" t="n"/>
      <c r="E728" s="1" t="n"/>
      <c r="F728" s="1" t="n"/>
    </row>
    <row r="729" ht="15.75" customHeight="1" s="311">
      <c r="A729" s="1" t="n"/>
      <c r="B729" s="1" t="n"/>
      <c r="C729" s="1" t="n"/>
      <c r="D729" s="1" t="n"/>
      <c r="E729" s="1" t="n"/>
      <c r="F729" s="1" t="n"/>
    </row>
    <row r="730" ht="15.75" customHeight="1" s="311">
      <c r="A730" s="1" t="n"/>
      <c r="B730" s="1" t="n"/>
      <c r="C730" s="1" t="n"/>
      <c r="D730" s="1" t="n"/>
      <c r="E730" s="1" t="n"/>
      <c r="F730" s="1" t="n"/>
    </row>
    <row r="731" ht="15.75" customHeight="1" s="311">
      <c r="A731" s="1" t="n"/>
      <c r="B731" s="1" t="n"/>
      <c r="C731" s="1" t="n"/>
      <c r="D731" s="1" t="n"/>
      <c r="E731" s="1" t="n"/>
      <c r="F731" s="1" t="n"/>
    </row>
    <row r="732" ht="15.75" customHeight="1" s="311">
      <c r="A732" s="1" t="n"/>
      <c r="B732" s="1" t="n"/>
      <c r="C732" s="1" t="n"/>
      <c r="D732" s="1" t="n"/>
      <c r="E732" s="1" t="n"/>
      <c r="F732" s="1" t="n"/>
    </row>
    <row r="733" ht="15.75" customHeight="1" s="311">
      <c r="A733" s="1" t="n"/>
      <c r="B733" s="1" t="n"/>
      <c r="C733" s="1" t="n"/>
      <c r="D733" s="1" t="n"/>
      <c r="E733" s="1" t="n"/>
      <c r="F733" s="1" t="n"/>
    </row>
    <row r="734" ht="15.75" customHeight="1" s="311">
      <c r="A734" s="1" t="n"/>
      <c r="B734" s="1" t="n"/>
      <c r="C734" s="1" t="n"/>
      <c r="D734" s="1" t="n"/>
      <c r="E734" s="1" t="n"/>
      <c r="F734" s="1" t="n"/>
    </row>
    <row r="735" ht="15.75" customHeight="1" s="311">
      <c r="A735" s="1" t="n"/>
      <c r="B735" s="1" t="n"/>
      <c r="C735" s="1" t="n"/>
      <c r="D735" s="1" t="n"/>
      <c r="E735" s="1" t="n"/>
      <c r="F735" s="1" t="n"/>
    </row>
    <row r="736" ht="15.75" customHeight="1" s="311">
      <c r="A736" s="1" t="n"/>
      <c r="B736" s="1" t="n"/>
      <c r="C736" s="1" t="n"/>
      <c r="D736" s="1" t="n"/>
      <c r="E736" s="1" t="n"/>
      <c r="F736" s="1" t="n"/>
    </row>
    <row r="737" ht="15.75" customHeight="1" s="311">
      <c r="A737" s="1" t="n"/>
      <c r="B737" s="1" t="n"/>
      <c r="C737" s="1" t="n"/>
      <c r="D737" s="1" t="n"/>
      <c r="E737" s="1" t="n"/>
      <c r="F737" s="1" t="n"/>
    </row>
    <row r="738" ht="15.75" customHeight="1" s="311">
      <c r="A738" s="1" t="n"/>
      <c r="B738" s="1" t="n"/>
      <c r="C738" s="1" t="n"/>
      <c r="D738" s="1" t="n"/>
      <c r="E738" s="1" t="n"/>
      <c r="F738" s="1" t="n"/>
    </row>
    <row r="739" ht="15.75" customHeight="1" s="311">
      <c r="A739" s="1" t="n"/>
      <c r="B739" s="1" t="n"/>
      <c r="C739" s="1" t="n"/>
      <c r="D739" s="1" t="n"/>
      <c r="E739" s="1" t="n"/>
      <c r="F739" s="1" t="n"/>
    </row>
    <row r="740" ht="15.75" customHeight="1" s="311">
      <c r="A740" s="1" t="n"/>
      <c r="B740" s="1" t="n"/>
      <c r="C740" s="1" t="n"/>
      <c r="D740" s="1" t="n"/>
      <c r="E740" s="1" t="n"/>
      <c r="F740" s="1" t="n"/>
    </row>
    <row r="741" ht="15.75" customHeight="1" s="311">
      <c r="A741" s="1" t="n"/>
      <c r="B741" s="1" t="n"/>
      <c r="C741" s="1" t="n"/>
      <c r="D741" s="1" t="n"/>
      <c r="E741" s="1" t="n"/>
      <c r="F741" s="1" t="n"/>
    </row>
    <row r="742" ht="15.75" customHeight="1" s="311">
      <c r="A742" s="1" t="n"/>
      <c r="B742" s="1" t="n"/>
      <c r="C742" s="1" t="n"/>
      <c r="D742" s="1" t="n"/>
      <c r="E742" s="1" t="n"/>
      <c r="F742" s="1" t="n"/>
    </row>
    <row r="743" ht="15.75" customHeight="1" s="311">
      <c r="A743" s="1" t="n"/>
      <c r="B743" s="1" t="n"/>
      <c r="C743" s="1" t="n"/>
      <c r="D743" s="1" t="n"/>
      <c r="E743" s="1" t="n"/>
      <c r="F743" s="1" t="n"/>
    </row>
    <row r="744" ht="15.75" customHeight="1" s="311">
      <c r="A744" s="1" t="n"/>
      <c r="B744" s="1" t="n"/>
      <c r="C744" s="1" t="n"/>
      <c r="D744" s="1" t="n"/>
      <c r="E744" s="1" t="n"/>
      <c r="F744" s="1" t="n"/>
    </row>
    <row r="745" ht="15.75" customHeight="1" s="311">
      <c r="A745" s="1" t="n"/>
      <c r="B745" s="1" t="n"/>
      <c r="C745" s="1" t="n"/>
      <c r="D745" s="1" t="n"/>
      <c r="E745" s="1" t="n"/>
      <c r="F745" s="1" t="n"/>
    </row>
    <row r="746" ht="15.75" customHeight="1" s="311">
      <c r="A746" s="1" t="n"/>
      <c r="B746" s="1" t="n"/>
      <c r="C746" s="1" t="n"/>
      <c r="D746" s="1" t="n"/>
      <c r="E746" s="1" t="n"/>
      <c r="F746" s="1" t="n"/>
    </row>
    <row r="747" ht="15.75" customHeight="1" s="311">
      <c r="A747" s="1" t="n"/>
      <c r="B747" s="1" t="n"/>
      <c r="C747" s="1" t="n"/>
      <c r="D747" s="1" t="n"/>
      <c r="E747" s="1" t="n"/>
      <c r="F747" s="1" t="n"/>
    </row>
    <row r="748" ht="15.75" customHeight="1" s="311">
      <c r="A748" s="1" t="n"/>
      <c r="B748" s="1" t="n"/>
      <c r="C748" s="1" t="n"/>
      <c r="D748" s="1" t="n"/>
      <c r="E748" s="1" t="n"/>
      <c r="F748" s="1" t="n"/>
    </row>
    <row r="749" ht="15.75" customHeight="1" s="311">
      <c r="A749" s="1" t="n"/>
      <c r="B749" s="1" t="n"/>
      <c r="C749" s="1" t="n"/>
      <c r="D749" s="1" t="n"/>
      <c r="E749" s="1" t="n"/>
      <c r="F749" s="1" t="n"/>
    </row>
    <row r="750" ht="15.75" customHeight="1" s="311">
      <c r="A750" s="1" t="n"/>
      <c r="B750" s="1" t="n"/>
      <c r="C750" s="1" t="n"/>
      <c r="D750" s="1" t="n"/>
      <c r="E750" s="1" t="n"/>
      <c r="F750" s="1" t="n"/>
    </row>
    <row r="751" ht="15.75" customHeight="1" s="311">
      <c r="A751" s="1" t="n"/>
      <c r="B751" s="1" t="n"/>
      <c r="C751" s="1" t="n"/>
      <c r="D751" s="1" t="n"/>
      <c r="E751" s="1" t="n"/>
      <c r="F751" s="1" t="n"/>
    </row>
    <row r="752" ht="15.75" customHeight="1" s="311">
      <c r="A752" s="1" t="n"/>
      <c r="B752" s="1" t="n"/>
      <c r="C752" s="1" t="n"/>
      <c r="D752" s="1" t="n"/>
      <c r="E752" s="1" t="n"/>
      <c r="F752" s="1" t="n"/>
    </row>
    <row r="753" ht="15.75" customHeight="1" s="311">
      <c r="A753" s="1" t="n"/>
      <c r="B753" s="1" t="n"/>
      <c r="C753" s="1" t="n"/>
      <c r="D753" s="1" t="n"/>
      <c r="E753" s="1" t="n"/>
      <c r="F753" s="1" t="n"/>
    </row>
    <row r="754" ht="15.75" customHeight="1" s="311">
      <c r="A754" s="1" t="n"/>
      <c r="B754" s="1" t="n"/>
      <c r="C754" s="1" t="n"/>
      <c r="D754" s="1" t="n"/>
      <c r="E754" s="1" t="n"/>
      <c r="F754" s="1" t="n"/>
    </row>
    <row r="755" ht="15.75" customHeight="1" s="311">
      <c r="A755" s="1" t="n"/>
      <c r="B755" s="1" t="n"/>
      <c r="C755" s="1" t="n"/>
      <c r="D755" s="1" t="n"/>
      <c r="E755" s="1" t="n"/>
      <c r="F755" s="1" t="n"/>
    </row>
    <row r="756" ht="15.75" customHeight="1" s="311">
      <c r="A756" s="1" t="n"/>
      <c r="B756" s="1" t="n"/>
      <c r="C756" s="1" t="n"/>
      <c r="D756" s="1" t="n"/>
      <c r="E756" s="1" t="n"/>
      <c r="F756" s="1" t="n"/>
    </row>
    <row r="757" ht="15.75" customHeight="1" s="311">
      <c r="A757" s="1" t="n"/>
      <c r="B757" s="1" t="n"/>
      <c r="C757" s="1" t="n"/>
      <c r="D757" s="1" t="n"/>
      <c r="E757" s="1" t="n"/>
      <c r="F757" s="1" t="n"/>
    </row>
    <row r="758" ht="15.75" customHeight="1" s="311">
      <c r="A758" s="1" t="n"/>
      <c r="B758" s="1" t="n"/>
      <c r="C758" s="1" t="n"/>
      <c r="D758" s="1" t="n"/>
      <c r="E758" s="1" t="n"/>
      <c r="F758" s="1" t="n"/>
    </row>
    <row r="759" ht="15.75" customHeight="1" s="311">
      <c r="A759" s="1" t="n"/>
      <c r="B759" s="1" t="n"/>
      <c r="C759" s="1" t="n"/>
      <c r="D759" s="1" t="n"/>
      <c r="E759" s="1" t="n"/>
      <c r="F759" s="1" t="n"/>
    </row>
    <row r="760" ht="15.75" customHeight="1" s="311">
      <c r="A760" s="1" t="n"/>
      <c r="B760" s="1" t="n"/>
      <c r="C760" s="1" t="n"/>
      <c r="D760" s="1" t="n"/>
      <c r="E760" s="1" t="n"/>
      <c r="F760" s="1" t="n"/>
    </row>
    <row r="761" ht="15.75" customHeight="1" s="311">
      <c r="A761" s="1" t="n"/>
      <c r="B761" s="1" t="n"/>
      <c r="C761" s="1" t="n"/>
      <c r="D761" s="1" t="n"/>
      <c r="E761" s="1" t="n"/>
      <c r="F761" s="1" t="n"/>
    </row>
    <row r="762" ht="15.75" customHeight="1" s="311">
      <c r="A762" s="1" t="n"/>
      <c r="B762" s="1" t="n"/>
      <c r="C762" s="1" t="n"/>
      <c r="D762" s="1" t="n"/>
      <c r="E762" s="1" t="n"/>
      <c r="F762" s="1" t="n"/>
    </row>
    <row r="763" ht="15.75" customHeight="1" s="311">
      <c r="A763" s="1" t="n"/>
      <c r="B763" s="1" t="n"/>
      <c r="C763" s="1" t="n"/>
      <c r="D763" s="1" t="n"/>
      <c r="E763" s="1" t="n"/>
      <c r="F763" s="1" t="n"/>
    </row>
    <row r="764" ht="15.75" customHeight="1" s="311">
      <c r="A764" s="1" t="n"/>
      <c r="B764" s="1" t="n"/>
      <c r="C764" s="1" t="n"/>
      <c r="D764" s="1" t="n"/>
      <c r="E764" s="1" t="n"/>
      <c r="F764" s="1" t="n"/>
    </row>
    <row r="765" ht="15.75" customHeight="1" s="311">
      <c r="A765" s="1" t="n"/>
      <c r="B765" s="1" t="n"/>
      <c r="C765" s="1" t="n"/>
      <c r="D765" s="1" t="n"/>
      <c r="E765" s="1" t="n"/>
      <c r="F765" s="1" t="n"/>
    </row>
    <row r="766" ht="15.75" customHeight="1" s="311">
      <c r="A766" s="1" t="n"/>
      <c r="B766" s="1" t="n"/>
      <c r="C766" s="1" t="n"/>
      <c r="D766" s="1" t="n"/>
      <c r="E766" s="1" t="n"/>
      <c r="F766" s="1" t="n"/>
    </row>
    <row r="767" ht="15.75" customHeight="1" s="311">
      <c r="A767" s="1" t="n"/>
      <c r="B767" s="1" t="n"/>
      <c r="C767" s="1" t="n"/>
      <c r="D767" s="1" t="n"/>
      <c r="E767" s="1" t="n"/>
      <c r="F767" s="1" t="n"/>
    </row>
    <row r="768" ht="15.75" customHeight="1" s="311">
      <c r="A768" s="1" t="n"/>
      <c r="B768" s="1" t="n"/>
      <c r="C768" s="1" t="n"/>
      <c r="D768" s="1" t="n"/>
      <c r="E768" s="1" t="n"/>
      <c r="F768" s="1" t="n"/>
    </row>
    <row r="769" ht="15.75" customHeight="1" s="311">
      <c r="A769" s="1" t="n"/>
      <c r="B769" s="1" t="n"/>
      <c r="C769" s="1" t="n"/>
      <c r="D769" s="1" t="n"/>
      <c r="E769" s="1" t="n"/>
      <c r="F769" s="1" t="n"/>
    </row>
    <row r="770" ht="15.75" customHeight="1" s="311">
      <c r="A770" s="1" t="n"/>
      <c r="B770" s="1" t="n"/>
      <c r="C770" s="1" t="n"/>
      <c r="D770" s="1" t="n"/>
      <c r="E770" s="1" t="n"/>
      <c r="F770" s="1" t="n"/>
    </row>
    <row r="771" ht="15.75" customHeight="1" s="311">
      <c r="A771" s="1" t="n"/>
      <c r="B771" s="1" t="n"/>
      <c r="C771" s="1" t="n"/>
      <c r="D771" s="1" t="n"/>
      <c r="E771" s="1" t="n"/>
      <c r="F771" s="1" t="n"/>
    </row>
    <row r="772" ht="15.75" customHeight="1" s="311">
      <c r="A772" s="1" t="n"/>
      <c r="B772" s="1" t="n"/>
      <c r="C772" s="1" t="n"/>
      <c r="D772" s="1" t="n"/>
      <c r="E772" s="1" t="n"/>
      <c r="F772" s="1" t="n"/>
    </row>
    <row r="773" ht="15.75" customHeight="1" s="311">
      <c r="A773" s="1" t="n"/>
      <c r="B773" s="1" t="n"/>
      <c r="C773" s="1" t="n"/>
      <c r="D773" s="1" t="n"/>
      <c r="E773" s="1" t="n"/>
      <c r="F773" s="1" t="n"/>
    </row>
    <row r="774" ht="15.75" customHeight="1" s="311">
      <c r="A774" s="1" t="n"/>
      <c r="B774" s="1" t="n"/>
      <c r="C774" s="1" t="n"/>
      <c r="D774" s="1" t="n"/>
      <c r="E774" s="1" t="n"/>
      <c r="F774" s="1" t="n"/>
    </row>
    <row r="775" ht="15.75" customHeight="1" s="311">
      <c r="A775" s="1" t="n"/>
      <c r="B775" s="1" t="n"/>
      <c r="C775" s="1" t="n"/>
      <c r="D775" s="1" t="n"/>
      <c r="E775" s="1" t="n"/>
      <c r="F775" s="1" t="n"/>
    </row>
    <row r="776" ht="15.75" customHeight="1" s="311">
      <c r="A776" s="1" t="n"/>
      <c r="B776" s="1" t="n"/>
      <c r="C776" s="1" t="n"/>
      <c r="D776" s="1" t="n"/>
      <c r="E776" s="1" t="n"/>
      <c r="F776" s="1" t="n"/>
    </row>
    <row r="777" ht="15.75" customHeight="1" s="311">
      <c r="A777" s="1" t="n"/>
      <c r="B777" s="1" t="n"/>
      <c r="C777" s="1" t="n"/>
      <c r="D777" s="1" t="n"/>
      <c r="E777" s="1" t="n"/>
      <c r="F777" s="1" t="n"/>
    </row>
    <row r="778" ht="15.75" customHeight="1" s="311">
      <c r="A778" s="1" t="n"/>
      <c r="B778" s="1" t="n"/>
      <c r="C778" s="1" t="n"/>
      <c r="D778" s="1" t="n"/>
      <c r="E778" s="1" t="n"/>
      <c r="F778" s="1" t="n"/>
    </row>
    <row r="779" ht="15.75" customHeight="1" s="311">
      <c r="A779" s="1" t="n"/>
      <c r="B779" s="1" t="n"/>
      <c r="C779" s="1" t="n"/>
      <c r="D779" s="1" t="n"/>
      <c r="E779" s="1" t="n"/>
      <c r="F779" s="1" t="n"/>
    </row>
    <row r="780" ht="15.75" customHeight="1" s="311">
      <c r="A780" s="1" t="n"/>
      <c r="B780" s="1" t="n"/>
      <c r="C780" s="1" t="n"/>
      <c r="D780" s="1" t="n"/>
      <c r="E780" s="1" t="n"/>
      <c r="F780" s="1" t="n"/>
    </row>
    <row r="781" ht="15.75" customHeight="1" s="311">
      <c r="A781" s="1" t="n"/>
      <c r="B781" s="1" t="n"/>
      <c r="C781" s="1" t="n"/>
      <c r="D781" s="1" t="n"/>
      <c r="E781" s="1" t="n"/>
      <c r="F781" s="1" t="n"/>
    </row>
    <row r="782" ht="15.75" customHeight="1" s="311">
      <c r="A782" s="1" t="n"/>
      <c r="B782" s="1" t="n"/>
      <c r="C782" s="1" t="n"/>
      <c r="D782" s="1" t="n"/>
      <c r="E782" s="1" t="n"/>
      <c r="F782" s="1" t="n"/>
    </row>
    <row r="783" ht="15.75" customHeight="1" s="311">
      <c r="A783" s="1" t="n"/>
      <c r="B783" s="1" t="n"/>
      <c r="C783" s="1" t="n"/>
      <c r="D783" s="1" t="n"/>
      <c r="E783" s="1" t="n"/>
      <c r="F783" s="1" t="n"/>
    </row>
    <row r="784" ht="15.75" customHeight="1" s="311">
      <c r="A784" s="1" t="n"/>
      <c r="B784" s="1" t="n"/>
      <c r="C784" s="1" t="n"/>
      <c r="D784" s="1" t="n"/>
      <c r="E784" s="1" t="n"/>
      <c r="F784" s="1" t="n"/>
    </row>
    <row r="785" ht="15.75" customHeight="1" s="311">
      <c r="A785" s="1" t="n"/>
      <c r="B785" s="1" t="n"/>
      <c r="C785" s="1" t="n"/>
      <c r="D785" s="1" t="n"/>
      <c r="E785" s="1" t="n"/>
      <c r="F785" s="1" t="n"/>
    </row>
    <row r="786" ht="15.75" customHeight="1" s="311">
      <c r="A786" s="1" t="n"/>
      <c r="B786" s="1" t="n"/>
      <c r="C786" s="1" t="n"/>
      <c r="D786" s="1" t="n"/>
      <c r="E786" s="1" t="n"/>
      <c r="F786" s="1" t="n"/>
    </row>
    <row r="787" ht="15.75" customHeight="1" s="311">
      <c r="A787" s="1" t="n"/>
      <c r="B787" s="1" t="n"/>
      <c r="C787" s="1" t="n"/>
      <c r="D787" s="1" t="n"/>
      <c r="E787" s="1" t="n"/>
      <c r="F787" s="1" t="n"/>
    </row>
    <row r="788" ht="15.75" customHeight="1" s="311">
      <c r="A788" s="1" t="n"/>
      <c r="B788" s="1" t="n"/>
      <c r="C788" s="1" t="n"/>
      <c r="D788" s="1" t="n"/>
      <c r="E788" s="1" t="n"/>
      <c r="F788" s="1" t="n"/>
    </row>
    <row r="789" ht="15.75" customHeight="1" s="311">
      <c r="A789" s="1" t="n"/>
      <c r="B789" s="1" t="n"/>
      <c r="C789" s="1" t="n"/>
      <c r="D789" s="1" t="n"/>
      <c r="E789" s="1" t="n"/>
      <c r="F789" s="1" t="n"/>
    </row>
    <row r="790" ht="15.75" customHeight="1" s="311">
      <c r="A790" s="1" t="n"/>
      <c r="B790" s="1" t="n"/>
      <c r="C790" s="1" t="n"/>
      <c r="D790" s="1" t="n"/>
      <c r="E790" s="1" t="n"/>
      <c r="F790" s="1" t="n"/>
    </row>
    <row r="791" ht="15.75" customHeight="1" s="311">
      <c r="A791" s="1" t="n"/>
      <c r="B791" s="1" t="n"/>
      <c r="C791" s="1" t="n"/>
      <c r="D791" s="1" t="n"/>
      <c r="E791" s="1" t="n"/>
      <c r="F791" s="1" t="n"/>
    </row>
    <row r="792" ht="15.75" customHeight="1" s="311">
      <c r="A792" s="1" t="n"/>
      <c r="B792" s="1" t="n"/>
      <c r="C792" s="1" t="n"/>
      <c r="D792" s="1" t="n"/>
      <c r="E792" s="1" t="n"/>
      <c r="F792" s="1" t="n"/>
    </row>
    <row r="793" ht="15.75" customHeight="1" s="311">
      <c r="A793" s="1" t="n"/>
      <c r="B793" s="1" t="n"/>
      <c r="C793" s="1" t="n"/>
      <c r="D793" s="1" t="n"/>
      <c r="E793" s="1" t="n"/>
      <c r="F793" s="1" t="n"/>
    </row>
    <row r="794" ht="15.75" customHeight="1" s="311">
      <c r="A794" s="1" t="n"/>
      <c r="B794" s="1" t="n"/>
      <c r="C794" s="1" t="n"/>
      <c r="D794" s="1" t="n"/>
      <c r="E794" s="1" t="n"/>
      <c r="F794" s="1" t="n"/>
    </row>
    <row r="795" ht="15.75" customHeight="1" s="311">
      <c r="A795" s="1" t="n"/>
      <c r="B795" s="1" t="n"/>
      <c r="C795" s="1" t="n"/>
      <c r="D795" s="1" t="n"/>
      <c r="E795" s="1" t="n"/>
      <c r="F795" s="1" t="n"/>
    </row>
    <row r="796" ht="15.75" customHeight="1" s="311">
      <c r="A796" s="1" t="n"/>
      <c r="B796" s="1" t="n"/>
      <c r="C796" s="1" t="n"/>
      <c r="D796" s="1" t="n"/>
      <c r="E796" s="1" t="n"/>
      <c r="F796" s="1" t="n"/>
    </row>
    <row r="797" ht="15.75" customHeight="1" s="311">
      <c r="A797" s="1" t="n"/>
      <c r="B797" s="1" t="n"/>
      <c r="C797" s="1" t="n"/>
      <c r="D797" s="1" t="n"/>
      <c r="E797" s="1" t="n"/>
      <c r="F797" s="1" t="n"/>
    </row>
    <row r="798" ht="15.75" customHeight="1" s="311">
      <c r="A798" s="1" t="n"/>
      <c r="B798" s="1" t="n"/>
      <c r="C798" s="1" t="n"/>
      <c r="D798" s="1" t="n"/>
      <c r="E798" s="1" t="n"/>
      <c r="F798" s="1" t="n"/>
    </row>
    <row r="799" ht="15.75" customHeight="1" s="311">
      <c r="A799" s="1" t="n"/>
      <c r="B799" s="1" t="n"/>
      <c r="C799" s="1" t="n"/>
      <c r="D799" s="1" t="n"/>
      <c r="E799" s="1" t="n"/>
      <c r="F799" s="1" t="n"/>
    </row>
    <row r="800" ht="15.75" customHeight="1" s="311">
      <c r="A800" s="1" t="n"/>
      <c r="B800" s="1" t="n"/>
      <c r="C800" s="1" t="n"/>
      <c r="D800" s="1" t="n"/>
      <c r="E800" s="1" t="n"/>
      <c r="F800" s="1" t="n"/>
    </row>
    <row r="801" ht="15.75" customHeight="1" s="311">
      <c r="A801" s="1" t="n"/>
      <c r="B801" s="1" t="n"/>
      <c r="C801" s="1" t="n"/>
      <c r="D801" s="1" t="n"/>
      <c r="E801" s="1" t="n"/>
      <c r="F801" s="1" t="n"/>
    </row>
    <row r="802" ht="15.75" customHeight="1" s="311">
      <c r="A802" s="1" t="n"/>
      <c r="B802" s="1" t="n"/>
      <c r="C802" s="1" t="n"/>
      <c r="D802" s="1" t="n"/>
      <c r="E802" s="1" t="n"/>
      <c r="F802" s="1" t="n"/>
    </row>
    <row r="803" ht="15.75" customHeight="1" s="311">
      <c r="A803" s="1" t="n"/>
      <c r="B803" s="1" t="n"/>
      <c r="C803" s="1" t="n"/>
      <c r="D803" s="1" t="n"/>
      <c r="E803" s="1" t="n"/>
      <c r="F803" s="1" t="n"/>
    </row>
    <row r="804" ht="15.75" customHeight="1" s="311">
      <c r="A804" s="1" t="n"/>
      <c r="B804" s="1" t="n"/>
      <c r="C804" s="1" t="n"/>
      <c r="D804" s="1" t="n"/>
      <c r="E804" s="1" t="n"/>
      <c r="F804" s="1" t="n"/>
    </row>
    <row r="805" ht="15.75" customHeight="1" s="311">
      <c r="A805" s="1" t="n"/>
      <c r="B805" s="1" t="n"/>
      <c r="C805" s="1" t="n"/>
      <c r="D805" s="1" t="n"/>
      <c r="E805" s="1" t="n"/>
      <c r="F805" s="1" t="n"/>
    </row>
    <row r="806" ht="15.75" customHeight="1" s="311">
      <c r="A806" s="1" t="n"/>
      <c r="B806" s="1" t="n"/>
      <c r="C806" s="1" t="n"/>
      <c r="D806" s="1" t="n"/>
      <c r="E806" s="1" t="n"/>
      <c r="F806" s="1" t="n"/>
    </row>
    <row r="807" ht="15.75" customHeight="1" s="311">
      <c r="A807" s="1" t="n"/>
      <c r="B807" s="1" t="n"/>
      <c r="C807" s="1" t="n"/>
      <c r="D807" s="1" t="n"/>
      <c r="E807" s="1" t="n"/>
      <c r="F807" s="1" t="n"/>
    </row>
    <row r="808" ht="15.75" customHeight="1" s="311">
      <c r="A808" s="1" t="n"/>
      <c r="B808" s="1" t="n"/>
      <c r="C808" s="1" t="n"/>
      <c r="D808" s="1" t="n"/>
      <c r="E808" s="1" t="n"/>
      <c r="F808" s="1" t="n"/>
    </row>
    <row r="809" ht="15.75" customHeight="1" s="311">
      <c r="A809" s="1" t="n"/>
      <c r="B809" s="1" t="n"/>
      <c r="C809" s="1" t="n"/>
      <c r="D809" s="1" t="n"/>
      <c r="E809" s="1" t="n"/>
      <c r="F809" s="1" t="n"/>
    </row>
    <row r="810" ht="15.75" customHeight="1" s="311">
      <c r="A810" s="1" t="n"/>
      <c r="B810" s="1" t="n"/>
      <c r="C810" s="1" t="n"/>
      <c r="D810" s="1" t="n"/>
      <c r="E810" s="1" t="n"/>
      <c r="F810" s="1" t="n"/>
    </row>
    <row r="811" ht="15.75" customHeight="1" s="311">
      <c r="A811" s="1" t="n"/>
      <c r="B811" s="1" t="n"/>
      <c r="C811" s="1" t="n"/>
      <c r="D811" s="1" t="n"/>
      <c r="E811" s="1" t="n"/>
      <c r="F811" s="1" t="n"/>
    </row>
    <row r="812" ht="15.75" customHeight="1" s="311">
      <c r="A812" s="1" t="n"/>
      <c r="B812" s="1" t="n"/>
      <c r="C812" s="1" t="n"/>
      <c r="D812" s="1" t="n"/>
      <c r="E812" s="1" t="n"/>
      <c r="F812" s="1" t="n"/>
    </row>
    <row r="813" ht="15.75" customHeight="1" s="311">
      <c r="A813" s="1" t="n"/>
      <c r="B813" s="1" t="n"/>
      <c r="C813" s="1" t="n"/>
      <c r="D813" s="1" t="n"/>
      <c r="E813" s="1" t="n"/>
      <c r="F813" s="1" t="n"/>
    </row>
    <row r="814" ht="15.75" customHeight="1" s="311">
      <c r="A814" s="1" t="n"/>
      <c r="B814" s="1" t="n"/>
      <c r="C814" s="1" t="n"/>
      <c r="D814" s="1" t="n"/>
      <c r="E814" s="1" t="n"/>
      <c r="F814" s="1" t="n"/>
    </row>
    <row r="815" ht="15.75" customHeight="1" s="311">
      <c r="A815" s="1" t="n"/>
      <c r="B815" s="1" t="n"/>
      <c r="C815" s="1" t="n"/>
      <c r="D815" s="1" t="n"/>
      <c r="E815" s="1" t="n"/>
      <c r="F815" s="1" t="n"/>
    </row>
    <row r="816" ht="15.75" customHeight="1" s="311">
      <c r="A816" s="1" t="n"/>
      <c r="B816" s="1" t="n"/>
      <c r="C816" s="1" t="n"/>
      <c r="D816" s="1" t="n"/>
      <c r="E816" s="1" t="n"/>
      <c r="F816" s="1" t="n"/>
    </row>
    <row r="817" ht="15.75" customHeight="1" s="311">
      <c r="A817" s="1" t="n"/>
      <c r="B817" s="1" t="n"/>
      <c r="C817" s="1" t="n"/>
      <c r="D817" s="1" t="n"/>
      <c r="E817" s="1" t="n"/>
      <c r="F817" s="1" t="n"/>
    </row>
    <row r="818" ht="15.75" customHeight="1" s="311">
      <c r="A818" s="1" t="n"/>
      <c r="B818" s="1" t="n"/>
      <c r="C818" s="1" t="n"/>
      <c r="D818" s="1" t="n"/>
      <c r="E818" s="1" t="n"/>
      <c r="F818" s="1" t="n"/>
    </row>
    <row r="819" ht="15.75" customHeight="1" s="311">
      <c r="A819" s="1" t="n"/>
      <c r="B819" s="1" t="n"/>
      <c r="C819" s="1" t="n"/>
      <c r="D819" s="1" t="n"/>
      <c r="E819" s="1" t="n"/>
      <c r="F819" s="1" t="n"/>
    </row>
    <row r="820" ht="15.75" customHeight="1" s="311">
      <c r="A820" s="1" t="n"/>
      <c r="B820" s="1" t="n"/>
      <c r="C820" s="1" t="n"/>
      <c r="D820" s="1" t="n"/>
      <c r="E820" s="1" t="n"/>
      <c r="F820" s="1" t="n"/>
    </row>
    <row r="821" ht="15.75" customHeight="1" s="311">
      <c r="A821" s="1" t="n"/>
      <c r="B821" s="1" t="n"/>
      <c r="C821" s="1" t="n"/>
      <c r="D821" s="1" t="n"/>
      <c r="E821" s="1" t="n"/>
      <c r="F821" s="1" t="n"/>
    </row>
    <row r="822" ht="15.75" customHeight="1" s="311">
      <c r="A822" s="1" t="n"/>
      <c r="B822" s="1" t="n"/>
      <c r="C822" s="1" t="n"/>
      <c r="D822" s="1" t="n"/>
      <c r="E822" s="1" t="n"/>
      <c r="F822" s="1" t="n"/>
    </row>
    <row r="823" ht="15.75" customHeight="1" s="311">
      <c r="A823" s="1" t="n"/>
      <c r="B823" s="1" t="n"/>
      <c r="C823" s="1" t="n"/>
      <c r="D823" s="1" t="n"/>
      <c r="E823" s="1" t="n"/>
      <c r="F823" s="1" t="n"/>
    </row>
    <row r="824" ht="15.75" customHeight="1" s="311">
      <c r="A824" s="1" t="n"/>
      <c r="B824" s="1" t="n"/>
      <c r="C824" s="1" t="n"/>
      <c r="D824" s="1" t="n"/>
      <c r="E824" s="1" t="n"/>
      <c r="F824" s="1" t="n"/>
    </row>
    <row r="825" ht="15.75" customHeight="1" s="311">
      <c r="A825" s="1" t="n"/>
      <c r="B825" s="1" t="n"/>
      <c r="C825" s="1" t="n"/>
      <c r="D825" s="1" t="n"/>
      <c r="E825" s="1" t="n"/>
      <c r="F825" s="1" t="n"/>
    </row>
    <row r="826" ht="15.75" customHeight="1" s="311">
      <c r="A826" s="1" t="n"/>
      <c r="B826" s="1" t="n"/>
      <c r="C826" s="1" t="n"/>
      <c r="D826" s="1" t="n"/>
      <c r="E826" s="1" t="n"/>
      <c r="F826" s="1" t="n"/>
    </row>
    <row r="827" ht="15.75" customHeight="1" s="311">
      <c r="A827" s="1" t="n"/>
      <c r="B827" s="1" t="n"/>
      <c r="C827" s="1" t="n"/>
      <c r="D827" s="1" t="n"/>
      <c r="E827" s="1" t="n"/>
      <c r="F827" s="1" t="n"/>
    </row>
    <row r="828" ht="15.75" customHeight="1" s="311">
      <c r="A828" s="1" t="n"/>
      <c r="B828" s="1" t="n"/>
      <c r="C828" s="1" t="n"/>
      <c r="D828" s="1" t="n"/>
      <c r="E828" s="1" t="n"/>
      <c r="F828" s="1" t="n"/>
    </row>
    <row r="829" ht="15.75" customHeight="1" s="311">
      <c r="A829" s="1" t="n"/>
      <c r="B829" s="1" t="n"/>
      <c r="C829" s="1" t="n"/>
      <c r="D829" s="1" t="n"/>
      <c r="E829" s="1" t="n"/>
      <c r="F829" s="1" t="n"/>
    </row>
    <row r="830" ht="15.75" customHeight="1" s="311">
      <c r="A830" s="1" t="n"/>
      <c r="B830" s="1" t="n"/>
      <c r="C830" s="1" t="n"/>
      <c r="D830" s="1" t="n"/>
      <c r="E830" s="1" t="n"/>
      <c r="F830" s="1" t="n"/>
    </row>
    <row r="831" ht="15.75" customHeight="1" s="311">
      <c r="A831" s="1" t="n"/>
      <c r="B831" s="1" t="n"/>
      <c r="C831" s="1" t="n"/>
      <c r="D831" s="1" t="n"/>
      <c r="E831" s="1" t="n"/>
      <c r="F831" s="1" t="n"/>
    </row>
    <row r="832" ht="15.75" customHeight="1" s="311">
      <c r="A832" s="1" t="n"/>
      <c r="B832" s="1" t="n"/>
      <c r="C832" s="1" t="n"/>
      <c r="D832" s="1" t="n"/>
      <c r="E832" s="1" t="n"/>
      <c r="F832" s="1" t="n"/>
    </row>
    <row r="833" ht="15.75" customHeight="1" s="311">
      <c r="A833" s="1" t="n"/>
      <c r="B833" s="1" t="n"/>
      <c r="C833" s="1" t="n"/>
      <c r="D833" s="1" t="n"/>
      <c r="E833" s="1" t="n"/>
      <c r="F833" s="1" t="n"/>
    </row>
    <row r="834" ht="15.75" customHeight="1" s="311">
      <c r="A834" s="1" t="n"/>
      <c r="B834" s="1" t="n"/>
      <c r="C834" s="1" t="n"/>
      <c r="D834" s="1" t="n"/>
      <c r="E834" s="1" t="n"/>
      <c r="F834" s="1" t="n"/>
    </row>
    <row r="835" ht="15.75" customHeight="1" s="311">
      <c r="A835" s="1" t="n"/>
      <c r="B835" s="1" t="n"/>
      <c r="C835" s="1" t="n"/>
      <c r="D835" s="1" t="n"/>
      <c r="E835" s="1" t="n"/>
      <c r="F835" s="1" t="n"/>
    </row>
    <row r="836" ht="15.75" customHeight="1" s="311">
      <c r="A836" s="1" t="n"/>
      <c r="B836" s="1" t="n"/>
      <c r="C836" s="1" t="n"/>
      <c r="D836" s="1" t="n"/>
      <c r="E836" s="1" t="n"/>
      <c r="F836" s="1" t="n"/>
    </row>
    <row r="837" ht="15.75" customHeight="1" s="311">
      <c r="A837" s="1" t="n"/>
      <c r="B837" s="1" t="n"/>
      <c r="C837" s="1" t="n"/>
      <c r="D837" s="1" t="n"/>
      <c r="E837" s="1" t="n"/>
      <c r="F837" s="1" t="n"/>
    </row>
    <row r="838" ht="15.75" customHeight="1" s="311">
      <c r="A838" s="1" t="n"/>
      <c r="B838" s="1" t="n"/>
      <c r="C838" s="1" t="n"/>
      <c r="D838" s="1" t="n"/>
      <c r="E838" s="1" t="n"/>
      <c r="F838" s="1" t="n"/>
    </row>
    <row r="839" ht="15.75" customHeight="1" s="311">
      <c r="A839" s="1" t="n"/>
      <c r="B839" s="1" t="n"/>
      <c r="C839" s="1" t="n"/>
      <c r="D839" s="1" t="n"/>
      <c r="E839" s="1" t="n"/>
      <c r="F839" s="1" t="n"/>
    </row>
    <row r="840" ht="15.75" customHeight="1" s="311">
      <c r="A840" s="1" t="n"/>
      <c r="B840" s="1" t="n"/>
      <c r="C840" s="1" t="n"/>
      <c r="D840" s="1" t="n"/>
      <c r="E840" s="1" t="n"/>
      <c r="F840" s="1" t="n"/>
    </row>
    <row r="841" ht="15.75" customHeight="1" s="311">
      <c r="A841" s="1" t="n"/>
      <c r="B841" s="1" t="n"/>
      <c r="C841" s="1" t="n"/>
      <c r="D841" s="1" t="n"/>
      <c r="E841" s="1" t="n"/>
      <c r="F841" s="1" t="n"/>
    </row>
    <row r="842" ht="15.75" customHeight="1" s="311">
      <c r="A842" s="1" t="n"/>
      <c r="B842" s="1" t="n"/>
      <c r="C842" s="1" t="n"/>
      <c r="D842" s="1" t="n"/>
      <c r="E842" s="1" t="n"/>
      <c r="F842" s="1" t="n"/>
    </row>
    <row r="843" ht="15.75" customHeight="1" s="311">
      <c r="A843" s="1" t="n"/>
      <c r="B843" s="1" t="n"/>
      <c r="C843" s="1" t="n"/>
      <c r="D843" s="1" t="n"/>
      <c r="E843" s="1" t="n"/>
      <c r="F843" s="1" t="n"/>
    </row>
    <row r="844" ht="15.75" customHeight="1" s="311">
      <c r="A844" s="1" t="n"/>
      <c r="B844" s="1" t="n"/>
      <c r="C844" s="1" t="n"/>
      <c r="D844" s="1" t="n"/>
      <c r="E844" s="1" t="n"/>
      <c r="F844" s="1" t="n"/>
    </row>
    <row r="845" ht="15.75" customHeight="1" s="311">
      <c r="A845" s="1" t="n"/>
      <c r="B845" s="1" t="n"/>
      <c r="C845" s="1" t="n"/>
      <c r="D845" s="1" t="n"/>
      <c r="E845" s="1" t="n"/>
      <c r="F845" s="1" t="n"/>
    </row>
    <row r="846" ht="15.75" customHeight="1" s="311">
      <c r="A846" s="1" t="n"/>
      <c r="B846" s="1" t="n"/>
      <c r="C846" s="1" t="n"/>
      <c r="D846" s="1" t="n"/>
      <c r="E846" s="1" t="n"/>
      <c r="F846" s="1" t="n"/>
    </row>
    <row r="847" ht="15.75" customHeight="1" s="311">
      <c r="A847" s="1" t="n"/>
      <c r="B847" s="1" t="n"/>
      <c r="C847" s="1" t="n"/>
      <c r="D847" s="1" t="n"/>
      <c r="E847" s="1" t="n"/>
      <c r="F847" s="1" t="n"/>
    </row>
    <row r="848" ht="15.75" customHeight="1" s="311">
      <c r="A848" s="1" t="n"/>
      <c r="B848" s="1" t="n"/>
      <c r="C848" s="1" t="n"/>
      <c r="D848" s="1" t="n"/>
      <c r="E848" s="1" t="n"/>
      <c r="F848" s="1" t="n"/>
    </row>
    <row r="849" ht="15.75" customHeight="1" s="311">
      <c r="A849" s="1" t="n"/>
      <c r="B849" s="1" t="n"/>
      <c r="C849" s="1" t="n"/>
      <c r="D849" s="1" t="n"/>
      <c r="E849" s="1" t="n"/>
      <c r="F849" s="1" t="n"/>
    </row>
    <row r="850" ht="15.75" customHeight="1" s="311">
      <c r="A850" s="1" t="n"/>
      <c r="B850" s="1" t="n"/>
      <c r="C850" s="1" t="n"/>
      <c r="D850" s="1" t="n"/>
      <c r="E850" s="1" t="n"/>
      <c r="F850" s="1" t="n"/>
    </row>
    <row r="851" ht="15.75" customHeight="1" s="311">
      <c r="A851" s="1" t="n"/>
      <c r="B851" s="1" t="n"/>
      <c r="C851" s="1" t="n"/>
      <c r="D851" s="1" t="n"/>
      <c r="E851" s="1" t="n"/>
      <c r="F851" s="1" t="n"/>
    </row>
    <row r="852" ht="15.75" customHeight="1" s="311">
      <c r="A852" s="1" t="n"/>
      <c r="B852" s="1" t="n"/>
      <c r="C852" s="1" t="n"/>
      <c r="D852" s="1" t="n"/>
      <c r="E852" s="1" t="n"/>
      <c r="F852" s="1" t="n"/>
    </row>
    <row r="853" ht="15.75" customHeight="1" s="311">
      <c r="A853" s="1" t="n"/>
      <c r="B853" s="1" t="n"/>
      <c r="C853" s="1" t="n"/>
      <c r="D853" s="1" t="n"/>
      <c r="E853" s="1" t="n"/>
      <c r="F853" s="1" t="n"/>
    </row>
    <row r="854" ht="15.75" customHeight="1" s="311">
      <c r="A854" s="1" t="n"/>
      <c r="B854" s="1" t="n"/>
      <c r="C854" s="1" t="n"/>
      <c r="D854" s="1" t="n"/>
      <c r="E854" s="1" t="n"/>
      <c r="F854" s="1" t="n"/>
    </row>
    <row r="855" ht="15.75" customHeight="1" s="311">
      <c r="A855" s="1" t="n"/>
      <c r="B855" s="1" t="n"/>
      <c r="C855" s="1" t="n"/>
      <c r="D855" s="1" t="n"/>
      <c r="E855" s="1" t="n"/>
      <c r="F855" s="1" t="n"/>
    </row>
    <row r="856" ht="15.75" customHeight="1" s="311">
      <c r="A856" s="1" t="n"/>
      <c r="B856" s="1" t="n"/>
      <c r="C856" s="1" t="n"/>
      <c r="D856" s="1" t="n"/>
      <c r="E856" s="1" t="n"/>
      <c r="F856" s="1" t="n"/>
    </row>
    <row r="857" ht="15.75" customHeight="1" s="311">
      <c r="A857" s="1" t="n"/>
      <c r="B857" s="1" t="n"/>
      <c r="C857" s="1" t="n"/>
      <c r="D857" s="1" t="n"/>
      <c r="E857" s="1" t="n"/>
      <c r="F857" s="1" t="n"/>
    </row>
    <row r="858" ht="15.75" customHeight="1" s="311">
      <c r="A858" s="1" t="n"/>
      <c r="B858" s="1" t="n"/>
      <c r="C858" s="1" t="n"/>
      <c r="D858" s="1" t="n"/>
      <c r="E858" s="1" t="n"/>
      <c r="F858" s="1" t="n"/>
    </row>
    <row r="859" ht="15.75" customHeight="1" s="311">
      <c r="A859" s="1" t="n"/>
      <c r="B859" s="1" t="n"/>
      <c r="C859" s="1" t="n"/>
      <c r="D859" s="1" t="n"/>
      <c r="E859" s="1" t="n"/>
      <c r="F859" s="1" t="n"/>
    </row>
    <row r="860" ht="15.75" customHeight="1" s="311">
      <c r="A860" s="1" t="n"/>
      <c r="B860" s="1" t="n"/>
      <c r="C860" s="1" t="n"/>
      <c r="D860" s="1" t="n"/>
      <c r="E860" s="1" t="n"/>
      <c r="F860" s="1" t="n"/>
    </row>
    <row r="861" ht="15.75" customHeight="1" s="311">
      <c r="A861" s="1" t="n"/>
      <c r="B861" s="1" t="n"/>
      <c r="C861" s="1" t="n"/>
      <c r="D861" s="1" t="n"/>
      <c r="E861" s="1" t="n"/>
      <c r="F861" s="1" t="n"/>
    </row>
    <row r="862" ht="15.75" customHeight="1" s="311">
      <c r="A862" s="1" t="n"/>
      <c r="B862" s="1" t="n"/>
      <c r="C862" s="1" t="n"/>
      <c r="D862" s="1" t="n"/>
      <c r="E862" s="1" t="n"/>
      <c r="F862" s="1" t="n"/>
    </row>
    <row r="863" ht="15.75" customHeight="1" s="311">
      <c r="A863" s="1" t="n"/>
      <c r="B863" s="1" t="n"/>
      <c r="C863" s="1" t="n"/>
      <c r="D863" s="1" t="n"/>
      <c r="E863" s="1" t="n"/>
      <c r="F863" s="1" t="n"/>
    </row>
    <row r="864" ht="15.75" customHeight="1" s="311">
      <c r="A864" s="1" t="n"/>
      <c r="B864" s="1" t="n"/>
      <c r="C864" s="1" t="n"/>
      <c r="D864" s="1" t="n"/>
      <c r="E864" s="1" t="n"/>
      <c r="F864" s="1" t="n"/>
    </row>
    <row r="865" ht="15.75" customHeight="1" s="311">
      <c r="A865" s="1" t="n"/>
      <c r="B865" s="1" t="n"/>
      <c r="C865" s="1" t="n"/>
      <c r="D865" s="1" t="n"/>
      <c r="E865" s="1" t="n"/>
      <c r="F865" s="1" t="n"/>
    </row>
    <row r="866" ht="15.75" customHeight="1" s="311">
      <c r="A866" s="1" t="n"/>
      <c r="B866" s="1" t="n"/>
      <c r="C866" s="1" t="n"/>
      <c r="D866" s="1" t="n"/>
      <c r="E866" s="1" t="n"/>
      <c r="F866" s="1" t="n"/>
    </row>
    <row r="867" ht="15.75" customHeight="1" s="311">
      <c r="A867" s="1" t="n"/>
      <c r="B867" s="1" t="n"/>
      <c r="C867" s="1" t="n"/>
      <c r="D867" s="1" t="n"/>
      <c r="E867" s="1" t="n"/>
      <c r="F867" s="1" t="n"/>
    </row>
    <row r="868" ht="15.75" customHeight="1" s="311">
      <c r="A868" s="1" t="n"/>
      <c r="B868" s="1" t="n"/>
      <c r="C868" s="1" t="n"/>
      <c r="D868" s="1" t="n"/>
      <c r="E868" s="1" t="n"/>
      <c r="F868" s="1" t="n"/>
    </row>
    <row r="869" ht="15.75" customHeight="1" s="311">
      <c r="A869" s="1" t="n"/>
      <c r="B869" s="1" t="n"/>
      <c r="C869" s="1" t="n"/>
      <c r="D869" s="1" t="n"/>
      <c r="E869" s="1" t="n"/>
      <c r="F869" s="1" t="n"/>
    </row>
    <row r="870" ht="15.75" customHeight="1" s="311">
      <c r="A870" s="1" t="n"/>
      <c r="B870" s="1" t="n"/>
      <c r="C870" s="1" t="n"/>
      <c r="D870" s="1" t="n"/>
      <c r="E870" s="1" t="n"/>
      <c r="F870" s="1" t="n"/>
    </row>
    <row r="871" ht="15.75" customHeight="1" s="311">
      <c r="A871" s="1" t="n"/>
      <c r="B871" s="1" t="n"/>
      <c r="C871" s="1" t="n"/>
      <c r="D871" s="1" t="n"/>
      <c r="E871" s="1" t="n"/>
      <c r="F871" s="1" t="n"/>
    </row>
    <row r="872" ht="15.75" customHeight="1" s="311">
      <c r="A872" s="1" t="n"/>
      <c r="B872" s="1" t="n"/>
      <c r="C872" s="1" t="n"/>
      <c r="D872" s="1" t="n"/>
      <c r="E872" s="1" t="n"/>
      <c r="F872" s="1" t="n"/>
    </row>
    <row r="873" ht="15.75" customHeight="1" s="311">
      <c r="A873" s="1" t="n"/>
      <c r="B873" s="1" t="n"/>
      <c r="C873" s="1" t="n"/>
      <c r="D873" s="1" t="n"/>
      <c r="E873" s="1" t="n"/>
      <c r="F873" s="1" t="n"/>
    </row>
    <row r="874" ht="15.75" customHeight="1" s="311">
      <c r="A874" s="1" t="n"/>
      <c r="B874" s="1" t="n"/>
      <c r="C874" s="1" t="n"/>
      <c r="D874" s="1" t="n"/>
      <c r="E874" s="1" t="n"/>
      <c r="F874" s="1" t="n"/>
    </row>
    <row r="875" ht="15.75" customHeight="1" s="311">
      <c r="A875" s="1" t="n"/>
      <c r="B875" s="1" t="n"/>
      <c r="C875" s="1" t="n"/>
      <c r="D875" s="1" t="n"/>
      <c r="E875" s="1" t="n"/>
      <c r="F875" s="1" t="n"/>
    </row>
    <row r="876" ht="15.75" customHeight="1" s="311">
      <c r="A876" s="1" t="n"/>
      <c r="B876" s="1" t="n"/>
      <c r="C876" s="1" t="n"/>
      <c r="D876" s="1" t="n"/>
      <c r="E876" s="1" t="n"/>
      <c r="F876" s="1" t="n"/>
    </row>
    <row r="877" ht="15.75" customHeight="1" s="311">
      <c r="A877" s="1" t="n"/>
      <c r="B877" s="1" t="n"/>
      <c r="C877" s="1" t="n"/>
      <c r="D877" s="1" t="n"/>
      <c r="E877" s="1" t="n"/>
      <c r="F877" s="1" t="n"/>
    </row>
    <row r="878" ht="15.75" customHeight="1" s="311">
      <c r="A878" s="1" t="n"/>
      <c r="B878" s="1" t="n"/>
      <c r="C878" s="1" t="n"/>
      <c r="D878" s="1" t="n"/>
      <c r="E878" s="1" t="n"/>
      <c r="F878" s="1" t="n"/>
    </row>
    <row r="879" ht="15.75" customHeight="1" s="311">
      <c r="A879" s="1" t="n"/>
      <c r="B879" s="1" t="n"/>
      <c r="C879" s="1" t="n"/>
      <c r="D879" s="1" t="n"/>
      <c r="E879" s="1" t="n"/>
      <c r="F879" s="1" t="n"/>
    </row>
    <row r="880" ht="15.75" customHeight="1" s="311">
      <c r="A880" s="1" t="n"/>
      <c r="B880" s="1" t="n"/>
      <c r="C880" s="1" t="n"/>
      <c r="D880" s="1" t="n"/>
      <c r="E880" s="1" t="n"/>
      <c r="F880" s="1" t="n"/>
    </row>
    <row r="881" ht="15.75" customHeight="1" s="311">
      <c r="A881" s="1" t="n"/>
      <c r="B881" s="1" t="n"/>
      <c r="C881" s="1" t="n"/>
      <c r="D881" s="1" t="n"/>
      <c r="E881" s="1" t="n"/>
      <c r="F881" s="1" t="n"/>
    </row>
    <row r="882" ht="15.75" customHeight="1" s="311">
      <c r="A882" s="1" t="n"/>
      <c r="B882" s="1" t="n"/>
      <c r="C882" s="1" t="n"/>
      <c r="D882" s="1" t="n"/>
      <c r="E882" s="1" t="n"/>
      <c r="F882" s="1" t="n"/>
    </row>
    <row r="883" ht="15.75" customHeight="1" s="311">
      <c r="A883" s="1" t="n"/>
      <c r="B883" s="1" t="n"/>
      <c r="C883" s="1" t="n"/>
      <c r="D883" s="1" t="n"/>
      <c r="E883" s="1" t="n"/>
      <c r="F883" s="1" t="n"/>
    </row>
    <row r="884" ht="15.75" customHeight="1" s="311">
      <c r="A884" s="1" t="n"/>
      <c r="B884" s="1" t="n"/>
      <c r="C884" s="1" t="n"/>
      <c r="D884" s="1" t="n"/>
      <c r="E884" s="1" t="n"/>
      <c r="F884" s="1" t="n"/>
    </row>
    <row r="885" ht="15.75" customHeight="1" s="311">
      <c r="A885" s="1" t="n"/>
      <c r="B885" s="1" t="n"/>
      <c r="C885" s="1" t="n"/>
      <c r="D885" s="1" t="n"/>
      <c r="E885" s="1" t="n"/>
      <c r="F885" s="1" t="n"/>
    </row>
    <row r="886" ht="15.75" customHeight="1" s="311">
      <c r="A886" s="1" t="n"/>
      <c r="B886" s="1" t="n"/>
      <c r="C886" s="1" t="n"/>
      <c r="D886" s="1" t="n"/>
      <c r="E886" s="1" t="n"/>
      <c r="F886" s="1" t="n"/>
    </row>
    <row r="887" ht="15.75" customHeight="1" s="311">
      <c r="A887" s="1" t="n"/>
      <c r="B887" s="1" t="n"/>
      <c r="C887" s="1" t="n"/>
      <c r="D887" s="1" t="n"/>
      <c r="E887" s="1" t="n"/>
      <c r="F887" s="1" t="n"/>
    </row>
    <row r="888" ht="15.75" customHeight="1" s="311">
      <c r="A888" s="1" t="n"/>
      <c r="B888" s="1" t="n"/>
      <c r="C888" s="1" t="n"/>
      <c r="D888" s="1" t="n"/>
      <c r="E888" s="1" t="n"/>
      <c r="F888" s="1" t="n"/>
    </row>
    <row r="889" ht="15.75" customHeight="1" s="311">
      <c r="A889" s="1" t="n"/>
      <c r="B889" s="1" t="n"/>
      <c r="C889" s="1" t="n"/>
      <c r="D889" s="1" t="n"/>
      <c r="E889" s="1" t="n"/>
      <c r="F889" s="1" t="n"/>
    </row>
    <row r="890" ht="15.75" customHeight="1" s="311">
      <c r="A890" s="1" t="n"/>
      <c r="B890" s="1" t="n"/>
      <c r="C890" s="1" t="n"/>
      <c r="D890" s="1" t="n"/>
      <c r="E890" s="1" t="n"/>
      <c r="F890" s="1" t="n"/>
    </row>
    <row r="891" ht="15.75" customHeight="1" s="311">
      <c r="A891" s="1" t="n"/>
      <c r="B891" s="1" t="n"/>
      <c r="C891" s="1" t="n"/>
      <c r="D891" s="1" t="n"/>
      <c r="E891" s="1" t="n"/>
      <c r="F891" s="1" t="n"/>
    </row>
    <row r="892" ht="15.75" customHeight="1" s="311">
      <c r="A892" s="1" t="n"/>
      <c r="B892" s="1" t="n"/>
      <c r="C892" s="1" t="n"/>
      <c r="D892" s="1" t="n"/>
      <c r="E892" s="1" t="n"/>
      <c r="F892" s="1" t="n"/>
    </row>
    <row r="893" ht="15.75" customHeight="1" s="311">
      <c r="A893" s="1" t="n"/>
      <c r="B893" s="1" t="n"/>
      <c r="C893" s="1" t="n"/>
      <c r="D893" s="1" t="n"/>
      <c r="E893" s="1" t="n"/>
      <c r="F893" s="1" t="n"/>
    </row>
    <row r="894" ht="15.75" customHeight="1" s="311">
      <c r="A894" s="1" t="n"/>
      <c r="B894" s="1" t="n"/>
      <c r="C894" s="1" t="n"/>
      <c r="D894" s="1" t="n"/>
      <c r="E894" s="1" t="n"/>
      <c r="F894" s="1" t="n"/>
    </row>
    <row r="895" ht="15.75" customHeight="1" s="311">
      <c r="A895" s="1" t="n"/>
      <c r="B895" s="1" t="n"/>
      <c r="C895" s="1" t="n"/>
      <c r="D895" s="1" t="n"/>
      <c r="E895" s="1" t="n"/>
      <c r="F895" s="1" t="n"/>
    </row>
    <row r="896" ht="15.75" customHeight="1" s="311">
      <c r="A896" s="1" t="n"/>
      <c r="B896" s="1" t="n"/>
      <c r="C896" s="1" t="n"/>
      <c r="D896" s="1" t="n"/>
      <c r="E896" s="1" t="n"/>
      <c r="F896" s="1" t="n"/>
    </row>
    <row r="897" ht="15.75" customHeight="1" s="311">
      <c r="A897" s="1" t="n"/>
      <c r="B897" s="1" t="n"/>
      <c r="C897" s="1" t="n"/>
      <c r="D897" s="1" t="n"/>
      <c r="E897" s="1" t="n"/>
      <c r="F897" s="1" t="n"/>
    </row>
    <row r="898" ht="15.75" customHeight="1" s="311">
      <c r="A898" s="1" t="n"/>
      <c r="B898" s="1" t="n"/>
      <c r="C898" s="1" t="n"/>
      <c r="D898" s="1" t="n"/>
      <c r="E898" s="1" t="n"/>
      <c r="F898" s="1" t="n"/>
    </row>
    <row r="899" ht="15.75" customHeight="1" s="311">
      <c r="A899" s="1" t="n"/>
      <c r="B899" s="1" t="n"/>
      <c r="C899" s="1" t="n"/>
      <c r="D899" s="1" t="n"/>
      <c r="E899" s="1" t="n"/>
      <c r="F899" s="1" t="n"/>
    </row>
    <row r="900" ht="15.75" customHeight="1" s="311">
      <c r="A900" s="1" t="n"/>
      <c r="B900" s="1" t="n"/>
      <c r="C900" s="1" t="n"/>
      <c r="D900" s="1" t="n"/>
      <c r="E900" s="1" t="n"/>
      <c r="F900" s="1" t="n"/>
    </row>
    <row r="901" ht="15.75" customHeight="1" s="311">
      <c r="A901" s="1" t="n"/>
      <c r="B901" s="1" t="n"/>
      <c r="C901" s="1" t="n"/>
      <c r="D901" s="1" t="n"/>
      <c r="E901" s="1" t="n"/>
      <c r="F901" s="1" t="n"/>
    </row>
    <row r="902" ht="15.75" customHeight="1" s="311">
      <c r="A902" s="1" t="n"/>
      <c r="B902" s="1" t="n"/>
      <c r="C902" s="1" t="n"/>
      <c r="D902" s="1" t="n"/>
      <c r="E902" s="1" t="n"/>
      <c r="F902" s="1" t="n"/>
    </row>
    <row r="903" ht="15.75" customHeight="1" s="311">
      <c r="A903" s="1" t="n"/>
      <c r="B903" s="1" t="n"/>
      <c r="C903" s="1" t="n"/>
      <c r="D903" s="1" t="n"/>
      <c r="E903" s="1" t="n"/>
      <c r="F903" s="1" t="n"/>
    </row>
    <row r="904" ht="15.75" customHeight="1" s="311">
      <c r="A904" s="1" t="n"/>
      <c r="B904" s="1" t="n"/>
      <c r="C904" s="1" t="n"/>
      <c r="D904" s="1" t="n"/>
      <c r="E904" s="1" t="n"/>
      <c r="F904" s="1" t="n"/>
    </row>
    <row r="905" ht="15.75" customHeight="1" s="311">
      <c r="A905" s="1" t="n"/>
      <c r="B905" s="1" t="n"/>
      <c r="C905" s="1" t="n"/>
      <c r="D905" s="1" t="n"/>
      <c r="E905" s="1" t="n"/>
      <c r="F905" s="1" t="n"/>
    </row>
    <row r="906" ht="15.75" customHeight="1" s="311">
      <c r="A906" s="1" t="n"/>
      <c r="B906" s="1" t="n"/>
      <c r="C906" s="1" t="n"/>
      <c r="D906" s="1" t="n"/>
      <c r="E906" s="1" t="n"/>
      <c r="F906" s="1" t="n"/>
    </row>
    <row r="907" ht="15.75" customHeight="1" s="311">
      <c r="A907" s="1" t="n"/>
      <c r="B907" s="1" t="n"/>
      <c r="C907" s="1" t="n"/>
      <c r="D907" s="1" t="n"/>
      <c r="E907" s="1" t="n"/>
      <c r="F907" s="1" t="n"/>
    </row>
    <row r="908" ht="15.75" customHeight="1" s="311">
      <c r="A908" s="1" t="n"/>
      <c r="B908" s="1" t="n"/>
      <c r="C908" s="1" t="n"/>
      <c r="D908" s="1" t="n"/>
      <c r="E908" s="1" t="n"/>
      <c r="F908" s="1" t="n"/>
    </row>
    <row r="909" ht="15.75" customHeight="1" s="311">
      <c r="A909" s="1" t="n"/>
      <c r="B909" s="1" t="n"/>
      <c r="C909" s="1" t="n"/>
      <c r="D909" s="1" t="n"/>
      <c r="E909" s="1" t="n"/>
      <c r="F909" s="1" t="n"/>
    </row>
    <row r="910" ht="15.75" customHeight="1" s="311">
      <c r="A910" s="1" t="n"/>
      <c r="B910" s="1" t="n"/>
      <c r="C910" s="1" t="n"/>
      <c r="D910" s="1" t="n"/>
      <c r="E910" s="1" t="n"/>
      <c r="F910" s="1" t="n"/>
    </row>
    <row r="911" ht="15.75" customHeight="1" s="311">
      <c r="A911" s="1" t="n"/>
      <c r="B911" s="1" t="n"/>
      <c r="C911" s="1" t="n"/>
      <c r="D911" s="1" t="n"/>
      <c r="E911" s="1" t="n"/>
      <c r="F911" s="1" t="n"/>
    </row>
    <row r="912" ht="15.75" customHeight="1" s="311">
      <c r="A912" s="1" t="n"/>
      <c r="B912" s="1" t="n"/>
      <c r="C912" s="1" t="n"/>
      <c r="D912" s="1" t="n"/>
      <c r="E912" s="1" t="n"/>
      <c r="F912" s="1" t="n"/>
    </row>
    <row r="913" ht="15.75" customHeight="1" s="311">
      <c r="A913" s="1" t="n"/>
      <c r="B913" s="1" t="n"/>
      <c r="C913" s="1" t="n"/>
      <c r="D913" s="1" t="n"/>
      <c r="E913" s="1" t="n"/>
      <c r="F913" s="1" t="n"/>
    </row>
    <row r="914" ht="15.75" customHeight="1" s="311">
      <c r="A914" s="1" t="n"/>
      <c r="B914" s="1" t="n"/>
      <c r="C914" s="1" t="n"/>
      <c r="D914" s="1" t="n"/>
      <c r="E914" s="1" t="n"/>
      <c r="F914" s="1" t="n"/>
    </row>
    <row r="915" ht="15.75" customHeight="1" s="311">
      <c r="A915" s="1" t="n"/>
      <c r="B915" s="1" t="n"/>
      <c r="C915" s="1" t="n"/>
      <c r="D915" s="1" t="n"/>
      <c r="E915" s="1" t="n"/>
      <c r="F915" s="1" t="n"/>
    </row>
    <row r="916" ht="15.75" customHeight="1" s="311">
      <c r="A916" s="1" t="n"/>
      <c r="B916" s="1" t="n"/>
      <c r="C916" s="1" t="n"/>
      <c r="D916" s="1" t="n"/>
      <c r="E916" s="1" t="n"/>
      <c r="F916" s="1" t="n"/>
    </row>
    <row r="917" ht="15.75" customHeight="1" s="311">
      <c r="A917" s="1" t="n"/>
      <c r="B917" s="1" t="n"/>
      <c r="C917" s="1" t="n"/>
      <c r="D917" s="1" t="n"/>
      <c r="E917" s="1" t="n"/>
      <c r="F917" s="1" t="n"/>
    </row>
    <row r="918" ht="15.75" customHeight="1" s="311">
      <c r="A918" s="1" t="n"/>
      <c r="B918" s="1" t="n"/>
      <c r="C918" s="1" t="n"/>
      <c r="D918" s="1" t="n"/>
      <c r="E918" s="1" t="n"/>
      <c r="F918" s="1" t="n"/>
    </row>
    <row r="919" ht="15.75" customHeight="1" s="311">
      <c r="A919" s="1" t="n"/>
      <c r="B919" s="1" t="n"/>
      <c r="C919" s="1" t="n"/>
      <c r="D919" s="1" t="n"/>
      <c r="E919" s="1" t="n"/>
      <c r="F919" s="1" t="n"/>
    </row>
    <row r="920" ht="15.75" customHeight="1" s="311">
      <c r="A920" s="1" t="n"/>
      <c r="B920" s="1" t="n"/>
      <c r="C920" s="1" t="n"/>
      <c r="D920" s="1" t="n"/>
      <c r="E920" s="1" t="n"/>
      <c r="F920" s="1" t="n"/>
    </row>
    <row r="921" ht="15.75" customHeight="1" s="311">
      <c r="A921" s="1" t="n"/>
      <c r="B921" s="1" t="n"/>
      <c r="C921" s="1" t="n"/>
      <c r="D921" s="1" t="n"/>
      <c r="E921" s="1" t="n"/>
      <c r="F921" s="1" t="n"/>
    </row>
    <row r="922" ht="15.75" customHeight="1" s="311">
      <c r="A922" s="1" t="n"/>
      <c r="B922" s="1" t="n"/>
      <c r="C922" s="1" t="n"/>
      <c r="D922" s="1" t="n"/>
      <c r="E922" s="1" t="n"/>
      <c r="F922" s="1" t="n"/>
    </row>
    <row r="923" ht="15.75" customHeight="1" s="311">
      <c r="A923" s="1" t="n"/>
      <c r="B923" s="1" t="n"/>
      <c r="C923" s="1" t="n"/>
      <c r="D923" s="1" t="n"/>
      <c r="E923" s="1" t="n"/>
      <c r="F923" s="1" t="n"/>
    </row>
    <row r="924" ht="15.75" customHeight="1" s="311">
      <c r="A924" s="1" t="n"/>
      <c r="B924" s="1" t="n"/>
      <c r="C924" s="1" t="n"/>
      <c r="D924" s="1" t="n"/>
      <c r="E924" s="1" t="n"/>
      <c r="F924" s="1" t="n"/>
    </row>
    <row r="925" ht="15.75" customHeight="1" s="311">
      <c r="A925" s="1" t="n"/>
      <c r="B925" s="1" t="n"/>
      <c r="C925" s="1" t="n"/>
      <c r="D925" s="1" t="n"/>
      <c r="E925" s="1" t="n"/>
      <c r="F925" s="1" t="n"/>
    </row>
    <row r="926" ht="15.75" customHeight="1" s="311">
      <c r="A926" s="1" t="n"/>
      <c r="B926" s="1" t="n"/>
      <c r="C926" s="1" t="n"/>
      <c r="D926" s="1" t="n"/>
      <c r="E926" s="1" t="n"/>
      <c r="F926" s="1" t="n"/>
    </row>
    <row r="927" ht="15.75" customHeight="1" s="311">
      <c r="A927" s="1" t="n"/>
      <c r="B927" s="1" t="n"/>
      <c r="C927" s="1" t="n"/>
      <c r="D927" s="1" t="n"/>
      <c r="E927" s="1" t="n"/>
      <c r="F927" s="1" t="n"/>
    </row>
    <row r="928" ht="15.75" customHeight="1" s="311">
      <c r="A928" s="1" t="n"/>
      <c r="B928" s="1" t="n"/>
      <c r="C928" s="1" t="n"/>
      <c r="D928" s="1" t="n"/>
      <c r="E928" s="1" t="n"/>
      <c r="F928" s="1" t="n"/>
    </row>
    <row r="929" ht="15.75" customHeight="1" s="311">
      <c r="A929" s="1" t="n"/>
      <c r="B929" s="1" t="n"/>
      <c r="C929" s="1" t="n"/>
      <c r="D929" s="1" t="n"/>
      <c r="E929" s="1" t="n"/>
      <c r="F929" s="1" t="n"/>
    </row>
    <row r="930" ht="15.75" customHeight="1" s="311">
      <c r="A930" s="1" t="n"/>
      <c r="B930" s="1" t="n"/>
      <c r="C930" s="1" t="n"/>
      <c r="D930" s="1" t="n"/>
      <c r="E930" s="1" t="n"/>
      <c r="F930" s="1" t="n"/>
    </row>
    <row r="931" ht="15.75" customHeight="1" s="311">
      <c r="A931" s="1" t="n"/>
      <c r="B931" s="1" t="n"/>
      <c r="C931" s="1" t="n"/>
      <c r="D931" s="1" t="n"/>
      <c r="E931" s="1" t="n"/>
      <c r="F931" s="1" t="n"/>
    </row>
    <row r="932" ht="15.75" customHeight="1" s="311">
      <c r="A932" s="1" t="n"/>
      <c r="B932" s="1" t="n"/>
      <c r="C932" s="1" t="n"/>
      <c r="D932" s="1" t="n"/>
      <c r="E932" s="1" t="n"/>
      <c r="F932" s="1" t="n"/>
    </row>
    <row r="933" ht="15.75" customHeight="1" s="311">
      <c r="A933" s="1" t="n"/>
      <c r="B933" s="1" t="n"/>
      <c r="C933" s="1" t="n"/>
      <c r="D933" s="1" t="n"/>
      <c r="E933" s="1" t="n"/>
      <c r="F933" s="1" t="n"/>
    </row>
    <row r="934" ht="15.75" customHeight="1" s="311">
      <c r="A934" s="1" t="n"/>
      <c r="B934" s="1" t="n"/>
      <c r="C934" s="1" t="n"/>
      <c r="D934" s="1" t="n"/>
      <c r="E934" s="1" t="n"/>
      <c r="F934" s="1" t="n"/>
    </row>
    <row r="935" ht="15.75" customHeight="1" s="311">
      <c r="A935" s="1" t="n"/>
      <c r="B935" s="1" t="n"/>
      <c r="C935" s="1" t="n"/>
      <c r="D935" s="1" t="n"/>
      <c r="E935" s="1" t="n"/>
      <c r="F935" s="1" t="n"/>
    </row>
    <row r="936" ht="15.75" customHeight="1" s="311">
      <c r="A936" s="1" t="n"/>
      <c r="B936" s="1" t="n"/>
      <c r="C936" s="1" t="n"/>
      <c r="D936" s="1" t="n"/>
      <c r="E936" s="1" t="n"/>
      <c r="F936" s="1" t="n"/>
    </row>
    <row r="937" ht="15.75" customHeight="1" s="311">
      <c r="A937" s="1" t="n"/>
      <c r="B937" s="1" t="n"/>
      <c r="C937" s="1" t="n"/>
      <c r="D937" s="1" t="n"/>
      <c r="E937" s="1" t="n"/>
      <c r="F937" s="1" t="n"/>
    </row>
    <row r="938" ht="15.75" customHeight="1" s="311">
      <c r="A938" s="1" t="n"/>
      <c r="B938" s="1" t="n"/>
      <c r="C938" s="1" t="n"/>
      <c r="D938" s="1" t="n"/>
      <c r="E938" s="1" t="n"/>
      <c r="F938" s="1" t="n"/>
    </row>
    <row r="939" ht="15.75" customHeight="1" s="311">
      <c r="A939" s="1" t="n"/>
      <c r="B939" s="1" t="n"/>
      <c r="C939" s="1" t="n"/>
      <c r="D939" s="1" t="n"/>
      <c r="E939" s="1" t="n"/>
      <c r="F939" s="1" t="n"/>
    </row>
    <row r="940" ht="15.75" customHeight="1" s="311">
      <c r="A940" s="1" t="n"/>
      <c r="B940" s="1" t="n"/>
      <c r="C940" s="1" t="n"/>
      <c r="D940" s="1" t="n"/>
      <c r="E940" s="1" t="n"/>
      <c r="F940" s="1" t="n"/>
    </row>
    <row r="941" ht="15.75" customHeight="1" s="311">
      <c r="A941" s="1" t="n"/>
      <c r="B941" s="1" t="n"/>
      <c r="C941" s="1" t="n"/>
      <c r="D941" s="1" t="n"/>
      <c r="E941" s="1" t="n"/>
      <c r="F941" s="1" t="n"/>
    </row>
    <row r="942" ht="15.75" customHeight="1" s="311">
      <c r="A942" s="1" t="n"/>
      <c r="B942" s="1" t="n"/>
      <c r="C942" s="1" t="n"/>
      <c r="D942" s="1" t="n"/>
      <c r="E942" s="1" t="n"/>
      <c r="F942" s="1" t="n"/>
    </row>
    <row r="943" ht="15.75" customHeight="1" s="311">
      <c r="A943" s="1" t="n"/>
      <c r="B943" s="1" t="n"/>
      <c r="C943" s="1" t="n"/>
      <c r="D943" s="1" t="n"/>
      <c r="E943" s="1" t="n"/>
      <c r="F943" s="1" t="n"/>
    </row>
    <row r="944" ht="15.75" customHeight="1" s="311">
      <c r="A944" s="1" t="n"/>
      <c r="B944" s="1" t="n"/>
      <c r="C944" s="1" t="n"/>
      <c r="D944" s="1" t="n"/>
      <c r="E944" s="1" t="n"/>
      <c r="F944" s="1" t="n"/>
    </row>
    <row r="945" ht="15.75" customHeight="1" s="311">
      <c r="A945" s="1" t="n"/>
      <c r="B945" s="1" t="n"/>
      <c r="C945" s="1" t="n"/>
      <c r="D945" s="1" t="n"/>
      <c r="E945" s="1" t="n"/>
      <c r="F945" s="1" t="n"/>
    </row>
    <row r="946" ht="15.75" customHeight="1" s="311">
      <c r="A946" s="1" t="n"/>
      <c r="B946" s="1" t="n"/>
      <c r="C946" s="1" t="n"/>
      <c r="D946" s="1" t="n"/>
      <c r="E946" s="1" t="n"/>
      <c r="F946" s="1" t="n"/>
    </row>
    <row r="947" ht="15.75" customHeight="1" s="311">
      <c r="A947" s="1" t="n"/>
      <c r="B947" s="1" t="n"/>
      <c r="C947" s="1" t="n"/>
      <c r="D947" s="1" t="n"/>
      <c r="E947" s="1" t="n"/>
      <c r="F947" s="1" t="n"/>
    </row>
    <row r="948" ht="15.75" customHeight="1" s="311">
      <c r="A948" s="1" t="n"/>
      <c r="B948" s="1" t="n"/>
      <c r="C948" s="1" t="n"/>
      <c r="D948" s="1" t="n"/>
      <c r="E948" s="1" t="n"/>
      <c r="F948" s="1" t="n"/>
    </row>
    <row r="949" ht="15.75" customHeight="1" s="311">
      <c r="A949" s="1" t="n"/>
      <c r="B949" s="1" t="n"/>
      <c r="C949" s="1" t="n"/>
      <c r="D949" s="1" t="n"/>
      <c r="E949" s="1" t="n"/>
      <c r="F949" s="1" t="n"/>
    </row>
    <row r="950" ht="15.75" customHeight="1" s="311">
      <c r="A950" s="1" t="n"/>
      <c r="B950" s="1" t="n"/>
      <c r="C950" s="1" t="n"/>
      <c r="D950" s="1" t="n"/>
      <c r="E950" s="1" t="n"/>
      <c r="F950" s="1" t="n"/>
    </row>
    <row r="951" ht="15.75" customHeight="1" s="311">
      <c r="A951" s="1" t="n"/>
      <c r="B951" s="1" t="n"/>
      <c r="C951" s="1" t="n"/>
      <c r="D951" s="1" t="n"/>
      <c r="E951" s="1" t="n"/>
      <c r="F951" s="1" t="n"/>
    </row>
    <row r="952" ht="15.75" customHeight="1" s="311">
      <c r="A952" s="1" t="n"/>
      <c r="B952" s="1" t="n"/>
      <c r="C952" s="1" t="n"/>
      <c r="D952" s="1" t="n"/>
      <c r="E952" s="1" t="n"/>
      <c r="F952" s="1" t="n"/>
    </row>
    <row r="953" ht="15.75" customHeight="1" s="311">
      <c r="A953" s="1" t="n"/>
      <c r="B953" s="1" t="n"/>
      <c r="C953" s="1" t="n"/>
      <c r="D953" s="1" t="n"/>
      <c r="E953" s="1" t="n"/>
      <c r="F953" s="1" t="n"/>
    </row>
    <row r="954" ht="15.75" customHeight="1" s="311">
      <c r="A954" s="1" t="n"/>
      <c r="B954" s="1" t="n"/>
      <c r="C954" s="1" t="n"/>
      <c r="D954" s="1" t="n"/>
      <c r="E954" s="1" t="n"/>
      <c r="F954" s="1" t="n"/>
    </row>
    <row r="955" ht="15.75" customHeight="1" s="311">
      <c r="A955" s="1" t="n"/>
      <c r="B955" s="1" t="n"/>
      <c r="C955" s="1" t="n"/>
      <c r="D955" s="1" t="n"/>
      <c r="E955" s="1" t="n"/>
      <c r="F955" s="1" t="n"/>
    </row>
    <row r="956" ht="15.75" customHeight="1" s="311">
      <c r="A956" s="1" t="n"/>
      <c r="B956" s="1" t="n"/>
      <c r="C956" s="1" t="n"/>
      <c r="D956" s="1" t="n"/>
      <c r="E956" s="1" t="n"/>
      <c r="F956" s="1" t="n"/>
    </row>
    <row r="957" ht="15.75" customHeight="1" s="311">
      <c r="A957" s="1" t="n"/>
      <c r="B957" s="1" t="n"/>
      <c r="C957" s="1" t="n"/>
      <c r="D957" s="1" t="n"/>
      <c r="E957" s="1" t="n"/>
      <c r="F957" s="1" t="n"/>
    </row>
    <row r="958" ht="15.75" customHeight="1" s="311">
      <c r="A958" s="1" t="n"/>
      <c r="B958" s="1" t="n"/>
      <c r="C958" s="1" t="n"/>
      <c r="D958" s="1" t="n"/>
      <c r="E958" s="1" t="n"/>
      <c r="F958" s="1" t="n"/>
    </row>
    <row r="959" ht="15.75" customHeight="1" s="311">
      <c r="A959" s="1" t="n"/>
      <c r="B959" s="1" t="n"/>
      <c r="C959" s="1" t="n"/>
      <c r="D959" s="1" t="n"/>
      <c r="E959" s="1" t="n"/>
      <c r="F959" s="1" t="n"/>
    </row>
    <row r="960" ht="15.75" customHeight="1" s="311">
      <c r="A960" s="1" t="n"/>
      <c r="B960" s="1" t="n"/>
      <c r="C960" s="1" t="n"/>
      <c r="D960" s="1" t="n"/>
      <c r="E960" s="1" t="n"/>
      <c r="F960" s="1" t="n"/>
    </row>
    <row r="961" ht="15.75" customHeight="1" s="311">
      <c r="A961" s="1" t="n"/>
      <c r="B961" s="1" t="n"/>
      <c r="C961" s="1" t="n"/>
      <c r="D961" s="1" t="n"/>
      <c r="E961" s="1" t="n"/>
      <c r="F961" s="1" t="n"/>
    </row>
    <row r="962" ht="15.75" customHeight="1" s="311">
      <c r="A962" s="1" t="n"/>
      <c r="B962" s="1" t="n"/>
      <c r="C962" s="1" t="n"/>
      <c r="D962" s="1" t="n"/>
      <c r="E962" s="1" t="n"/>
      <c r="F962" s="1" t="n"/>
    </row>
    <row r="963" ht="15.75" customHeight="1" s="311">
      <c r="A963" s="1" t="n"/>
      <c r="B963" s="1" t="n"/>
      <c r="C963" s="1" t="n"/>
      <c r="D963" s="1" t="n"/>
      <c r="E963" s="1" t="n"/>
      <c r="F963" s="1" t="n"/>
    </row>
    <row r="964" ht="15.75" customHeight="1" s="311">
      <c r="A964" s="1" t="n"/>
      <c r="B964" s="1" t="n"/>
      <c r="C964" s="1" t="n"/>
      <c r="D964" s="1" t="n"/>
      <c r="E964" s="1" t="n"/>
      <c r="F964" s="1" t="n"/>
    </row>
    <row r="965" ht="15.75" customHeight="1" s="311">
      <c r="A965" s="1" t="n"/>
      <c r="B965" s="1" t="n"/>
      <c r="C965" s="1" t="n"/>
      <c r="D965" s="1" t="n"/>
      <c r="E965" s="1" t="n"/>
      <c r="F965" s="1" t="n"/>
    </row>
    <row r="966" ht="15.75" customHeight="1" s="311">
      <c r="A966" s="1" t="n"/>
      <c r="B966" s="1" t="n"/>
      <c r="C966" s="1" t="n"/>
      <c r="D966" s="1" t="n"/>
      <c r="E966" s="1" t="n"/>
      <c r="F966" s="1" t="n"/>
    </row>
    <row r="967" ht="15.75" customHeight="1" s="311">
      <c r="A967" s="1" t="n"/>
      <c r="B967" s="1" t="n"/>
      <c r="C967" s="1" t="n"/>
      <c r="D967" s="1" t="n"/>
      <c r="E967" s="1" t="n"/>
      <c r="F967" s="1" t="n"/>
    </row>
    <row r="968" ht="15.75" customHeight="1" s="311">
      <c r="A968" s="1" t="n"/>
      <c r="B968" s="1" t="n"/>
      <c r="C968" s="1" t="n"/>
      <c r="D968" s="1" t="n"/>
      <c r="E968" s="1" t="n"/>
      <c r="F968" s="1" t="n"/>
    </row>
    <row r="969" ht="15.75" customHeight="1" s="311">
      <c r="A969" s="1" t="n"/>
      <c r="B969" s="1" t="n"/>
      <c r="C969" s="1" t="n"/>
      <c r="D969" s="1" t="n"/>
      <c r="E969" s="1" t="n"/>
      <c r="F969" s="1" t="n"/>
    </row>
    <row r="970" ht="15.75" customHeight="1" s="311">
      <c r="A970" s="1" t="n"/>
      <c r="B970" s="1" t="n"/>
      <c r="C970" s="1" t="n"/>
      <c r="D970" s="1" t="n"/>
      <c r="E970" s="1" t="n"/>
      <c r="F970" s="1" t="n"/>
    </row>
    <row r="971" ht="15.75" customHeight="1" s="311">
      <c r="A971" s="1" t="n"/>
      <c r="B971" s="1" t="n"/>
      <c r="C971" s="1" t="n"/>
      <c r="D971" s="1" t="n"/>
      <c r="E971" s="1" t="n"/>
      <c r="F971" s="1" t="n"/>
    </row>
    <row r="972" ht="15.75" customHeight="1" s="311">
      <c r="A972" s="1" t="n"/>
      <c r="B972" s="1" t="n"/>
      <c r="C972" s="1" t="n"/>
      <c r="D972" s="1" t="n"/>
      <c r="E972" s="1" t="n"/>
      <c r="F972" s="1" t="n"/>
    </row>
    <row r="973" ht="15.75" customHeight="1" s="311">
      <c r="A973" s="1" t="n"/>
      <c r="B973" s="1" t="n"/>
      <c r="C973" s="1" t="n"/>
      <c r="D973" s="1" t="n"/>
      <c r="E973" s="1" t="n"/>
      <c r="F973" s="1" t="n"/>
    </row>
    <row r="974" ht="15.75" customHeight="1" s="311">
      <c r="A974" s="1" t="n"/>
      <c r="B974" s="1" t="n"/>
      <c r="C974" s="1" t="n"/>
      <c r="D974" s="1" t="n"/>
      <c r="E974" s="1" t="n"/>
      <c r="F974" s="1" t="n"/>
    </row>
    <row r="975" ht="15.75" customHeight="1" s="311">
      <c r="A975" s="1" t="n"/>
      <c r="B975" s="1" t="n"/>
      <c r="C975" s="1" t="n"/>
      <c r="D975" s="1" t="n"/>
      <c r="E975" s="1" t="n"/>
      <c r="F975" s="1" t="n"/>
    </row>
    <row r="976" ht="15.75" customHeight="1" s="311">
      <c r="A976" s="1" t="n"/>
      <c r="B976" s="1" t="n"/>
      <c r="C976" s="1" t="n"/>
      <c r="D976" s="1" t="n"/>
      <c r="E976" s="1" t="n"/>
      <c r="F976" s="1" t="n"/>
    </row>
    <row r="977" ht="15.75" customHeight="1" s="311">
      <c r="A977" s="1" t="n"/>
      <c r="B977" s="1" t="n"/>
      <c r="C977" s="1" t="n"/>
      <c r="D977" s="1" t="n"/>
      <c r="E977" s="1" t="n"/>
      <c r="F977" s="1" t="n"/>
    </row>
    <row r="978" ht="15.75" customHeight="1" s="311">
      <c r="A978" s="1" t="n"/>
      <c r="B978" s="1" t="n"/>
      <c r="C978" s="1" t="n"/>
      <c r="D978" s="1" t="n"/>
      <c r="E978" s="1" t="n"/>
      <c r="F978" s="1" t="n"/>
    </row>
    <row r="979" ht="15.75" customHeight="1" s="311">
      <c r="A979" s="1" t="n"/>
      <c r="B979" s="1" t="n"/>
      <c r="C979" s="1" t="n"/>
      <c r="D979" s="1" t="n"/>
      <c r="E979" s="1" t="n"/>
      <c r="F979" s="1" t="n"/>
    </row>
    <row r="980" ht="15.75" customHeight="1" s="311">
      <c r="A980" s="1" t="n"/>
      <c r="B980" s="1" t="n"/>
      <c r="C980" s="1" t="n"/>
      <c r="D980" s="1" t="n"/>
      <c r="E980" s="1" t="n"/>
      <c r="F980" s="1" t="n"/>
    </row>
    <row r="981" ht="15.75" customHeight="1" s="311">
      <c r="A981" s="1" t="n"/>
      <c r="B981" s="1" t="n"/>
      <c r="C981" s="1" t="n"/>
      <c r="D981" s="1" t="n"/>
      <c r="E981" s="1" t="n"/>
      <c r="F981" s="1" t="n"/>
    </row>
    <row r="982" ht="15.75" customHeight="1" s="311">
      <c r="A982" s="1" t="n"/>
      <c r="B982" s="1" t="n"/>
      <c r="C982" s="1" t="n"/>
      <c r="D982" s="1" t="n"/>
      <c r="E982" s="1" t="n"/>
      <c r="F982" s="1" t="n"/>
    </row>
    <row r="983" ht="15.75" customHeight="1" s="311">
      <c r="A983" s="1" t="n"/>
      <c r="B983" s="1" t="n"/>
      <c r="C983" s="1" t="n"/>
      <c r="D983" s="1" t="n"/>
      <c r="E983" s="1" t="n"/>
      <c r="F983" s="1" t="n"/>
    </row>
    <row r="984" ht="15.75" customHeight="1" s="311">
      <c r="A984" s="1" t="n"/>
      <c r="B984" s="1" t="n"/>
      <c r="C984" s="1" t="n"/>
      <c r="D984" s="1" t="n"/>
      <c r="E984" s="1" t="n"/>
      <c r="F984" s="1" t="n"/>
    </row>
    <row r="985" ht="15.75" customHeight="1" s="311">
      <c r="A985" s="1" t="n"/>
      <c r="B985" s="1" t="n"/>
      <c r="C985" s="1" t="n"/>
      <c r="D985" s="1" t="n"/>
      <c r="E985" s="1" t="n"/>
      <c r="F985" s="1" t="n"/>
    </row>
    <row r="986" ht="15.75" customHeight="1" s="311">
      <c r="A986" s="1" t="n"/>
      <c r="B986" s="1" t="n"/>
      <c r="C986" s="1" t="n"/>
      <c r="D986" s="1" t="n"/>
      <c r="E986" s="1" t="n"/>
      <c r="F986" s="1" t="n"/>
    </row>
    <row r="987" ht="15.75" customHeight="1" s="311">
      <c r="A987" s="1" t="n"/>
      <c r="B987" s="1" t="n"/>
      <c r="C987" s="1" t="n"/>
      <c r="D987" s="1" t="n"/>
      <c r="E987" s="1" t="n"/>
      <c r="F987" s="1" t="n"/>
    </row>
    <row r="988" ht="15.75" customHeight="1" s="311">
      <c r="A988" s="1" t="n"/>
      <c r="B988" s="1" t="n"/>
      <c r="C988" s="1" t="n"/>
      <c r="D988" s="1" t="n"/>
      <c r="E988" s="1" t="n"/>
      <c r="F988" s="1" t="n"/>
    </row>
    <row r="989" ht="15.75" customHeight="1" s="311">
      <c r="A989" s="1" t="n"/>
      <c r="B989" s="1" t="n"/>
      <c r="C989" s="1" t="n"/>
      <c r="D989" s="1" t="n"/>
      <c r="E989" s="1" t="n"/>
      <c r="F989" s="1" t="n"/>
    </row>
    <row r="990" ht="15.75" customHeight="1" s="311">
      <c r="A990" s="1" t="n"/>
      <c r="B990" s="1" t="n"/>
      <c r="C990" s="1" t="n"/>
      <c r="D990" s="1" t="n"/>
      <c r="E990" s="1" t="n"/>
      <c r="F990" s="1" t="n"/>
    </row>
    <row r="991" ht="15.75" customHeight="1" s="311">
      <c r="A991" s="1" t="n"/>
      <c r="B991" s="1" t="n"/>
      <c r="C991" s="1" t="n"/>
      <c r="D991" s="1" t="n"/>
      <c r="E991" s="1" t="n"/>
      <c r="F991" s="1" t="n"/>
    </row>
    <row r="992" ht="15.75" customHeight="1" s="311">
      <c r="A992" s="1" t="n"/>
      <c r="B992" s="1" t="n"/>
      <c r="C992" s="1" t="n"/>
      <c r="D992" s="1" t="n"/>
      <c r="E992" s="1" t="n"/>
      <c r="F992" s="1" t="n"/>
    </row>
    <row r="993" ht="15.75" customHeight="1" s="311">
      <c r="A993" s="1" t="n"/>
      <c r="B993" s="1" t="n"/>
      <c r="C993" s="1" t="n"/>
      <c r="D993" s="1" t="n"/>
      <c r="E993" s="1" t="n"/>
      <c r="F993" s="1" t="n"/>
    </row>
    <row r="994" ht="15.75" customHeight="1" s="311">
      <c r="A994" s="1" t="n"/>
      <c r="B994" s="1" t="n"/>
      <c r="C994" s="1" t="n"/>
      <c r="D994" s="1" t="n"/>
      <c r="E994" s="1" t="n"/>
      <c r="F994" s="1" t="n"/>
    </row>
    <row r="995" ht="15.75" customHeight="1" s="311">
      <c r="A995" s="1" t="n"/>
      <c r="B995" s="1" t="n"/>
      <c r="C995" s="1" t="n"/>
      <c r="D995" s="1" t="n"/>
      <c r="E995" s="1" t="n"/>
      <c r="F995" s="1" t="n"/>
    </row>
    <row r="996" ht="15.75" customHeight="1" s="311">
      <c r="A996" s="1" t="n"/>
      <c r="B996" s="1" t="n"/>
      <c r="C996" s="1" t="n"/>
      <c r="D996" s="1" t="n"/>
      <c r="E996" s="1" t="n"/>
      <c r="F996" s="1" t="n"/>
    </row>
    <row r="997" ht="15.75" customHeight="1" s="311">
      <c r="A997" s="1" t="n"/>
      <c r="B997" s="1" t="n"/>
      <c r="C997" s="1" t="n"/>
      <c r="D997" s="1" t="n"/>
      <c r="E997" s="1" t="n"/>
      <c r="F997" s="1" t="n"/>
    </row>
    <row r="998" ht="15.75" customHeight="1" s="311">
      <c r="A998" s="1" t="n"/>
      <c r="B998" s="1" t="n"/>
      <c r="C998" s="1" t="n"/>
      <c r="D998" s="1" t="n"/>
      <c r="E998" s="1" t="n"/>
      <c r="F998" s="1" t="n"/>
    </row>
    <row r="999" ht="15.75" customHeight="1" s="311">
      <c r="A999" s="1" t="n"/>
      <c r="B999" s="1" t="n"/>
      <c r="C999" s="1" t="n"/>
      <c r="D999" s="1" t="n"/>
      <c r="E999" s="1" t="n"/>
      <c r="F999" s="1" t="n"/>
    </row>
    <row r="1000" ht="15.75" customHeight="1" s="311">
      <c r="A1000" s="1" t="n"/>
      <c r="B1000" s="1" t="n"/>
      <c r="C1000" s="1" t="n"/>
      <c r="D1000" s="1" t="n"/>
      <c r="E1000" s="1" t="n"/>
      <c r="F1000" s="1" t="n"/>
    </row>
  </sheetData>
  <mergeCells count="3">
    <mergeCell ref="B69:D71"/>
    <mergeCell ref="B99:D99"/>
    <mergeCell ref="B108:D108"/>
  </mergeCells>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Z1000"/>
  <sheetViews>
    <sheetView showGridLines="0" workbookViewId="0">
      <pane xSplit="1" ySplit="10" topLeftCell="B11" activePane="bottomRight" state="frozen"/>
      <selection pane="topRight" activeCell="B1" sqref="B1"/>
      <selection pane="bottomLeft" activeCell="A11" sqref="A11"/>
      <selection pane="bottomRight" activeCell="B11" sqref="B11"/>
    </sheetView>
  </sheetViews>
  <sheetFormatPr baseColWidth="8" defaultColWidth="14.43" defaultRowHeight="15" customHeight="1"/>
  <cols>
    <col width="2.14" customWidth="1" style="311" min="1" max="1"/>
    <col width="24" customWidth="1" style="311" min="2" max="2"/>
    <col width="30" customWidth="1" style="311" min="3" max="3"/>
    <col width="11" customWidth="1" style="311" min="4" max="4"/>
    <col width="14" customWidth="1" style="311" min="5" max="6"/>
    <col width="15" customWidth="1" style="311" min="7" max="7"/>
    <col width="13" customWidth="1" style="311" min="8" max="10"/>
    <col width="11" customWidth="1" style="311" min="11" max="11"/>
    <col width="12" customWidth="1" style="311" min="12" max="12"/>
    <col width="20" customWidth="1" style="311" min="13" max="13"/>
    <col width="34" customWidth="1" style="311" min="14" max="14"/>
  </cols>
  <sheetData>
    <row r="1" ht="30" customHeight="1" s="311">
      <c r="A1" s="1" t="n"/>
      <c r="B1" s="2" t="inlineStr">
        <is>
          <t>ACUERDOS CON PARTICULARES</t>
        </is>
      </c>
      <c r="O1" s="1" t="n"/>
      <c r="P1" s="1" t="n"/>
      <c r="Q1" s="1" t="n"/>
      <c r="R1" s="1" t="n"/>
      <c r="S1" s="1" t="n"/>
      <c r="T1" s="1" t="n"/>
      <c r="U1" s="1" t="n"/>
      <c r="V1" s="1" t="n"/>
      <c r="W1" s="1" t="n"/>
      <c r="X1" s="1" t="n"/>
      <c r="Y1" s="1" t="n"/>
      <c r="Z1" s="1" t="n"/>
    </row>
    <row r="2" ht="43.5" customHeight="1" s="311">
      <c r="A2" s="1" t="n"/>
      <c r="B2" s="3" t="inlineStr">
        <is>
          <t>El dinero que te han prestado personas cercanas no lleva recargos ni intereses, pero es la deuda que más cuesta cuando se alarga sin fecha. Esta hoja convierte "ya te lo devolveré" en un calendario: importe, cuota y fecha comprometida. Los importes se leen solos de la hoja Facturas a través del Nº de referencia; tú solo escribes la cuota pactada, las fechas y si el acuerdo está por escrito.</t>
        </is>
      </c>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1.75" customHeight="1" s="311">
      <c r="A4" s="1" t="n"/>
      <c r="B4" s="4" t="inlineStr">
        <is>
          <t>Total pendiente con particulares</t>
        </is>
      </c>
      <c r="C4" s="271">
        <f>Balance!$E$30</f>
        <v/>
      </c>
      <c r="D4" s="1" t="n"/>
      <c r="E4" s="99">
        <f>IF($C$4=0,"✅ No debes dinero a particulares.",IF($C$6=0,"✅ Todo el saldo con particulares tiene acuerdo cerrado. Esto ya no es un riesgo: es un calendario.","🔴 Quedan "&amp;TEXT($C$6,"#,##0.00")&amp;" € sin acuerdo cerrado ("&amp;TEXT($C$6/$C$4,"0%")&amp;" del total). Es la acción número 1 de tu plan y no cuesta dinero: solo una conversación y escribirlo aquí."))</f>
        <v/>
      </c>
      <c r="O4" s="1" t="n"/>
      <c r="P4" s="1" t="n"/>
      <c r="Q4" s="1" t="n"/>
      <c r="R4" s="1" t="n"/>
      <c r="S4" s="1" t="n"/>
      <c r="T4" s="1" t="n"/>
      <c r="U4" s="1" t="n"/>
      <c r="V4" s="1" t="n"/>
      <c r="W4" s="1" t="n"/>
      <c r="X4" s="1" t="n"/>
      <c r="Y4" s="1" t="n"/>
      <c r="Z4" s="1" t="n"/>
    </row>
    <row r="5">
      <c r="A5" s="1" t="n"/>
      <c r="B5" s="4" t="inlineStr">
        <is>
          <t>Cubierto por un acuerdo escrito</t>
        </is>
      </c>
      <c r="C5" s="271">
        <f>SUMIFS($G$11:$G$25,$L$11:$L$25,"Sí")</f>
        <v/>
      </c>
      <c r="D5" s="1" t="n"/>
      <c r="O5" s="1" t="n"/>
      <c r="P5" s="1" t="n"/>
      <c r="Q5" s="1" t="n"/>
      <c r="R5" s="1" t="n"/>
      <c r="S5" s="1" t="n"/>
      <c r="T5" s="1" t="n"/>
      <c r="U5" s="1" t="n"/>
      <c r="V5" s="1" t="n"/>
      <c r="W5" s="1" t="n"/>
      <c r="X5" s="1" t="n"/>
      <c r="Y5" s="1" t="n"/>
      <c r="Z5" s="1" t="n"/>
    </row>
    <row r="6">
      <c r="A6" s="1" t="n"/>
      <c r="B6" s="4" t="inlineStr">
        <is>
          <t>Sin acuerdo cerrado</t>
        </is>
      </c>
      <c r="C6" s="271">
        <f>ROUND($C$4-$C$5,2)</f>
        <v/>
      </c>
      <c r="D6" s="1" t="n"/>
      <c r="O6" s="1" t="n"/>
      <c r="P6" s="1" t="n"/>
      <c r="Q6" s="1" t="n"/>
      <c r="R6" s="1" t="n"/>
      <c r="S6" s="1" t="n"/>
      <c r="T6" s="1" t="n"/>
      <c r="U6" s="1" t="n"/>
      <c r="V6" s="1" t="n"/>
      <c r="W6" s="1" t="n"/>
      <c r="X6" s="1" t="n"/>
      <c r="Y6" s="1" t="n"/>
      <c r="Z6" s="1" t="n"/>
    </row>
    <row r="7">
      <c r="A7" s="1" t="n"/>
      <c r="B7" s="4" t="inlineStr">
        <is>
          <t>Compromiso mensual total</t>
        </is>
      </c>
      <c r="C7" s="271">
        <f>SUM($H$11:$H$25)</f>
        <v/>
      </c>
      <c r="D7" s="1" t="n"/>
      <c r="O7" s="1" t="n"/>
      <c r="P7" s="1" t="n"/>
      <c r="Q7" s="1" t="n"/>
      <c r="R7" s="1" t="n"/>
      <c r="S7" s="1" t="n"/>
      <c r="T7" s="1" t="n"/>
      <c r="U7" s="1" t="n"/>
      <c r="V7" s="1" t="n"/>
      <c r="W7" s="1" t="n"/>
      <c r="X7" s="1" t="n"/>
      <c r="Y7" s="1" t="n"/>
      <c r="Z7" s="1" t="n"/>
    </row>
    <row r="8">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33.75" customHeight="1" s="311">
      <c r="A10" s="1" t="n"/>
      <c r="B10" s="11" t="inlineStr">
        <is>
          <t>Prestamista</t>
        </is>
      </c>
      <c r="C10" s="11" t="inlineStr">
        <is>
          <t>Concepto</t>
        </is>
      </c>
      <c r="D10" s="11" t="inlineStr">
        <is>
          <t>Nº ref.</t>
        </is>
      </c>
      <c r="E10" s="11" t="inlineStr">
        <is>
          <t>Importe
original (€)</t>
        </is>
      </c>
      <c r="F10" s="11" t="inlineStr">
        <is>
          <t>Ya
devuelto (€)</t>
        </is>
      </c>
      <c r="G10" s="11" t="inlineStr">
        <is>
          <t>SALDO
PENDIENTE (€)</t>
        </is>
      </c>
      <c r="H10" s="11" t="inlineStr">
        <is>
          <t>Cuota
pactada (€/mes)</t>
        </is>
      </c>
      <c r="I10" s="11" t="inlineStr">
        <is>
          <t>Inicio del
acuerdo</t>
        </is>
      </c>
      <c r="J10" s="11" t="inlineStr">
        <is>
          <t>Fecha
comprometida</t>
        </is>
      </c>
      <c r="K10" s="11" t="inlineStr">
        <is>
          <t>Meses al
ritmo actual</t>
        </is>
      </c>
      <c r="L10" s="11" t="inlineStr">
        <is>
          <t>¿Por
escrito?</t>
        </is>
      </c>
      <c r="M10" s="11" t="inlineStr">
        <is>
          <t>Estado</t>
        </is>
      </c>
      <c r="N10" s="11" t="inlineStr">
        <is>
          <t>Notas</t>
        </is>
      </c>
      <c r="O10" s="1" t="n"/>
      <c r="P10" s="1" t="n"/>
      <c r="Q10" s="1" t="n"/>
      <c r="R10" s="1" t="n"/>
      <c r="S10" s="1" t="n"/>
      <c r="T10" s="1" t="n"/>
      <c r="U10" s="1" t="n"/>
      <c r="V10" s="1" t="n"/>
      <c r="W10" s="1" t="n"/>
      <c r="X10" s="1" t="n"/>
      <c r="Y10" s="1" t="n"/>
      <c r="Z10" s="1" t="n"/>
    </row>
    <row r="11">
      <c r="A11" s="1" t="n"/>
      <c r="B11" s="277" t="inlineStr">
        <is>
          <t>Jose Antonio Garcia</t>
        </is>
      </c>
      <c r="C11" s="206" t="inlineStr">
        <is>
          <t>Préstamo personal</t>
        </is>
      </c>
      <c r="D11" s="208" t="inlineStr">
        <is>
          <t>P002</t>
        </is>
      </c>
      <c r="E11" s="13">
        <f>IF($D11="","",SUMIFS(Facturas!$I$6:$I$205,Facturas!$F$6:$F$205,$D11))</f>
        <v/>
      </c>
      <c r="F11" s="13">
        <f>IF($D11="","",N($E11)-N($G11))</f>
        <v/>
      </c>
      <c r="G11" s="222">
        <f>IF($D11="","",SUMIFS(Facturas!$K$6:$K$205,Facturas!$F$6:$F$205,$D11))</f>
        <v/>
      </c>
      <c r="H11" s="12" t="n"/>
      <c r="I11" s="226" t="n"/>
      <c r="J11" s="220">
        <f>IF(OR($D11="",N($H11)=0,$I11=""),"",EDATE($I11,CEILING(N($G11)/N($H11),1)))</f>
        <v/>
      </c>
      <c r="K11" s="16">
        <f>IF(OR($D11="",N($H11)=0),"",CEILING(N($G11)/N($H11),1))</f>
        <v/>
      </c>
      <c r="L11" s="208" t="inlineStr">
        <is>
          <t>No</t>
        </is>
      </c>
      <c r="M11" s="15">
        <f>IF($D11="","",IF(N($G11)=0,"✅ Devuelto",IF($L11&lt;&gt;"Sí","🔴 Sin acuerdo",IF(N($H11)=0,"🟠 Sin cuota pactada",IF(N($K11)&gt;36,"🟡 Acuerdo muy largo","✅ Acuerdo cerrado")))))</f>
        <v/>
      </c>
      <c r="N11" s="17" t="n"/>
      <c r="O11" s="1" t="n"/>
      <c r="P11" s="1" t="n"/>
      <c r="Q11" s="1" t="n"/>
      <c r="R11" s="1" t="n"/>
      <c r="S11" s="1" t="n"/>
      <c r="T11" s="1" t="n"/>
      <c r="U11" s="1" t="n"/>
      <c r="V11" s="1" t="n"/>
      <c r="W11" s="1" t="n"/>
      <c r="X11" s="1" t="n"/>
      <c r="Y11" s="1" t="n"/>
      <c r="Z11" s="1" t="n"/>
    </row>
    <row r="12">
      <c r="A12" s="1" t="n"/>
      <c r="B12" s="277" t="inlineStr">
        <is>
          <t>Jose Stalin Garcia</t>
        </is>
      </c>
      <c r="C12" s="206" t="inlineStr">
        <is>
          <t>Préstamo personal</t>
        </is>
      </c>
      <c r="D12" s="208" t="inlineStr">
        <is>
          <t>P003</t>
        </is>
      </c>
      <c r="E12" s="13">
        <f>IF($D12="","",SUMIFS(Facturas!$I$6:$I$205,Facturas!$F$6:$F$205,$D12))</f>
        <v/>
      </c>
      <c r="F12" s="13">
        <f>IF($D12="","",N($E12)-N($G12))</f>
        <v/>
      </c>
      <c r="G12" s="222">
        <f>IF($D12="","",SUMIFS(Facturas!$K$6:$K$205,Facturas!$F$6:$F$205,$D12))</f>
        <v/>
      </c>
      <c r="H12" s="12" t="n"/>
      <c r="I12" s="226" t="n"/>
      <c r="J12" s="220">
        <f>IF(OR($D12="",N($H12)=0,$I12=""),"",EDATE($I12,CEILING(N($G12)/N($H12),1)))</f>
        <v/>
      </c>
      <c r="K12" s="16">
        <f>IF(OR($D12="",N($H12)=0),"",CEILING(N($G12)/N($H12),1))</f>
        <v/>
      </c>
      <c r="L12" s="208" t="inlineStr">
        <is>
          <t>No</t>
        </is>
      </c>
      <c r="M12" s="15">
        <f>IF($D12="","",IF(N($G12)=0,"✅ Devuelto",IF($L12&lt;&gt;"Sí","🔴 Sin acuerdo",IF(N($H12)=0,"🟠 Sin cuota pactada",IF(N($K12)&gt;36,"🟡 Acuerdo muy largo","✅ Acuerdo cerrado")))))</f>
        <v/>
      </c>
      <c r="N12" s="17" t="n"/>
      <c r="O12" s="1" t="n"/>
      <c r="P12" s="1" t="n"/>
      <c r="Q12" s="1" t="n"/>
      <c r="R12" s="1" t="n"/>
      <c r="S12" s="1" t="n"/>
      <c r="T12" s="1" t="n"/>
      <c r="U12" s="1" t="n"/>
      <c r="V12" s="1" t="n"/>
      <c r="W12" s="1" t="n"/>
      <c r="X12" s="1" t="n"/>
      <c r="Y12" s="1" t="n"/>
      <c r="Z12" s="1" t="n"/>
    </row>
    <row r="13">
      <c r="A13" s="1" t="n"/>
      <c r="B13" s="277" t="inlineStr">
        <is>
          <t>Fulgencia Almanzar</t>
        </is>
      </c>
      <c r="C13" s="206" t="inlineStr">
        <is>
          <t>Completivo entrada hipoteca</t>
        </is>
      </c>
      <c r="D13" s="208" t="inlineStr">
        <is>
          <t>P001</t>
        </is>
      </c>
      <c r="E13" s="13">
        <f>IF($D13="","",SUMIFS(Facturas!$I$6:$I$205,Facturas!$F$6:$F$205,$D13))</f>
        <v/>
      </c>
      <c r="F13" s="13">
        <f>IF($D13="","",N($E13)-N($G13))</f>
        <v/>
      </c>
      <c r="G13" s="222">
        <f>IF($D13="","",SUMIFS(Facturas!$K$6:$K$205,Facturas!$F$6:$F$205,$D13))</f>
        <v/>
      </c>
      <c r="H13" s="12" t="n"/>
      <c r="I13" s="226" t="n"/>
      <c r="J13" s="220">
        <f>IF(OR($D13="",N($H13)=0,$I13=""),"",EDATE($I13,CEILING(N($G13)/N($H13),1)))</f>
        <v/>
      </c>
      <c r="K13" s="16">
        <f>IF(OR($D13="",N($H13)=0),"",CEILING(N($G13)/N($H13),1))</f>
        <v/>
      </c>
      <c r="L13" s="208" t="inlineStr">
        <is>
          <t>No</t>
        </is>
      </c>
      <c r="M13" s="15">
        <f>IF($D13="","",IF(N($G13)=0,"✅ Devuelto",IF($L13&lt;&gt;"Sí","🔴 Sin acuerdo",IF(N($H13)=0,"🟠 Sin cuota pactada",IF(N($K13)&gt;36,"🟡 Acuerdo muy largo","✅ Acuerdo cerrado")))))</f>
        <v/>
      </c>
      <c r="N13" s="17" t="n"/>
      <c r="O13" s="1" t="n"/>
      <c r="P13" s="1" t="n"/>
      <c r="Q13" s="1" t="n"/>
      <c r="R13" s="1" t="n"/>
      <c r="S13" s="1" t="n"/>
      <c r="T13" s="1" t="n"/>
      <c r="U13" s="1" t="n"/>
      <c r="V13" s="1" t="n"/>
      <c r="W13" s="1" t="n"/>
      <c r="X13" s="1" t="n"/>
      <c r="Y13" s="1" t="n"/>
      <c r="Z13" s="1" t="n"/>
    </row>
    <row r="14">
      <c r="A14" s="1" t="n"/>
      <c r="B14" s="277" t="inlineStr">
        <is>
          <t>Jose Antonio Garcia</t>
        </is>
      </c>
      <c r="C14" s="206" t="inlineStr">
        <is>
          <t>Préstamo personal</t>
        </is>
      </c>
      <c r="D14" s="208" t="inlineStr">
        <is>
          <t>P004</t>
        </is>
      </c>
      <c r="E14" s="13">
        <f>IF($D14="","",SUMIFS(Facturas!$I$6:$I$205,Facturas!$F$6:$F$205,$D14))</f>
        <v/>
      </c>
      <c r="F14" s="13">
        <f>IF($D14="","",N($E14)-N($G14))</f>
        <v/>
      </c>
      <c r="G14" s="222">
        <f>IF($D14="","",SUMIFS(Facturas!$K$6:$K$205,Facturas!$F$6:$F$205,$D14))</f>
        <v/>
      </c>
      <c r="H14" s="12" t="n"/>
      <c r="I14" s="226" t="n"/>
      <c r="J14" s="220">
        <f>IF(OR($D14="",N($H14)=0,$I14=""),"",EDATE($I14,CEILING(N($G14)/N($H14),1)))</f>
        <v/>
      </c>
      <c r="K14" s="16">
        <f>IF(OR($D14="",N($H14)=0),"",CEILING(N($G14)/N($H14),1))</f>
        <v/>
      </c>
      <c r="L14" s="208" t="inlineStr">
        <is>
          <t>No</t>
        </is>
      </c>
      <c r="M14" s="15">
        <f>IF($D14="","",IF(N($G14)=0,"✅ Devuelto",IF($L14&lt;&gt;"Sí","🔴 Sin acuerdo",IF(N($H14)=0,"🟠 Sin cuota pactada",IF(N($K14)&gt;36,"🟡 Acuerdo muy largo","✅ Acuerdo cerrado")))))</f>
        <v/>
      </c>
      <c r="N14" s="17" t="n"/>
      <c r="O14" s="1" t="n"/>
      <c r="P14" s="1" t="n"/>
      <c r="Q14" s="1" t="n"/>
      <c r="R14" s="1" t="n"/>
      <c r="S14" s="1" t="n"/>
      <c r="T14" s="1" t="n"/>
      <c r="U14" s="1" t="n"/>
      <c r="V14" s="1" t="n"/>
      <c r="W14" s="1" t="n"/>
      <c r="X14" s="1" t="n"/>
      <c r="Y14" s="1" t="n"/>
      <c r="Z14" s="1" t="n"/>
    </row>
    <row r="15">
      <c r="A15" s="1" t="n"/>
      <c r="B15" s="277" t="n"/>
      <c r="C15" s="206" t="n"/>
      <c r="D15" s="208" t="n"/>
      <c r="E15" s="13">
        <f>IF($D15="","",SUMIFS(Facturas!$I$6:$I$205,Facturas!$F$6:$F$205,$D15))</f>
        <v/>
      </c>
      <c r="F15" s="13">
        <f>IF($D15="","",N($E15)-N($G15))</f>
        <v/>
      </c>
      <c r="G15" s="222">
        <f>IF($D15="","",SUMIFS(Facturas!$K$6:$K$205,Facturas!$F$6:$F$205,$D15))</f>
        <v/>
      </c>
      <c r="H15" s="12" t="n"/>
      <c r="I15" s="226" t="n"/>
      <c r="J15" s="220">
        <f>IF(OR($D15="",N($H15)=0,$I15=""),"",EDATE($I15,CEILING(N($G15)/N($H15),1)))</f>
        <v/>
      </c>
      <c r="K15" s="16">
        <f>IF(OR($D15="",N($H15)=0),"",CEILING(N($G15)/N($H15),1))</f>
        <v/>
      </c>
      <c r="L15" s="208" t="n"/>
      <c r="M15" s="15">
        <f>IF($D15="","",IF(N($G15)=0,"✅ Devuelto",IF($L15&lt;&gt;"Sí","🔴 Sin acuerdo",IF(N($H15)=0,"🟠 Sin cuota pactada",IF(N($K15)&gt;36,"🟡 Acuerdo muy largo","✅ Acuerdo cerrado")))))</f>
        <v/>
      </c>
      <c r="N15" s="17" t="n"/>
      <c r="O15" s="1" t="n"/>
      <c r="P15" s="1" t="n"/>
      <c r="Q15" s="1" t="n"/>
      <c r="R15" s="1" t="n"/>
      <c r="S15" s="1" t="n"/>
      <c r="T15" s="1" t="n"/>
      <c r="U15" s="1" t="n"/>
      <c r="V15" s="1" t="n"/>
      <c r="W15" s="1" t="n"/>
      <c r="X15" s="1" t="n"/>
      <c r="Y15" s="1" t="n"/>
      <c r="Z15" s="1" t="n"/>
    </row>
    <row r="16">
      <c r="A16" s="1" t="n"/>
      <c r="B16" s="277" t="n"/>
      <c r="C16" s="206" t="n"/>
      <c r="D16" s="208" t="n"/>
      <c r="E16" s="13">
        <f>IF($D16="","",SUMIFS(Facturas!$I$6:$I$205,Facturas!$F$6:$F$205,$D16))</f>
        <v/>
      </c>
      <c r="F16" s="13">
        <f>IF($D16="","",N($E16)-N($G16))</f>
        <v/>
      </c>
      <c r="G16" s="222">
        <f>IF($D16="","",SUMIFS(Facturas!$K$6:$K$205,Facturas!$F$6:$F$205,$D16))</f>
        <v/>
      </c>
      <c r="H16" s="12" t="n"/>
      <c r="I16" s="226" t="n"/>
      <c r="J16" s="220">
        <f>IF(OR($D16="",N($H16)=0,$I16=""),"",EDATE($I16,CEILING(N($G16)/N($H16),1)))</f>
        <v/>
      </c>
      <c r="K16" s="16">
        <f>IF(OR($D16="",N($H16)=0),"",CEILING(N($G16)/N($H16),1))</f>
        <v/>
      </c>
      <c r="L16" s="208" t="n"/>
      <c r="M16" s="15">
        <f>IF($D16="","",IF(N($G16)=0,"✅ Devuelto",IF($L16&lt;&gt;"Sí","🔴 Sin acuerdo",IF(N($H16)=0,"🟠 Sin cuota pactada",IF(N($K16)&gt;36,"🟡 Acuerdo muy largo","✅ Acuerdo cerrado")))))</f>
        <v/>
      </c>
      <c r="N16" s="17" t="n"/>
      <c r="O16" s="1" t="n"/>
      <c r="P16" s="1" t="n"/>
      <c r="Q16" s="1" t="n"/>
      <c r="R16" s="1" t="n"/>
      <c r="S16" s="1" t="n"/>
      <c r="T16" s="1" t="n"/>
      <c r="U16" s="1" t="n"/>
      <c r="V16" s="1" t="n"/>
      <c r="W16" s="1" t="n"/>
      <c r="X16" s="1" t="n"/>
      <c r="Y16" s="1" t="n"/>
      <c r="Z16" s="1" t="n"/>
    </row>
    <row r="17">
      <c r="A17" s="1" t="n"/>
      <c r="B17" s="277" t="n"/>
      <c r="C17" s="206" t="n"/>
      <c r="D17" s="208" t="n"/>
      <c r="E17" s="13">
        <f>IF($D17="","",SUMIFS(Facturas!$I$6:$I$205,Facturas!$F$6:$F$205,$D17))</f>
        <v/>
      </c>
      <c r="F17" s="13">
        <f>IF($D17="","",N($E17)-N($G17))</f>
        <v/>
      </c>
      <c r="G17" s="222">
        <f>IF($D17="","",SUMIFS(Facturas!$K$6:$K$205,Facturas!$F$6:$F$205,$D17))</f>
        <v/>
      </c>
      <c r="H17" s="12" t="n"/>
      <c r="I17" s="226" t="n"/>
      <c r="J17" s="220">
        <f>IF(OR($D17="",N($H17)=0,$I17=""),"",EDATE($I17,CEILING(N($G17)/N($H17),1)))</f>
        <v/>
      </c>
      <c r="K17" s="16">
        <f>IF(OR($D17="",N($H17)=0),"",CEILING(N($G17)/N($H17),1))</f>
        <v/>
      </c>
      <c r="L17" s="208" t="n"/>
      <c r="M17" s="15">
        <f>IF($D17="","",IF(N($G17)=0,"✅ Devuelto",IF($L17&lt;&gt;"Sí","🔴 Sin acuerdo",IF(N($H17)=0,"🟠 Sin cuota pactada",IF(N($K17)&gt;36,"🟡 Acuerdo muy largo","✅ Acuerdo cerrado")))))</f>
        <v/>
      </c>
      <c r="N17" s="17" t="n"/>
      <c r="O17" s="1" t="n"/>
      <c r="P17" s="1" t="n"/>
      <c r="Q17" s="1" t="n"/>
      <c r="R17" s="1" t="n"/>
      <c r="S17" s="1" t="n"/>
      <c r="T17" s="1" t="n"/>
      <c r="U17" s="1" t="n"/>
      <c r="V17" s="1" t="n"/>
      <c r="W17" s="1" t="n"/>
      <c r="X17" s="1" t="n"/>
      <c r="Y17" s="1" t="n"/>
      <c r="Z17" s="1" t="n"/>
    </row>
    <row r="18">
      <c r="A18" s="1" t="n"/>
      <c r="B18" s="277" t="n"/>
      <c r="C18" s="206" t="n"/>
      <c r="D18" s="208" t="n"/>
      <c r="E18" s="13">
        <f>IF($D18="","",SUMIFS(Facturas!$I$6:$I$205,Facturas!$F$6:$F$205,$D18))</f>
        <v/>
      </c>
      <c r="F18" s="13">
        <f>IF($D18="","",N($E18)-N($G18))</f>
        <v/>
      </c>
      <c r="G18" s="222">
        <f>IF($D18="","",SUMIFS(Facturas!$K$6:$K$205,Facturas!$F$6:$F$205,$D18))</f>
        <v/>
      </c>
      <c r="H18" s="12" t="n"/>
      <c r="I18" s="226" t="n"/>
      <c r="J18" s="220">
        <f>IF(OR($D18="",N($H18)=0,$I18=""),"",EDATE($I18,CEILING(N($G18)/N($H18),1)))</f>
        <v/>
      </c>
      <c r="K18" s="16">
        <f>IF(OR($D18="",N($H18)=0),"",CEILING(N($G18)/N($H18),1))</f>
        <v/>
      </c>
      <c r="L18" s="208" t="n"/>
      <c r="M18" s="15">
        <f>IF($D18="","",IF(N($G18)=0,"✅ Devuelto",IF($L18&lt;&gt;"Sí","🔴 Sin acuerdo",IF(N($H18)=0,"🟠 Sin cuota pactada",IF(N($K18)&gt;36,"🟡 Acuerdo muy largo","✅ Acuerdo cerrado")))))</f>
        <v/>
      </c>
      <c r="N18" s="17" t="n"/>
      <c r="O18" s="1" t="n"/>
      <c r="P18" s="1" t="n"/>
      <c r="Q18" s="1" t="n"/>
      <c r="R18" s="1" t="n"/>
      <c r="S18" s="1" t="n"/>
      <c r="T18" s="1" t="n"/>
      <c r="U18" s="1" t="n"/>
      <c r="V18" s="1" t="n"/>
      <c r="W18" s="1" t="n"/>
      <c r="X18" s="1" t="n"/>
      <c r="Y18" s="1" t="n"/>
      <c r="Z18" s="1" t="n"/>
    </row>
    <row r="19">
      <c r="A19" s="1" t="n"/>
      <c r="B19" s="277" t="n"/>
      <c r="C19" s="206" t="n"/>
      <c r="D19" s="208" t="n"/>
      <c r="E19" s="13">
        <f>IF($D19="","",SUMIFS(Facturas!$I$6:$I$205,Facturas!$F$6:$F$205,$D19))</f>
        <v/>
      </c>
      <c r="F19" s="13">
        <f>IF($D19="","",N($E19)-N($G19))</f>
        <v/>
      </c>
      <c r="G19" s="222">
        <f>IF($D19="","",SUMIFS(Facturas!$K$6:$K$205,Facturas!$F$6:$F$205,$D19))</f>
        <v/>
      </c>
      <c r="H19" s="12" t="n"/>
      <c r="I19" s="226" t="n"/>
      <c r="J19" s="220">
        <f>IF(OR($D19="",N($H19)=0,$I19=""),"",EDATE($I19,CEILING(N($G19)/N($H19),1)))</f>
        <v/>
      </c>
      <c r="K19" s="16">
        <f>IF(OR($D19="",N($H19)=0),"",CEILING(N($G19)/N($H19),1))</f>
        <v/>
      </c>
      <c r="L19" s="208" t="n"/>
      <c r="M19" s="15">
        <f>IF($D19="","",IF(N($G19)=0,"✅ Devuelto",IF($L19&lt;&gt;"Sí","🔴 Sin acuerdo",IF(N($H19)=0,"🟠 Sin cuota pactada",IF(N($K19)&gt;36,"🟡 Acuerdo muy largo","✅ Acuerdo cerrado")))))</f>
        <v/>
      </c>
      <c r="N19" s="17" t="n"/>
      <c r="O19" s="1" t="n"/>
      <c r="P19" s="1" t="n"/>
      <c r="Q19" s="1" t="n"/>
      <c r="R19" s="1" t="n"/>
      <c r="S19" s="1" t="n"/>
      <c r="T19" s="1" t="n"/>
      <c r="U19" s="1" t="n"/>
      <c r="V19" s="1" t="n"/>
      <c r="W19" s="1" t="n"/>
      <c r="X19" s="1" t="n"/>
      <c r="Y19" s="1" t="n"/>
      <c r="Z19" s="1" t="n"/>
    </row>
    <row r="20">
      <c r="A20" s="1" t="n"/>
      <c r="B20" s="277" t="n"/>
      <c r="C20" s="206" t="n"/>
      <c r="D20" s="208" t="n"/>
      <c r="E20" s="13">
        <f>IF($D20="","",SUMIFS(Facturas!$I$6:$I$205,Facturas!$F$6:$F$205,$D20))</f>
        <v/>
      </c>
      <c r="F20" s="13">
        <f>IF($D20="","",N($E20)-N($G20))</f>
        <v/>
      </c>
      <c r="G20" s="222">
        <f>IF($D20="","",SUMIFS(Facturas!$K$6:$K$205,Facturas!$F$6:$F$205,$D20))</f>
        <v/>
      </c>
      <c r="H20" s="12" t="n"/>
      <c r="I20" s="226" t="n"/>
      <c r="J20" s="220">
        <f>IF(OR($D20="",N($H20)=0,$I20=""),"",EDATE($I20,CEILING(N($G20)/N($H20),1)))</f>
        <v/>
      </c>
      <c r="K20" s="16">
        <f>IF(OR($D20="",N($H20)=0),"",CEILING(N($G20)/N($H20),1))</f>
        <v/>
      </c>
      <c r="L20" s="208" t="n"/>
      <c r="M20" s="15">
        <f>IF($D20="","",IF(N($G20)=0,"✅ Devuelto",IF($L20&lt;&gt;"Sí","🔴 Sin acuerdo",IF(N($H20)=0,"🟠 Sin cuota pactada",IF(N($K20)&gt;36,"🟡 Acuerdo muy largo","✅ Acuerdo cerrado")))))</f>
        <v/>
      </c>
      <c r="N20" s="17" t="n"/>
      <c r="O20" s="1" t="n"/>
      <c r="P20" s="1" t="n"/>
      <c r="Q20" s="1" t="n"/>
      <c r="R20" s="1" t="n"/>
      <c r="S20" s="1" t="n"/>
      <c r="T20" s="1" t="n"/>
      <c r="U20" s="1" t="n"/>
      <c r="V20" s="1" t="n"/>
      <c r="W20" s="1" t="n"/>
      <c r="X20" s="1" t="n"/>
      <c r="Y20" s="1" t="n"/>
      <c r="Z20" s="1" t="n"/>
    </row>
    <row r="21" ht="15.75" customHeight="1" s="311">
      <c r="A21" s="1" t="n"/>
      <c r="B21" s="277" t="n"/>
      <c r="C21" s="206" t="n"/>
      <c r="D21" s="208" t="n"/>
      <c r="E21" s="13">
        <f>IF($D21="","",SUMIFS(Facturas!$I$6:$I$205,Facturas!$F$6:$F$205,$D21))</f>
        <v/>
      </c>
      <c r="F21" s="13">
        <f>IF($D21="","",N($E21)-N($G21))</f>
        <v/>
      </c>
      <c r="G21" s="222">
        <f>IF($D21="","",SUMIFS(Facturas!$K$6:$K$205,Facturas!$F$6:$F$205,$D21))</f>
        <v/>
      </c>
      <c r="H21" s="12" t="n"/>
      <c r="I21" s="226" t="n"/>
      <c r="J21" s="220">
        <f>IF(OR($D21="",N($H21)=0,$I21=""),"",EDATE($I21,CEILING(N($G21)/N($H21),1)))</f>
        <v/>
      </c>
      <c r="K21" s="16">
        <f>IF(OR($D21="",N($H21)=0),"",CEILING(N($G21)/N($H21),1))</f>
        <v/>
      </c>
      <c r="L21" s="208" t="n"/>
      <c r="M21" s="15">
        <f>IF($D21="","",IF(N($G21)=0,"✅ Devuelto",IF($L21&lt;&gt;"Sí","🔴 Sin acuerdo",IF(N($H21)=0,"🟠 Sin cuota pactada",IF(N($K21)&gt;36,"🟡 Acuerdo muy largo","✅ Acuerdo cerrado")))))</f>
        <v/>
      </c>
      <c r="N21" s="17" t="n"/>
      <c r="O21" s="1" t="n"/>
      <c r="P21" s="1" t="n"/>
      <c r="Q21" s="1" t="n"/>
      <c r="R21" s="1" t="n"/>
      <c r="S21" s="1" t="n"/>
      <c r="T21" s="1" t="n"/>
      <c r="U21" s="1" t="n"/>
      <c r="V21" s="1" t="n"/>
      <c r="W21" s="1" t="n"/>
      <c r="X21" s="1" t="n"/>
      <c r="Y21" s="1" t="n"/>
      <c r="Z21" s="1" t="n"/>
    </row>
    <row r="22" ht="15.75" customHeight="1" s="311">
      <c r="A22" s="1" t="n"/>
      <c r="B22" s="277" t="n"/>
      <c r="C22" s="206" t="n"/>
      <c r="D22" s="208" t="n"/>
      <c r="E22" s="13">
        <f>IF($D22="","",SUMIFS(Facturas!$I$6:$I$205,Facturas!$F$6:$F$205,$D22))</f>
        <v/>
      </c>
      <c r="F22" s="13">
        <f>IF($D22="","",N($E22)-N($G22))</f>
        <v/>
      </c>
      <c r="G22" s="222">
        <f>IF($D22="","",SUMIFS(Facturas!$K$6:$K$205,Facturas!$F$6:$F$205,$D22))</f>
        <v/>
      </c>
      <c r="H22" s="12" t="n"/>
      <c r="I22" s="226" t="n"/>
      <c r="J22" s="220">
        <f>IF(OR($D22="",N($H22)=0,$I22=""),"",EDATE($I22,CEILING(N($G22)/N($H22),1)))</f>
        <v/>
      </c>
      <c r="K22" s="16">
        <f>IF(OR($D22="",N($H22)=0),"",CEILING(N($G22)/N($H22),1))</f>
        <v/>
      </c>
      <c r="L22" s="208" t="n"/>
      <c r="M22" s="15">
        <f>IF($D22="","",IF(N($G22)=0,"✅ Devuelto",IF($L22&lt;&gt;"Sí","🔴 Sin acuerdo",IF(N($H22)=0,"🟠 Sin cuota pactada",IF(N($K22)&gt;36,"🟡 Acuerdo muy largo","✅ Acuerdo cerrado")))))</f>
        <v/>
      </c>
      <c r="N22" s="17" t="n"/>
      <c r="O22" s="1" t="n"/>
      <c r="P22" s="1" t="n"/>
      <c r="Q22" s="1" t="n"/>
      <c r="R22" s="1" t="n"/>
      <c r="S22" s="1" t="n"/>
      <c r="T22" s="1" t="n"/>
      <c r="U22" s="1" t="n"/>
      <c r="V22" s="1" t="n"/>
      <c r="W22" s="1" t="n"/>
      <c r="X22" s="1" t="n"/>
      <c r="Y22" s="1" t="n"/>
      <c r="Z22" s="1" t="n"/>
    </row>
    <row r="23" ht="15.75" customHeight="1" s="311">
      <c r="A23" s="1" t="n"/>
      <c r="B23" s="277" t="n"/>
      <c r="C23" s="206" t="n"/>
      <c r="D23" s="208" t="n"/>
      <c r="E23" s="13">
        <f>IF($D23="","",SUMIFS(Facturas!$I$6:$I$205,Facturas!$F$6:$F$205,$D23))</f>
        <v/>
      </c>
      <c r="F23" s="13">
        <f>IF($D23="","",N($E23)-N($G23))</f>
        <v/>
      </c>
      <c r="G23" s="222">
        <f>IF($D23="","",SUMIFS(Facturas!$K$6:$K$205,Facturas!$F$6:$F$205,$D23))</f>
        <v/>
      </c>
      <c r="H23" s="12" t="n"/>
      <c r="I23" s="226" t="n"/>
      <c r="J23" s="220">
        <f>IF(OR($D23="",N($H23)=0,$I23=""),"",EDATE($I23,CEILING(N($G23)/N($H23),1)))</f>
        <v/>
      </c>
      <c r="K23" s="16">
        <f>IF(OR($D23="",N($H23)=0),"",CEILING(N($G23)/N($H23),1))</f>
        <v/>
      </c>
      <c r="L23" s="208" t="n"/>
      <c r="M23" s="15">
        <f>IF($D23="","",IF(N($G23)=0,"✅ Devuelto",IF($L23&lt;&gt;"Sí","🔴 Sin acuerdo",IF(N($H23)=0,"🟠 Sin cuota pactada",IF(N($K23)&gt;36,"🟡 Acuerdo muy largo","✅ Acuerdo cerrado")))))</f>
        <v/>
      </c>
      <c r="N23" s="17" t="n"/>
      <c r="O23" s="1" t="n"/>
      <c r="P23" s="1" t="n"/>
      <c r="Q23" s="1" t="n"/>
      <c r="R23" s="1" t="n"/>
      <c r="S23" s="1" t="n"/>
      <c r="T23" s="1" t="n"/>
      <c r="U23" s="1" t="n"/>
      <c r="V23" s="1" t="n"/>
      <c r="W23" s="1" t="n"/>
      <c r="X23" s="1" t="n"/>
      <c r="Y23" s="1" t="n"/>
      <c r="Z23" s="1" t="n"/>
    </row>
    <row r="24" ht="15.75" customHeight="1" s="311">
      <c r="A24" s="1" t="n"/>
      <c r="B24" s="277" t="n"/>
      <c r="C24" s="206" t="n"/>
      <c r="D24" s="208" t="n"/>
      <c r="E24" s="13">
        <f>IF($D24="","",SUMIFS(Facturas!$I$6:$I$205,Facturas!$F$6:$F$205,$D24))</f>
        <v/>
      </c>
      <c r="F24" s="13">
        <f>IF($D24="","",N($E24)-N($G24))</f>
        <v/>
      </c>
      <c r="G24" s="222">
        <f>IF($D24="","",SUMIFS(Facturas!$K$6:$K$205,Facturas!$F$6:$F$205,$D24))</f>
        <v/>
      </c>
      <c r="H24" s="12" t="n"/>
      <c r="I24" s="226" t="n"/>
      <c r="J24" s="220">
        <f>IF(OR($D24="",N($H24)=0,$I24=""),"",EDATE($I24,CEILING(N($G24)/N($H24),1)))</f>
        <v/>
      </c>
      <c r="K24" s="16">
        <f>IF(OR($D24="",N($H24)=0),"",CEILING(N($G24)/N($H24),1))</f>
        <v/>
      </c>
      <c r="L24" s="208" t="n"/>
      <c r="M24" s="15">
        <f>IF($D24="","",IF(N($G24)=0,"✅ Devuelto",IF($L24&lt;&gt;"Sí","🔴 Sin acuerdo",IF(N($H24)=0,"🟠 Sin cuota pactada",IF(N($K24)&gt;36,"🟡 Acuerdo muy largo","✅ Acuerdo cerrado")))))</f>
        <v/>
      </c>
      <c r="N24" s="17" t="n"/>
      <c r="O24" s="1" t="n"/>
      <c r="P24" s="1" t="n"/>
      <c r="Q24" s="1" t="n"/>
      <c r="R24" s="1" t="n"/>
      <c r="S24" s="1" t="n"/>
      <c r="T24" s="1" t="n"/>
      <c r="U24" s="1" t="n"/>
      <c r="V24" s="1" t="n"/>
      <c r="W24" s="1" t="n"/>
      <c r="X24" s="1" t="n"/>
      <c r="Y24" s="1" t="n"/>
      <c r="Z24" s="1" t="n"/>
    </row>
    <row r="25" ht="15.75" customHeight="1" s="311">
      <c r="A25" s="1" t="n"/>
      <c r="B25" s="277" t="n"/>
      <c r="C25" s="206" t="n"/>
      <c r="D25" s="208" t="n"/>
      <c r="E25" s="13">
        <f>IF($D25="","",SUMIFS(Facturas!$I$6:$I$205,Facturas!$F$6:$F$205,$D25))</f>
        <v/>
      </c>
      <c r="F25" s="13">
        <f>IF($D25="","",N($E25)-N($G25))</f>
        <v/>
      </c>
      <c r="G25" s="222">
        <f>IF($D25="","",SUMIFS(Facturas!$K$6:$K$205,Facturas!$F$6:$F$205,$D25))</f>
        <v/>
      </c>
      <c r="H25" s="12" t="n"/>
      <c r="I25" s="226" t="n"/>
      <c r="J25" s="220">
        <f>IF(OR($D25="",N($H25)=0,$I25=""),"",EDATE($I25,CEILING(N($G25)/N($H25),1)))</f>
        <v/>
      </c>
      <c r="K25" s="16">
        <f>IF(OR($D25="",N($H25)=0),"",CEILING(N($G25)/N($H25),1))</f>
        <v/>
      </c>
      <c r="L25" s="208" t="n"/>
      <c r="M25" s="15">
        <f>IF($D25="","",IF(N($G25)=0,"✅ Devuelto",IF($L25&lt;&gt;"Sí","🔴 Sin acuerdo",IF(N($H25)=0,"🟠 Sin cuota pactada",IF(N($K25)&gt;36,"🟡 Acuerdo muy largo","✅ Acuerdo cerrado")))))</f>
        <v/>
      </c>
      <c r="N25" s="17" t="n"/>
      <c r="O25" s="1" t="n"/>
      <c r="P25" s="1" t="n"/>
      <c r="Q25" s="1" t="n"/>
      <c r="R25" s="1" t="n"/>
      <c r="S25" s="1" t="n"/>
      <c r="T25" s="1" t="n"/>
      <c r="U25" s="1" t="n"/>
      <c r="V25" s="1" t="n"/>
      <c r="W25" s="1" t="n"/>
      <c r="X25" s="1" t="n"/>
      <c r="Y25" s="1" t="n"/>
      <c r="Z25" s="1" t="n"/>
    </row>
    <row r="26" ht="15.75" customHeight="1" s="311">
      <c r="A26" s="1" t="n"/>
      <c r="B26" s="216" t="inlineStr">
        <is>
          <t>TOTAL</t>
        </is>
      </c>
      <c r="C26" s="53" t="n"/>
      <c r="D26" s="53" t="n"/>
      <c r="E26" s="47">
        <f>SUM(E$11:E$25)</f>
        <v/>
      </c>
      <c r="F26" s="47">
        <f>SUM(F$11:F$25)</f>
        <v/>
      </c>
      <c r="G26" s="47">
        <f>SUM(G$11:G$25)</f>
        <v/>
      </c>
      <c r="H26" s="47">
        <f>SUM(H$11:H$25)</f>
        <v/>
      </c>
      <c r="I26" s="216">
        <f>IF(SUM($G$11:$G$25)=0,"","Al ritmo pactado quedas libre en "&amp;TEXT(MAX($J$11:$J$25),"MMMM 'de' YYYY"))</f>
        <v/>
      </c>
      <c r="J26" s="403" t="n"/>
      <c r="K26" s="403" t="n"/>
      <c r="L26" s="403" t="n"/>
      <c r="M26" s="403" t="n"/>
      <c r="N26" s="395" t="n"/>
      <c r="O26" s="1" t="n"/>
      <c r="P26" s="1" t="n"/>
      <c r="Q26" s="1" t="n"/>
      <c r="R26" s="1" t="n"/>
      <c r="S26" s="1" t="n"/>
      <c r="T26" s="1" t="n"/>
      <c r="U26" s="1" t="n"/>
      <c r="V26" s="1" t="n"/>
      <c r="W26" s="1" t="n"/>
      <c r="X26" s="1" t="n"/>
      <c r="Y26" s="1" t="n"/>
      <c r="Z26" s="1" t="n"/>
    </row>
    <row r="27" ht="15.75" customHeight="1" s="31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48" customHeight="1" s="311">
      <c r="A28" s="1" t="n"/>
      <c r="B28" s="105" t="inlineStr">
        <is>
          <t>CÓMO CERRAR UN ACUERDO SIN QUE SEA INCÓMODO: no pidas perdón ni prometas de más. Di el importe exacto que debes, propón una cuota que puedas pagar SIEMPRE (mejor 50 € cumplidos doce meses que 150 € fallados al tercero) y pon una fecha final. Escríbelo aquí y manda un mensaje con lo acordado. La gente no se enfada por tardar; se enfada por no saber.</t>
        </is>
      </c>
      <c r="O28" s="1" t="n"/>
      <c r="P28" s="1" t="n"/>
      <c r="Q28" s="1" t="n"/>
      <c r="R28" s="1" t="n"/>
      <c r="S28" s="1" t="n"/>
      <c r="T28" s="1" t="n"/>
      <c r="U28" s="1" t="n"/>
      <c r="V28" s="1" t="n"/>
      <c r="W28" s="1" t="n"/>
      <c r="X28" s="1" t="n"/>
      <c r="Y28" s="1" t="n"/>
      <c r="Z28" s="1" t="n"/>
    </row>
    <row r="29" ht="15.75" customHeight="1" s="31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31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31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31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31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31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31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31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31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31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31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31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31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31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31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31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31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31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31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31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31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31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31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31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31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31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31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31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31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31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31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31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31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31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31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31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31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31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31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31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31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5">
    <mergeCell ref="B1:N1"/>
    <mergeCell ref="E4:N7"/>
    <mergeCell ref="I26:N26"/>
    <mergeCell ref="B2:N2"/>
    <mergeCell ref="B28:N28"/>
  </mergeCells>
  <conditionalFormatting sqref="M11:M25">
    <cfRule type="expression" priority="1" dxfId="0">
      <formula>ISNUMBER(SEARCH("🔴",$M11))</formula>
    </cfRule>
    <cfRule type="expression" priority="2" dxfId="12">
      <formula>ISNUMBER(SEARCH("✅",$M11))</formula>
    </cfRule>
    <cfRule type="expression" priority="3" dxfId="2">
      <formula>OR(ISNUMBER(SEARCH("🟠",$M11)),ISNUMBER(SEARCH("🟡",$M11)))</formula>
    </cfRule>
  </conditionalFormatting>
  <dataValidations count="1">
    <dataValidation sqref="L11:L25" showDropDown="0" showInputMessage="0" showErrorMessage="0" allowBlank="1" type="list">
      <formula1>"Sí,No"</formula1>
    </dataValidation>
  </dataValidation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3" defaultRowHeight="15" customHeight="1"/>
  <cols>
    <col width="2.14" customWidth="1" style="311" min="1" max="1"/>
    <col width="6" customWidth="1" style="311" min="2" max="2"/>
    <col width="26" customWidth="1" style="311" min="3" max="3"/>
    <col width="24" customWidth="1" style="311" min="4" max="4"/>
    <col width="20" customWidth="1" style="311" min="5" max="5"/>
    <col width="13" customWidth="1" style="311" min="6" max="6"/>
    <col width="20.29" customWidth="1" style="311" min="7" max="7"/>
    <col width="26" customWidth="1" style="311" min="8" max="8"/>
    <col width="16.57" customWidth="1" style="311" min="9" max="9"/>
    <col width="13" customWidth="1" style="311" min="10" max="11"/>
    <col width="30" customWidth="1" style="311" min="12" max="12"/>
  </cols>
  <sheetData>
    <row r="1" ht="30" customHeight="1" s="311">
      <c r="A1" s="1" t="n"/>
      <c r="B1" s="2" t="inlineStr">
        <is>
          <t>FACTURAS RECURRENTES  —  generador</t>
        </is>
      </c>
      <c r="M1" s="1" t="n"/>
      <c r="N1" s="1" t="n"/>
      <c r="O1" s="1" t="n"/>
      <c r="P1" s="1" t="n"/>
      <c r="Q1" s="1" t="n"/>
      <c r="R1" s="1" t="n"/>
      <c r="S1" s="1" t="n"/>
      <c r="T1" s="1" t="n"/>
      <c r="U1" s="1" t="n"/>
      <c r="V1" s="1" t="n"/>
      <c r="W1" s="1" t="n"/>
      <c r="X1" s="1" t="n"/>
      <c r="Y1" s="1" t="n"/>
      <c r="Z1" s="1" t="n"/>
    </row>
    <row r="2" ht="39.75" customHeight="1" s="311">
      <c r="A2" s="1" t="n"/>
      <c r="B2" s="3" t="inlineStr">
        <is>
          <t>Metiste a mano las ocho cuotas de Hacienda y las nueve de la comunidad. Esto lo evita: defines la plantilla una vez, eliges cuántos meses quieres y abajo aparecen las filas ya hechas para copiar y pegar en la hoja Facturas. Copia el rango C-L del bloque B y pégalo en la primera fila libre de Facturas, sobre las columnas B a L.</t>
        </is>
      </c>
      <c r="M2" s="1" t="n"/>
      <c r="N2" s="1" t="n"/>
      <c r="O2" s="1" t="n"/>
      <c r="P2" s="1" t="n"/>
      <c r="Q2" s="1" t="n"/>
      <c r="R2" s="1" t="n"/>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4" customHeight="1" s="311">
      <c r="A4" s="1" t="n"/>
      <c r="B4" s="10" t="inlineStr">
        <is>
          <t>A.  PLANTILLAS  —  tus gastos que se repiten</t>
        </is>
      </c>
      <c r="M4" s="1" t="n"/>
      <c r="N4" s="1" t="n"/>
      <c r="O4" s="1" t="n"/>
      <c r="P4" s="1" t="n"/>
      <c r="Q4" s="1" t="n"/>
      <c r="R4" s="1" t="n"/>
      <c r="S4" s="1" t="n"/>
      <c r="T4" s="1" t="n"/>
      <c r="U4" s="1" t="n"/>
      <c r="V4" s="1" t="n"/>
      <c r="W4" s="1" t="n"/>
      <c r="X4" s="1" t="n"/>
      <c r="Y4" s="1" t="n"/>
      <c r="Z4" s="1" t="n"/>
    </row>
    <row r="5" ht="31.5" customHeight="1" s="311">
      <c r="A5" s="1" t="n"/>
      <c r="B5" s="11" t="inlineStr">
        <is>
          <t>#</t>
        </is>
      </c>
      <c r="C5" s="11" t="inlineStr">
        <is>
          <t>Concepto</t>
        </is>
      </c>
      <c r="D5" s="11" t="inlineStr">
        <is>
          <t>Proveedor / Emisor</t>
        </is>
      </c>
      <c r="E5" s="11" t="inlineStr">
        <is>
          <t>Categoría</t>
        </is>
      </c>
      <c r="F5" s="11" t="inlineStr">
        <is>
          <t>Importe (€)</t>
        </is>
      </c>
      <c r="G5" s="11" t="inlineStr">
        <is>
          <t>Día de
vencimiento</t>
        </is>
      </c>
      <c r="H5" s="11" t="inlineStr">
        <is>
          <t>Cuenta de pago</t>
        </is>
      </c>
      <c r="I5" s="11" t="inlineStr">
        <is>
          <t>Nº de
meses</t>
        </is>
      </c>
      <c r="J5" s="11" t="inlineStr">
        <is>
          <t>Primer
vencimiento</t>
        </is>
      </c>
      <c r="K5" s="11" t="inlineStr">
        <is>
          <t>Total del
plan (€)</t>
        </is>
      </c>
      <c r="L5" s="11" t="inlineStr">
        <is>
          <t>Notas</t>
        </is>
      </c>
      <c r="M5" s="1" t="n"/>
      <c r="N5" s="1" t="n"/>
      <c r="O5" s="1" t="n"/>
      <c r="P5" s="1" t="n"/>
      <c r="Q5" s="1" t="n"/>
      <c r="R5" s="1" t="n"/>
      <c r="S5" s="1" t="n"/>
      <c r="T5" s="1" t="n"/>
      <c r="U5" s="1" t="n"/>
      <c r="V5" s="1" t="n"/>
      <c r="W5" s="1" t="n"/>
      <c r="X5" s="1" t="n"/>
      <c r="Y5" s="1" t="n"/>
      <c r="Z5" s="1" t="n"/>
    </row>
    <row r="6" ht="18" customHeight="1" s="311">
      <c r="A6" s="1" t="n"/>
      <c r="B6" s="204" t="n">
        <v>1</v>
      </c>
      <c r="C6" s="277" t="inlineStr">
        <is>
          <t>Cuota de la hipoteca</t>
        </is>
      </c>
      <c r="D6" s="206" t="inlineStr">
        <is>
          <t>Banco (hipoteca)</t>
        </is>
      </c>
      <c r="E6" s="206" t="inlineStr">
        <is>
          <t>Hipoteca</t>
        </is>
      </c>
      <c r="F6" s="12" t="n">
        <v>431</v>
      </c>
      <c r="G6" s="207" t="n">
        <v>1</v>
      </c>
      <c r="H6" s="206" t="inlineStr">
        <is>
          <t>CaixaBank (corriente 9914)</t>
        </is>
      </c>
      <c r="I6" s="207" t="n">
        <v>12</v>
      </c>
      <c r="J6" s="226" t="n">
        <v>46266</v>
      </c>
      <c r="K6" s="222">
        <f>IF($C6="","",N($F6)*N($I6))</f>
        <v/>
      </c>
      <c r="L6" s="209" t="n"/>
      <c r="M6" s="1" t="n"/>
      <c r="N6" s="1" t="n"/>
      <c r="O6" s="1" t="n"/>
      <c r="P6" s="1" t="n"/>
      <c r="Q6" s="1" t="n"/>
      <c r="R6" s="1" t="n"/>
      <c r="S6" s="1" t="n"/>
      <c r="T6" s="1" t="n"/>
      <c r="U6" s="1" t="n"/>
      <c r="V6" s="1" t="n"/>
      <c r="W6" s="1" t="n"/>
      <c r="X6" s="1" t="n"/>
      <c r="Y6" s="1" t="n"/>
      <c r="Z6" s="1" t="n"/>
    </row>
    <row r="7" ht="18" customHeight="1" s="311">
      <c r="A7" s="1" t="n"/>
      <c r="B7" s="204" t="n">
        <v>2</v>
      </c>
      <c r="C7" s="277" t="inlineStr">
        <is>
          <t>Compra del mes</t>
        </is>
      </c>
      <c r="D7" s="206" t="inlineStr">
        <is>
          <t>Supermercado</t>
        </is>
      </c>
      <c r="E7" s="206" t="inlineStr">
        <is>
          <t>Alimentación</t>
        </is>
      </c>
      <c r="F7" s="12" t="n">
        <v>345</v>
      </c>
      <c r="G7" s="207" t="n">
        <v>10</v>
      </c>
      <c r="H7" s="206" t="inlineStr">
        <is>
          <t>CaixaBank (corriente 9914)</t>
        </is>
      </c>
      <c r="I7" s="207" t="n">
        <v>12</v>
      </c>
      <c r="J7" s="226" t="n">
        <v>46275</v>
      </c>
      <c r="K7" s="222">
        <f>IF($C7="","",N($F7)*N($I7))</f>
        <v/>
      </c>
      <c r="L7" s="209" t="n"/>
      <c r="M7" s="1" t="n"/>
      <c r="N7" s="1" t="n"/>
      <c r="O7" s="1" t="n"/>
      <c r="P7" s="1" t="n"/>
      <c r="Q7" s="1" t="n"/>
      <c r="R7" s="1" t="n"/>
      <c r="S7" s="1" t="n"/>
      <c r="T7" s="1" t="n"/>
      <c r="U7" s="1" t="n"/>
      <c r="V7" s="1" t="n"/>
      <c r="W7" s="1" t="n"/>
      <c r="X7" s="1" t="n"/>
      <c r="Y7" s="1" t="n"/>
      <c r="Z7" s="1" t="n"/>
    </row>
    <row r="8" ht="18" customHeight="1" s="311">
      <c r="A8" s="1" t="n"/>
      <c r="B8" s="204" t="n">
        <v>3</v>
      </c>
      <c r="C8" s="277" t="inlineStr">
        <is>
          <t>Datos móviles e iPhone</t>
        </is>
      </c>
      <c r="D8" s="206" t="inlineStr">
        <is>
          <t>Operadora</t>
        </is>
      </c>
      <c r="E8" s="206" t="inlineStr">
        <is>
          <t>Telefonía y datos</t>
        </is>
      </c>
      <c r="F8" s="12" t="n">
        <v>90</v>
      </c>
      <c r="G8" s="207" t="n">
        <v>12</v>
      </c>
      <c r="H8" s="206" t="inlineStr">
        <is>
          <t>CaixaBank (corriente 9914)</t>
        </is>
      </c>
      <c r="I8" s="207" t="n">
        <v>12</v>
      </c>
      <c r="J8" s="226" t="n">
        <v>46277</v>
      </c>
      <c r="K8" s="222">
        <f>IF($C8="","",N($F8)*N($I8))</f>
        <v/>
      </c>
      <c r="L8" s="209" t="inlineStr">
        <is>
          <t>Si consigues bajarla a 20 €, cambia el importe aquí y se propaga a todo el plan.</t>
        </is>
      </c>
      <c r="M8" s="1" t="n"/>
      <c r="N8" s="1" t="n"/>
      <c r="O8" s="1" t="n"/>
      <c r="P8" s="1" t="n"/>
      <c r="Q8" s="1" t="n"/>
      <c r="R8" s="1" t="n"/>
      <c r="S8" s="1" t="n"/>
      <c r="T8" s="1" t="n"/>
      <c r="U8" s="1" t="n"/>
      <c r="V8" s="1" t="n"/>
      <c r="W8" s="1" t="n"/>
      <c r="X8" s="1" t="n"/>
      <c r="Y8" s="1" t="n"/>
      <c r="Z8" s="1" t="n"/>
    </row>
    <row r="9" ht="18" customHeight="1" s="311">
      <c r="A9" s="1" t="n"/>
      <c r="B9" s="204" t="n">
        <v>4</v>
      </c>
      <c r="C9" s="277" t="inlineStr">
        <is>
          <t>Factura del agua</t>
        </is>
      </c>
      <c r="D9" s="206" t="inlineStr">
        <is>
          <t>Veolia (Viaqua)</t>
        </is>
      </c>
      <c r="E9" s="206" t="inlineStr">
        <is>
          <t>Agua</t>
        </is>
      </c>
      <c r="F9" s="12" t="n">
        <v>45</v>
      </c>
      <c r="G9" s="207" t="n">
        <v>16</v>
      </c>
      <c r="H9" s="206" t="inlineStr">
        <is>
          <t>CaixaBank (corriente 9914)</t>
        </is>
      </c>
      <c r="I9" s="207" t="n">
        <v>6</v>
      </c>
      <c r="J9" s="226" t="n">
        <v>46281</v>
      </c>
      <c r="K9" s="222">
        <f>IF($C9="","",N($F9)*N($I9))</f>
        <v/>
      </c>
      <c r="L9" s="209" t="inlineStr">
        <is>
          <t>Bimestral: ajusta el nº de meses.</t>
        </is>
      </c>
      <c r="M9" s="1" t="n"/>
      <c r="N9" s="1" t="n"/>
      <c r="O9" s="1" t="n"/>
      <c r="P9" s="1" t="n"/>
      <c r="Q9" s="1" t="n"/>
      <c r="R9" s="1" t="n"/>
      <c r="S9" s="1" t="n"/>
      <c r="T9" s="1" t="n"/>
      <c r="U9" s="1" t="n"/>
      <c r="V9" s="1" t="n"/>
      <c r="W9" s="1" t="n"/>
      <c r="X9" s="1" t="n"/>
      <c r="Y9" s="1" t="n"/>
      <c r="Z9" s="1" t="n"/>
    </row>
    <row r="10" ht="18" customHeight="1" s="311">
      <c r="A10" s="1" t="n"/>
      <c r="B10" s="204" t="n">
        <v>5</v>
      </c>
      <c r="C10" s="277" t="inlineStr">
        <is>
          <t>Factura de la luz</t>
        </is>
      </c>
      <c r="D10" s="206" t="inlineStr">
        <is>
          <t>Iberdrola</t>
        </is>
      </c>
      <c r="E10" s="206" t="inlineStr">
        <is>
          <t>Luz</t>
        </is>
      </c>
      <c r="F10" s="12" t="n">
        <v>42</v>
      </c>
      <c r="G10" s="207" t="n">
        <v>18</v>
      </c>
      <c r="H10" s="206" t="inlineStr">
        <is>
          <t>CaixaBank (corriente 9914)</t>
        </is>
      </c>
      <c r="I10" s="207" t="n">
        <v>12</v>
      </c>
      <c r="J10" s="226" t="n">
        <v>46283</v>
      </c>
      <c r="K10" s="222">
        <f>IF($C10="","",N($F10)*N($I10))</f>
        <v/>
      </c>
      <c r="L10" s="209" t="n"/>
      <c r="M10" s="1" t="n"/>
      <c r="N10" s="1" t="n"/>
      <c r="O10" s="1" t="n"/>
      <c r="P10" s="1" t="n"/>
      <c r="Q10" s="1" t="n"/>
      <c r="R10" s="1" t="n"/>
      <c r="S10" s="1" t="n"/>
      <c r="T10" s="1" t="n"/>
      <c r="U10" s="1" t="n"/>
      <c r="V10" s="1" t="n"/>
      <c r="W10" s="1" t="n"/>
      <c r="X10" s="1" t="n"/>
      <c r="Y10" s="1" t="n"/>
      <c r="Z10" s="1" t="n"/>
    </row>
    <row r="11" ht="18" customHeight="1" s="311">
      <c r="A11" s="1" t="n"/>
      <c r="B11" s="204" t="n">
        <v>6</v>
      </c>
      <c r="C11" s="277" t="inlineStr">
        <is>
          <t>Cuota de comunidad</t>
        </is>
      </c>
      <c r="D11" s="206" t="inlineStr">
        <is>
          <t>Comunidad Capitol</t>
        </is>
      </c>
      <c r="E11" s="206" t="inlineStr">
        <is>
          <t>Comunidad</t>
        </is>
      </c>
      <c r="F11" s="12" t="n">
        <v>30</v>
      </c>
      <c r="G11" s="207" t="n">
        <v>20</v>
      </c>
      <c r="H11" s="206" t="inlineStr">
        <is>
          <t>CaixaBank (corriente 9914)</t>
        </is>
      </c>
      <c r="I11" s="207" t="n">
        <v>12</v>
      </c>
      <c r="J11" s="226" t="n">
        <v>46285</v>
      </c>
      <c r="K11" s="222">
        <f>IF($C11="","",N($F11)*N($I11))</f>
        <v/>
      </c>
      <c r="L11" s="209" t="n"/>
      <c r="M11" s="1" t="n"/>
      <c r="N11" s="1" t="n"/>
      <c r="O11" s="1" t="n"/>
      <c r="P11" s="1" t="n"/>
      <c r="Q11" s="1" t="n"/>
      <c r="R11" s="1" t="n"/>
      <c r="S11" s="1" t="n"/>
      <c r="T11" s="1" t="n"/>
      <c r="U11" s="1" t="n"/>
      <c r="V11" s="1" t="n"/>
      <c r="W11" s="1" t="n"/>
      <c r="X11" s="1" t="n"/>
      <c r="Y11" s="1" t="n"/>
      <c r="Z11" s="1" t="n"/>
    </row>
    <row r="12" ht="18" customHeight="1" s="311">
      <c r="A12" s="1" t="n"/>
      <c r="B12" s="204" t="n">
        <v>7</v>
      </c>
      <c r="C12" s="277" t="inlineStr">
        <is>
          <t>Fraccionamiento de Hacienda</t>
        </is>
      </c>
      <c r="D12" s="206" t="inlineStr">
        <is>
          <t>Agencia Tributaria</t>
        </is>
      </c>
      <c r="E12" s="206" t="inlineStr">
        <is>
          <t>Impuestos y hacienda</t>
        </is>
      </c>
      <c r="F12" s="12" t="n">
        <v>76.48</v>
      </c>
      <c r="G12" s="207" t="n">
        <v>5</v>
      </c>
      <c r="H12" s="206" t="inlineStr">
        <is>
          <t>CaixaBank (corriente 9914)</t>
        </is>
      </c>
      <c r="I12" s="207" t="n">
        <v>8</v>
      </c>
      <c r="J12" s="226" t="n">
        <v>46272</v>
      </c>
      <c r="K12" s="222">
        <f>IF($C12="","",N($F12)*N($I12))</f>
        <v/>
      </c>
      <c r="L12" s="209" t="inlineStr">
        <is>
          <t>Expediente 152640329330L. Ya tienes cargadas las cuotas hasta 03/2027.</t>
        </is>
      </c>
      <c r="M12" s="1" t="n"/>
      <c r="N12" s="1" t="n"/>
      <c r="O12" s="1" t="n"/>
      <c r="P12" s="1" t="n"/>
      <c r="Q12" s="1" t="n"/>
      <c r="R12" s="1" t="n"/>
      <c r="S12" s="1" t="n"/>
      <c r="T12" s="1" t="n"/>
      <c r="U12" s="1" t="n"/>
      <c r="V12" s="1" t="n"/>
      <c r="W12" s="1" t="n"/>
      <c r="X12" s="1" t="n"/>
      <c r="Y12" s="1" t="n"/>
      <c r="Z12" s="1" t="n"/>
    </row>
    <row r="13" ht="18" customHeight="1" s="311">
      <c r="A13" s="1" t="n"/>
      <c r="B13" s="204" t="n">
        <v>8</v>
      </c>
      <c r="C13" s="277" t="inlineStr">
        <is>
          <t>Pago mensual del crédito</t>
        </is>
      </c>
      <c r="D13" s="206" t="inlineStr">
        <is>
          <t>Imagin Crédito (CaixaBank)</t>
        </is>
      </c>
      <c r="E13" s="206" t="inlineStr">
        <is>
          <t>Crédito comercial</t>
        </is>
      </c>
      <c r="F13" s="12" t="n">
        <v>50</v>
      </c>
      <c r="G13" s="207" t="n">
        <v>1</v>
      </c>
      <c r="H13" s="206" t="inlineStr">
        <is>
          <t>CaixaBank (corriente 9914)</t>
        </is>
      </c>
      <c r="I13" s="207" t="n">
        <v>12</v>
      </c>
      <c r="J13" s="226" t="n">
        <v>46266</v>
      </c>
      <c r="K13" s="222">
        <f>IF($C13="","",N($F13)*N($I13))</f>
        <v/>
      </c>
      <c r="L13" s="209" t="n"/>
      <c r="M13" s="1" t="n"/>
      <c r="N13" s="1" t="n"/>
      <c r="O13" s="1" t="n"/>
      <c r="P13" s="1" t="n"/>
      <c r="Q13" s="1" t="n"/>
      <c r="R13" s="1" t="n"/>
      <c r="S13" s="1" t="n"/>
      <c r="T13" s="1" t="n"/>
      <c r="U13" s="1" t="n"/>
      <c r="V13" s="1" t="n"/>
      <c r="W13" s="1" t="n"/>
      <c r="X13" s="1" t="n"/>
      <c r="Y13" s="1" t="n"/>
      <c r="Z13" s="1" t="n"/>
    </row>
    <row r="14" ht="18" customHeight="1" s="311">
      <c r="A14" s="1" t="n"/>
      <c r="B14" s="204" t="n">
        <v>9</v>
      </c>
      <c r="C14" s="277" t="inlineStr">
        <is>
          <t>Crédito lavadora y microondas</t>
        </is>
      </c>
      <c r="D14" s="206" t="inlineStr">
        <is>
          <t>Karma Market</t>
        </is>
      </c>
      <c r="E14" s="206" t="inlineStr">
        <is>
          <t>Crédito comercial</t>
        </is>
      </c>
      <c r="F14" s="12" t="n">
        <v>98</v>
      </c>
      <c r="G14" s="207" t="n">
        <v>30</v>
      </c>
      <c r="H14" s="206" t="inlineStr">
        <is>
          <t>Banco Bilbao Vizcaya (BBVA)</t>
        </is>
      </c>
      <c r="I14" s="207" t="n">
        <v>3</v>
      </c>
      <c r="J14" s="226" t="n">
        <v>46295</v>
      </c>
      <c r="K14" s="222">
        <f>IF($C14="","",N($F14)*N($I14))</f>
        <v/>
      </c>
      <c r="L14" s="209" t="n"/>
      <c r="M14" s="1" t="n"/>
      <c r="N14" s="1" t="n"/>
      <c r="O14" s="1" t="n"/>
      <c r="P14" s="1" t="n"/>
      <c r="Q14" s="1" t="n"/>
      <c r="R14" s="1" t="n"/>
      <c r="S14" s="1" t="n"/>
      <c r="T14" s="1" t="n"/>
      <c r="U14" s="1" t="n"/>
      <c r="V14" s="1" t="n"/>
      <c r="W14" s="1" t="n"/>
      <c r="X14" s="1" t="n"/>
      <c r="Y14" s="1" t="n"/>
      <c r="Z14" s="1" t="n"/>
    </row>
    <row r="15" ht="18" customHeight="1" s="311">
      <c r="A15" s="1" t="n"/>
      <c r="B15" s="204" t="n">
        <v>10</v>
      </c>
      <c r="C15" s="277" t="inlineStr">
        <is>
          <t>Devolución a particular</t>
        </is>
      </c>
      <c r="D15" s="206" t="inlineStr">
        <is>
          <t>Jose Antonio Garcia</t>
        </is>
      </c>
      <c r="E15" s="206" t="inlineStr">
        <is>
          <t>Préstamo particular</t>
        </is>
      </c>
      <c r="F15" s="12" t="n">
        <v>0</v>
      </c>
      <c r="G15" s="207" t="n">
        <v>5</v>
      </c>
      <c r="H15" s="206" t="inlineStr">
        <is>
          <t>Efectivo</t>
        </is>
      </c>
      <c r="I15" s="207" t="n">
        <v>24</v>
      </c>
      <c r="J15" s="226" t="n">
        <v>46270</v>
      </c>
      <c r="K15" s="222">
        <f>IF($C15="","",N($F15)*N($I15))</f>
        <v/>
      </c>
      <c r="L15" s="209" t="inlineStr">
        <is>
          <t>Rellena el importe cuando cierres el acuerdo en la hoja Acuerdos.</t>
        </is>
      </c>
      <c r="M15" s="1" t="n"/>
      <c r="N15" s="1" t="n"/>
      <c r="O15" s="1" t="n"/>
      <c r="P15" s="1" t="n"/>
      <c r="Q15" s="1" t="n"/>
      <c r="R15" s="1" t="n"/>
      <c r="S15" s="1" t="n"/>
      <c r="T15" s="1" t="n"/>
      <c r="U15" s="1" t="n"/>
      <c r="V15" s="1" t="n"/>
      <c r="W15" s="1" t="n"/>
      <c r="X15" s="1" t="n"/>
      <c r="Y15" s="1" t="n"/>
      <c r="Z15" s="1" t="n"/>
    </row>
    <row r="16" ht="18" customHeight="1" s="311">
      <c r="A16" s="1" t="n"/>
      <c r="B16" s="204" t="n">
        <v>11</v>
      </c>
      <c r="C16" s="277" t="n"/>
      <c r="D16" s="206" t="n"/>
      <c r="E16" s="206" t="n"/>
      <c r="F16" s="12" t="n"/>
      <c r="G16" s="207" t="n"/>
      <c r="H16" s="206" t="n"/>
      <c r="I16" s="207" t="n"/>
      <c r="J16" s="226" t="n"/>
      <c r="K16" s="222">
        <f>IF($C16="","",N($F16)*N($I16))</f>
        <v/>
      </c>
      <c r="L16" s="209" t="n"/>
      <c r="M16" s="1" t="n"/>
      <c r="N16" s="1" t="n"/>
      <c r="O16" s="1" t="n"/>
      <c r="P16" s="1" t="n"/>
      <c r="Q16" s="1" t="n"/>
      <c r="R16" s="1" t="n"/>
      <c r="S16" s="1" t="n"/>
      <c r="T16" s="1" t="n"/>
      <c r="U16" s="1" t="n"/>
      <c r="V16" s="1" t="n"/>
      <c r="W16" s="1" t="n"/>
      <c r="X16" s="1" t="n"/>
      <c r="Y16" s="1" t="n"/>
      <c r="Z16" s="1" t="n"/>
    </row>
    <row r="17" ht="18" customHeight="1" s="311">
      <c r="A17" s="1" t="n"/>
      <c r="B17" s="204" t="n">
        <v>12</v>
      </c>
      <c r="C17" s="277" t="n"/>
      <c r="D17" s="206" t="n"/>
      <c r="E17" s="206" t="n"/>
      <c r="F17" s="12" t="n"/>
      <c r="G17" s="207" t="n"/>
      <c r="H17" s="206" t="n"/>
      <c r="I17" s="207" t="n"/>
      <c r="J17" s="226" t="n"/>
      <c r="K17" s="222">
        <f>IF($C17="","",N($F17)*N($I17))</f>
        <v/>
      </c>
      <c r="L17" s="209" t="n"/>
      <c r="M17" s="1" t="n"/>
      <c r="N17" s="1" t="n"/>
      <c r="O17" s="1" t="n"/>
      <c r="P17" s="1" t="n"/>
      <c r="Q17" s="1" t="n"/>
      <c r="R17" s="1" t="n"/>
      <c r="S17" s="1" t="n"/>
      <c r="T17" s="1" t="n"/>
      <c r="U17" s="1" t="n"/>
      <c r="V17" s="1" t="n"/>
      <c r="W17" s="1" t="n"/>
      <c r="X17" s="1" t="n"/>
      <c r="Y17" s="1" t="n"/>
      <c r="Z17" s="1" t="n"/>
    </row>
    <row r="18" ht="18" customHeight="1" s="311">
      <c r="A18" s="1" t="n"/>
      <c r="B18" s="204" t="n">
        <v>13</v>
      </c>
      <c r="C18" s="277" t="n"/>
      <c r="D18" s="206" t="n"/>
      <c r="E18" s="206" t="n"/>
      <c r="F18" s="12" t="n"/>
      <c r="G18" s="207" t="n"/>
      <c r="H18" s="206" t="n"/>
      <c r="I18" s="207" t="n"/>
      <c r="J18" s="226" t="n"/>
      <c r="K18" s="222">
        <f>IF($C18="","",N($F18)*N($I18))</f>
        <v/>
      </c>
      <c r="L18" s="209" t="n"/>
      <c r="M18" s="1" t="n"/>
      <c r="N18" s="1" t="n"/>
      <c r="O18" s="1" t="n"/>
      <c r="P18" s="1" t="n"/>
      <c r="Q18" s="1" t="n"/>
      <c r="R18" s="1" t="n"/>
      <c r="S18" s="1" t="n"/>
      <c r="T18" s="1" t="n"/>
      <c r="U18" s="1" t="n"/>
      <c r="V18" s="1" t="n"/>
      <c r="W18" s="1" t="n"/>
      <c r="X18" s="1" t="n"/>
      <c r="Y18" s="1" t="n"/>
      <c r="Z18" s="1" t="n"/>
    </row>
    <row r="19" ht="18" customHeight="1" s="311">
      <c r="A19" s="1" t="n"/>
      <c r="B19" s="204" t="n">
        <v>14</v>
      </c>
      <c r="C19" s="277" t="n"/>
      <c r="D19" s="206" t="n"/>
      <c r="E19" s="206" t="n"/>
      <c r="F19" s="12" t="n"/>
      <c r="G19" s="207" t="n"/>
      <c r="H19" s="206" t="n"/>
      <c r="I19" s="207" t="n"/>
      <c r="J19" s="226" t="n"/>
      <c r="K19" s="222">
        <f>IF($C19="","",N($F19)*N($I19))</f>
        <v/>
      </c>
      <c r="L19" s="209" t="n"/>
      <c r="M19" s="1" t="n"/>
      <c r="N19" s="1" t="n"/>
      <c r="O19" s="1" t="n"/>
      <c r="P19" s="1" t="n"/>
      <c r="Q19" s="1" t="n"/>
      <c r="R19" s="1" t="n"/>
      <c r="S19" s="1" t="n"/>
      <c r="T19" s="1" t="n"/>
      <c r="U19" s="1" t="n"/>
      <c r="V19" s="1" t="n"/>
      <c r="W19" s="1" t="n"/>
      <c r="X19" s="1" t="n"/>
      <c r="Y19" s="1" t="n"/>
      <c r="Z19" s="1" t="n"/>
    </row>
    <row r="20" ht="18" customHeight="1" s="311">
      <c r="A20" s="1" t="n"/>
      <c r="B20" s="204" t="n">
        <v>15</v>
      </c>
      <c r="C20" s="277" t="n"/>
      <c r="D20" s="206" t="n"/>
      <c r="E20" s="206" t="n"/>
      <c r="F20" s="12" t="n"/>
      <c r="G20" s="207" t="n"/>
      <c r="H20" s="206" t="n"/>
      <c r="I20" s="207" t="n"/>
      <c r="J20" s="226" t="n"/>
      <c r="K20" s="222">
        <f>IF($C20="","",N($F20)*N($I20))</f>
        <v/>
      </c>
      <c r="L20" s="209" t="n"/>
      <c r="M20" s="1" t="n"/>
      <c r="N20" s="1" t="n"/>
      <c r="O20" s="1" t="n"/>
      <c r="P20" s="1" t="n"/>
      <c r="Q20" s="1" t="n"/>
      <c r="R20" s="1" t="n"/>
      <c r="S20" s="1" t="n"/>
      <c r="T20" s="1" t="n"/>
      <c r="U20" s="1" t="n"/>
      <c r="V20" s="1" t="n"/>
      <c r="W20" s="1" t="n"/>
      <c r="X20" s="1" t="n"/>
      <c r="Y20" s="1" t="n"/>
      <c r="Z20" s="1" t="n"/>
    </row>
    <row r="21" ht="15.75" customHeight="1" s="311">
      <c r="A21" s="1" t="n"/>
      <c r="B21" s="53" t="n"/>
      <c r="C21" s="216" t="inlineStr">
        <is>
          <t>TOTAL COMPROMETIDO EN LOS PLANES</t>
        </is>
      </c>
      <c r="D21" s="216">
        <f>IF($F$21=0,"","Suma mensual de todas las plantillas: "&amp;TEXT($F$21,"#,##0.00")&amp;" €")</f>
        <v/>
      </c>
      <c r="E21" s="395" t="n"/>
      <c r="F21" s="47">
        <f>SUMPRODUCT(N($F$6:$F$20))</f>
        <v/>
      </c>
      <c r="G21" s="53" t="n"/>
      <c r="H21" s="53" t="n"/>
      <c r="I21" s="53" t="n"/>
      <c r="J21" s="53" t="n"/>
      <c r="K21" s="47">
        <f>SUM($K$6:$K$20)</f>
        <v/>
      </c>
      <c r="L21" s="53" t="n"/>
      <c r="M21" s="1" t="n"/>
      <c r="N21" s="1" t="n"/>
      <c r="O21" s="1" t="n"/>
      <c r="P21" s="1" t="n"/>
      <c r="Q21" s="1" t="n"/>
      <c r="R21" s="1" t="n"/>
      <c r="S21" s="1" t="n"/>
      <c r="T21" s="1" t="n"/>
      <c r="U21" s="1" t="n"/>
      <c r="V21" s="1" t="n"/>
      <c r="W21" s="1" t="n"/>
      <c r="X21" s="1" t="n"/>
      <c r="Y21" s="1" t="n"/>
      <c r="Z21" s="1" t="n"/>
    </row>
    <row r="22" ht="15.75" customHeight="1" s="31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24" customHeight="1" s="311">
      <c r="A23" s="1" t="n"/>
      <c r="B23" s="10" t="inlineStr">
        <is>
          <t>B.  GENERADOR  —  elige una plantilla y copia las filas</t>
        </is>
      </c>
      <c r="M23" s="1" t="n"/>
      <c r="N23" s="1" t="n"/>
      <c r="O23" s="1" t="n"/>
      <c r="P23" s="1" t="n"/>
      <c r="Q23" s="1" t="n"/>
      <c r="R23" s="1" t="n"/>
      <c r="S23" s="1" t="n"/>
      <c r="T23" s="1" t="n"/>
      <c r="U23" s="1" t="n"/>
      <c r="V23" s="1" t="n"/>
      <c r="W23" s="1" t="n"/>
      <c r="X23" s="1" t="n"/>
      <c r="Y23" s="1" t="n"/>
      <c r="Z23" s="1" t="n"/>
    </row>
    <row r="24" ht="15.75" customHeight="1" s="311">
      <c r="A24" s="1" t="n"/>
      <c r="B24" s="4" t="inlineStr">
        <is>
          <t>Plantilla nº</t>
        </is>
      </c>
      <c r="C24" s="395" t="n"/>
      <c r="D24" s="286" t="n">
        <v>1</v>
      </c>
      <c r="E24" s="287">
        <f t="array" ref="E24">IFERROR(INDEX($C$6:$C$20,$D$24)&amp;"  ·  "&amp;INDEX($D$6:$D$20,$D$24)&amp;"  ·  "&amp;TEXT(INDEX($F$6:$F$20,$D$24),"#,##0.00 €")&amp;" × "&amp;INDEX($I$6:$I$20,$D$24)&amp;" meses","Escribe un número del 1 al 15")</f>
        <v/>
      </c>
      <c r="M24" s="1" t="n"/>
      <c r="N24" s="1" t="n"/>
      <c r="O24" s="1" t="n"/>
      <c r="P24" s="1" t="n"/>
      <c r="Q24" s="1" t="n"/>
      <c r="R24" s="1" t="n"/>
      <c r="S24" s="1" t="n"/>
      <c r="T24" s="1" t="n"/>
      <c r="U24" s="1" t="n"/>
      <c r="V24" s="1" t="n"/>
      <c r="W24" s="1" t="n"/>
      <c r="X24" s="1" t="n"/>
      <c r="Y24" s="1" t="n"/>
      <c r="Z24" s="1" t="n"/>
    </row>
    <row r="25" ht="33.75" customHeight="1" s="311">
      <c r="A25" s="1" t="n"/>
      <c r="B25" s="105" t="inlineStr">
        <is>
          <t>Selecciona el rango C27:L50, cópialo, ve a la hoja Facturas y pégalo como VALORES en la primera fila vacía empezando por la columna B. Las columnas coinciden exactamente: Estado · Proveedor · Categoría · Concepto · Nº de factura · Fecha de emisión · Fecha de vencimiento · Importe · Abonado · Cuenta de pago.</t>
        </is>
      </c>
      <c r="M25" s="1" t="n"/>
      <c r="N25" s="1" t="n"/>
      <c r="O25" s="1" t="n"/>
      <c r="P25" s="1" t="n"/>
      <c r="Q25" s="1" t="n"/>
      <c r="R25" s="1" t="n"/>
      <c r="S25" s="1" t="n"/>
      <c r="T25" s="1" t="n"/>
      <c r="U25" s="1" t="n"/>
      <c r="V25" s="1" t="n"/>
      <c r="W25" s="1" t="n"/>
      <c r="X25" s="1" t="n"/>
      <c r="Y25" s="1" t="n"/>
      <c r="Z25" s="1" t="n"/>
    </row>
    <row r="26" ht="30" customHeight="1" s="311">
      <c r="A26" s="1" t="n"/>
      <c r="B26" s="288" t="inlineStr">
        <is>
          <t>#</t>
        </is>
      </c>
      <c r="C26" s="11" t="inlineStr">
        <is>
          <t>Estado</t>
        </is>
      </c>
      <c r="D26" s="11" t="inlineStr">
        <is>
          <t>Proveedor / Emisor</t>
        </is>
      </c>
      <c r="E26" s="11" t="inlineStr">
        <is>
          <t>Categoría</t>
        </is>
      </c>
      <c r="F26" s="11" t="inlineStr">
        <is>
          <t>Concepto</t>
        </is>
      </c>
      <c r="G26" s="11" t="inlineStr">
        <is>
          <t>Nº de factura</t>
        </is>
      </c>
      <c r="H26" s="11" t="inlineStr">
        <is>
          <t>Fecha de emisión</t>
        </is>
      </c>
      <c r="I26" s="11" t="inlineStr">
        <is>
          <t>Fecha de vencimiento</t>
        </is>
      </c>
      <c r="J26" s="11" t="inlineStr">
        <is>
          <t>Importe (€)</t>
        </is>
      </c>
      <c r="K26" s="11" t="inlineStr">
        <is>
          <t>Abonado (€)</t>
        </is>
      </c>
      <c r="L26" s="11" t="inlineStr">
        <is>
          <t>Cuenta de pago</t>
        </is>
      </c>
      <c r="M26" s="1" t="n"/>
      <c r="N26" s="1" t="n"/>
      <c r="O26" s="1" t="n"/>
      <c r="P26" s="1" t="n"/>
      <c r="Q26" s="1" t="n"/>
      <c r="R26" s="1" t="n"/>
      <c r="S26" s="1" t="n"/>
      <c r="T26" s="1" t="n"/>
      <c r="U26" s="1" t="n"/>
      <c r="V26" s="1" t="n"/>
      <c r="W26" s="1" t="n"/>
      <c r="X26" s="1" t="n"/>
      <c r="Y26" s="1" t="n"/>
      <c r="Z26" s="1" t="n"/>
    </row>
    <row r="27" ht="16.5" customHeight="1" s="311">
      <c r="A27" s="1" t="n"/>
      <c r="B27" s="204" t="n">
        <v>1</v>
      </c>
      <c r="C27" s="289">
        <f t="array" ref="C27">IF(OR(INDEX($C$6:$C$20,$D$24)="",0&gt;=N(INDEX($I$6:$I$20,$D$24))),"","Pendiente")</f>
        <v/>
      </c>
      <c r="D27" s="289">
        <f t="array" ref="D27">IF(OR(INDEX($C$6:$C$20,$D$24)="",0&gt;=N(INDEX($I$6:$I$20,$D$24))),"",INDEX($D$6:$D$20,$D$24))</f>
        <v/>
      </c>
      <c r="E27" s="289">
        <f t="array" ref="E27">IF(OR(INDEX($C$6:$C$20,$D$24)="",0&gt;=N(INDEX($I$6:$I$20,$D$24))),"",INDEX($E$6:$E$20,$D$24))</f>
        <v/>
      </c>
      <c r="F27" s="289">
        <f t="array" ref="F27">IF(OR(INDEX($C$6:$C$20,$D$24)="",0&gt;=N(INDEX($I$6:$I$20,$D$24))),"",INDEX($C$6:$C$20,$D$24)&amp;" — "&amp;TEXT(EDATE(INDEX($J$6:$J$20,$D$24),0),"MM/YYYY"))</f>
        <v/>
      </c>
      <c r="G27" s="292">
        <f t="array" ref="G27">IF(OR(INDEX($C$6:$C$20,$D$24)="",0&gt;=N(INDEX($I$6:$I$20,$D$24))),"","REC-"&amp;TEXT($D$24,"00")&amp;"-"&amp;TEXT(EDATE(INDEX($J$6:$J$20,$D$24),0),"YYYYMM"))</f>
        <v/>
      </c>
      <c r="H27" s="220">
        <f t="array" ref="H27">IF(OR(INDEX($C$6:$C$20,$D$24)="",0&gt;=N(INDEX($I$6:$I$20,$D$24))),"",EDATE(INDEX($J$6:$J$20,$D$24),0)-10)</f>
        <v/>
      </c>
      <c r="I27" s="220">
        <f t="array" ref="I27">IF(OR(INDEX($C$6:$C$20,$D$24)="",0&gt;=N(INDEX($I$6:$I$20,$D$24))),"",EDATE(INDEX($J$6:$J$20,$D$24),0))</f>
        <v/>
      </c>
      <c r="J27" s="13">
        <f t="array" ref="J27">IF(OR(INDEX($C$6:$C$20,$D$24)="",0&gt;=N(INDEX($I$6:$I$20,$D$24))),"",INDEX($F$6:$F$20,$D$24))</f>
        <v/>
      </c>
      <c r="K27" s="13">
        <f t="array" ref="K27">IF(OR(INDEX($C$6:$C$20,$D$24)="",0&gt;=N(INDEX($I$6:$I$20,$D$24))),"",0)</f>
        <v/>
      </c>
      <c r="L27" s="289">
        <f t="array" ref="L27">IF(OR(INDEX($C$6:$C$20,$D$24)="",0&gt;=N(INDEX($I$6:$I$20,$D$24))),"",INDEX($H$6:$H$20,$D$24))</f>
        <v/>
      </c>
      <c r="M27" s="1" t="n"/>
      <c r="N27" s="1" t="n"/>
      <c r="O27" s="1" t="n"/>
      <c r="P27" s="1" t="n"/>
      <c r="Q27" s="1" t="n"/>
      <c r="R27" s="1" t="n"/>
      <c r="S27" s="1" t="n"/>
      <c r="T27" s="1" t="n"/>
      <c r="U27" s="1" t="n"/>
      <c r="V27" s="1" t="n"/>
      <c r="W27" s="1" t="n"/>
      <c r="X27" s="1" t="n"/>
      <c r="Y27" s="1" t="n"/>
      <c r="Z27" s="1" t="n"/>
    </row>
    <row r="28" ht="16.5" customHeight="1" s="311">
      <c r="A28" s="1" t="n"/>
      <c r="B28" s="204" t="n">
        <v>2</v>
      </c>
      <c r="C28" s="289">
        <f t="array" ref="C28">IF(OR(INDEX($C$6:$C$20,$D$24)="",1&gt;=N(INDEX($I$6:$I$20,$D$24))),"","Pendiente")</f>
        <v/>
      </c>
      <c r="D28" s="289">
        <f t="array" ref="D28">IF(OR(INDEX($C$6:$C$20,$D$24)="",1&gt;=N(INDEX($I$6:$I$20,$D$24))),"",INDEX($D$6:$D$20,$D$24))</f>
        <v/>
      </c>
      <c r="E28" s="289">
        <f t="array" ref="E28">IF(OR(INDEX($C$6:$C$20,$D$24)="",1&gt;=N(INDEX($I$6:$I$20,$D$24))),"",INDEX($E$6:$E$20,$D$24))</f>
        <v/>
      </c>
      <c r="F28" s="289">
        <f t="array" ref="F28">IF(OR(INDEX($C$6:$C$20,$D$24)="",1&gt;=N(INDEX($I$6:$I$20,$D$24))),"",INDEX($C$6:$C$20,$D$24)&amp;" — "&amp;TEXT(EDATE(INDEX($J$6:$J$20,$D$24),1),"MM/YYYY"))</f>
        <v/>
      </c>
      <c r="G28" s="292">
        <f t="array" ref="G28">IF(OR(INDEX($C$6:$C$20,$D$24)="",1&gt;=N(INDEX($I$6:$I$20,$D$24))),"","REC-"&amp;TEXT($D$24,"00")&amp;"-"&amp;TEXT(EDATE(INDEX($J$6:$J$20,$D$24),1),"YYYYMM"))</f>
        <v/>
      </c>
      <c r="H28" s="220">
        <f t="array" ref="H28">IF(OR(INDEX($C$6:$C$20,$D$24)="",1&gt;=N(INDEX($I$6:$I$20,$D$24))),"",EDATE(INDEX($J$6:$J$20,$D$24),1)-10)</f>
        <v/>
      </c>
      <c r="I28" s="220">
        <f t="array" ref="I28">IF(OR(INDEX($C$6:$C$20,$D$24)="",1&gt;=N(INDEX($I$6:$I$20,$D$24))),"",EDATE(INDEX($J$6:$J$20,$D$24),1))</f>
        <v/>
      </c>
      <c r="J28" s="13">
        <f t="array" ref="J28">IF(OR(INDEX($C$6:$C$20,$D$24)="",1&gt;=N(INDEX($I$6:$I$20,$D$24))),"",INDEX($F$6:$F$20,$D$24))</f>
        <v/>
      </c>
      <c r="K28" s="13">
        <f t="array" ref="K28">IF(OR(INDEX($C$6:$C$20,$D$24)="",1&gt;=N(INDEX($I$6:$I$20,$D$24))),"",0)</f>
        <v/>
      </c>
      <c r="L28" s="289">
        <f t="array" ref="L28">IF(OR(INDEX($C$6:$C$20,$D$24)="",1&gt;=N(INDEX($I$6:$I$20,$D$24))),"",INDEX($H$6:$H$20,$D$24))</f>
        <v/>
      </c>
      <c r="M28" s="1" t="n"/>
      <c r="N28" s="1" t="n"/>
      <c r="O28" s="1" t="n"/>
      <c r="P28" s="1" t="n"/>
      <c r="Q28" s="1" t="n"/>
      <c r="R28" s="1" t="n"/>
      <c r="S28" s="1" t="n"/>
      <c r="T28" s="1" t="n"/>
      <c r="U28" s="1" t="n"/>
      <c r="V28" s="1" t="n"/>
      <c r="W28" s="1" t="n"/>
      <c r="X28" s="1" t="n"/>
      <c r="Y28" s="1" t="n"/>
      <c r="Z28" s="1" t="n"/>
    </row>
    <row r="29" ht="16.5" customHeight="1" s="311">
      <c r="A29" s="1" t="n"/>
      <c r="B29" s="204" t="n">
        <v>3</v>
      </c>
      <c r="C29" s="289">
        <f t="array" ref="C29">IF(OR(INDEX($C$6:$C$20,$D$24)="",2&gt;=N(INDEX($I$6:$I$20,$D$24))),"","Pendiente")</f>
        <v/>
      </c>
      <c r="D29" s="289">
        <f t="array" ref="D29">IF(OR(INDEX($C$6:$C$20,$D$24)="",2&gt;=N(INDEX($I$6:$I$20,$D$24))),"",INDEX($D$6:$D$20,$D$24))</f>
        <v/>
      </c>
      <c r="E29" s="289">
        <f t="array" ref="E29">IF(OR(INDEX($C$6:$C$20,$D$24)="",2&gt;=N(INDEX($I$6:$I$20,$D$24))),"",INDEX($E$6:$E$20,$D$24))</f>
        <v/>
      </c>
      <c r="F29" s="289">
        <f t="array" ref="F29">IF(OR(INDEX($C$6:$C$20,$D$24)="",2&gt;=N(INDEX($I$6:$I$20,$D$24))),"",INDEX($C$6:$C$20,$D$24)&amp;" — "&amp;TEXT(EDATE(INDEX($J$6:$J$20,$D$24),2),"MM/YYYY"))</f>
        <v/>
      </c>
      <c r="G29" s="292">
        <f t="array" ref="G29">IF(OR(INDEX($C$6:$C$20,$D$24)="",2&gt;=N(INDEX($I$6:$I$20,$D$24))),"","REC-"&amp;TEXT($D$24,"00")&amp;"-"&amp;TEXT(EDATE(INDEX($J$6:$J$20,$D$24),2),"YYYYMM"))</f>
        <v/>
      </c>
      <c r="H29" s="220">
        <f t="array" ref="H29">IF(OR(INDEX($C$6:$C$20,$D$24)="",2&gt;=N(INDEX($I$6:$I$20,$D$24))),"",EDATE(INDEX($J$6:$J$20,$D$24),2)-10)</f>
        <v/>
      </c>
      <c r="I29" s="220">
        <f t="array" ref="I29">IF(OR(INDEX($C$6:$C$20,$D$24)="",2&gt;=N(INDEX($I$6:$I$20,$D$24))),"",EDATE(INDEX($J$6:$J$20,$D$24),2))</f>
        <v/>
      </c>
      <c r="J29" s="13">
        <f t="array" ref="J29">IF(OR(INDEX($C$6:$C$20,$D$24)="",2&gt;=N(INDEX($I$6:$I$20,$D$24))),"",INDEX($F$6:$F$20,$D$24))</f>
        <v/>
      </c>
      <c r="K29" s="13">
        <f t="array" ref="K29">IF(OR(INDEX($C$6:$C$20,$D$24)="",2&gt;=N(INDEX($I$6:$I$20,$D$24))),"",0)</f>
        <v/>
      </c>
      <c r="L29" s="289">
        <f t="array" ref="L29">IF(OR(INDEX($C$6:$C$20,$D$24)="",2&gt;=N(INDEX($I$6:$I$20,$D$24))),"",INDEX($H$6:$H$20,$D$24))</f>
        <v/>
      </c>
      <c r="M29" s="1" t="n"/>
      <c r="N29" s="1" t="n"/>
      <c r="O29" s="1" t="n"/>
      <c r="P29" s="1" t="n"/>
      <c r="Q29" s="1" t="n"/>
      <c r="R29" s="1" t="n"/>
      <c r="S29" s="1" t="n"/>
      <c r="T29" s="1" t="n"/>
      <c r="U29" s="1" t="n"/>
      <c r="V29" s="1" t="n"/>
      <c r="W29" s="1" t="n"/>
      <c r="X29" s="1" t="n"/>
      <c r="Y29" s="1" t="n"/>
      <c r="Z29" s="1" t="n"/>
    </row>
    <row r="30" ht="16.5" customHeight="1" s="311">
      <c r="A30" s="1" t="n"/>
      <c r="B30" s="204" t="n">
        <v>4</v>
      </c>
      <c r="C30" s="289">
        <f t="array" ref="C30">IF(OR(INDEX($C$6:$C$20,$D$24)="",3&gt;=N(INDEX($I$6:$I$20,$D$24))),"","Pendiente")</f>
        <v/>
      </c>
      <c r="D30" s="289">
        <f t="array" ref="D30">IF(OR(INDEX($C$6:$C$20,$D$24)="",3&gt;=N(INDEX($I$6:$I$20,$D$24))),"",INDEX($D$6:$D$20,$D$24))</f>
        <v/>
      </c>
      <c r="E30" s="289">
        <f t="array" ref="E30">IF(OR(INDEX($C$6:$C$20,$D$24)="",3&gt;=N(INDEX($I$6:$I$20,$D$24))),"",INDEX($E$6:$E$20,$D$24))</f>
        <v/>
      </c>
      <c r="F30" s="289">
        <f t="array" ref="F30">IF(OR(INDEX($C$6:$C$20,$D$24)="",3&gt;=N(INDEX($I$6:$I$20,$D$24))),"",INDEX($C$6:$C$20,$D$24)&amp;" — "&amp;TEXT(EDATE(INDEX($J$6:$J$20,$D$24),3),"MM/YYYY"))</f>
        <v/>
      </c>
      <c r="G30" s="292">
        <f t="array" ref="G30">IF(OR(INDEX($C$6:$C$20,$D$24)="",3&gt;=N(INDEX($I$6:$I$20,$D$24))),"","REC-"&amp;TEXT($D$24,"00")&amp;"-"&amp;TEXT(EDATE(INDEX($J$6:$J$20,$D$24),3),"YYYYMM"))</f>
        <v/>
      </c>
      <c r="H30" s="220">
        <f t="array" ref="H30">IF(OR(INDEX($C$6:$C$20,$D$24)="",3&gt;=N(INDEX($I$6:$I$20,$D$24))),"",EDATE(INDEX($J$6:$J$20,$D$24),3)-10)</f>
        <v/>
      </c>
      <c r="I30" s="220">
        <f t="array" ref="I30">IF(OR(INDEX($C$6:$C$20,$D$24)="",3&gt;=N(INDEX($I$6:$I$20,$D$24))),"",EDATE(INDEX($J$6:$J$20,$D$24),3))</f>
        <v/>
      </c>
      <c r="J30" s="13">
        <f t="array" ref="J30">IF(OR(INDEX($C$6:$C$20,$D$24)="",3&gt;=N(INDEX($I$6:$I$20,$D$24))),"",INDEX($F$6:$F$20,$D$24))</f>
        <v/>
      </c>
      <c r="K30" s="13">
        <f t="array" ref="K30">IF(OR(INDEX($C$6:$C$20,$D$24)="",3&gt;=N(INDEX($I$6:$I$20,$D$24))),"",0)</f>
        <v/>
      </c>
      <c r="L30" s="289">
        <f t="array" ref="L30">IF(OR(INDEX($C$6:$C$20,$D$24)="",3&gt;=N(INDEX($I$6:$I$20,$D$24))),"",INDEX($H$6:$H$20,$D$24))</f>
        <v/>
      </c>
      <c r="M30" s="1" t="n"/>
      <c r="N30" s="1" t="n"/>
      <c r="O30" s="1" t="n"/>
      <c r="P30" s="1" t="n"/>
      <c r="Q30" s="1" t="n"/>
      <c r="R30" s="1" t="n"/>
      <c r="S30" s="1" t="n"/>
      <c r="T30" s="1" t="n"/>
      <c r="U30" s="1" t="n"/>
      <c r="V30" s="1" t="n"/>
      <c r="W30" s="1" t="n"/>
      <c r="X30" s="1" t="n"/>
      <c r="Y30" s="1" t="n"/>
      <c r="Z30" s="1" t="n"/>
    </row>
    <row r="31" ht="16.5" customHeight="1" s="311">
      <c r="A31" s="1" t="n"/>
      <c r="B31" s="204" t="n">
        <v>5</v>
      </c>
      <c r="C31" s="289">
        <f t="array" ref="C31">IF(OR(INDEX($C$6:$C$20,$D$24)="",4&gt;=N(INDEX($I$6:$I$20,$D$24))),"","Pendiente")</f>
        <v/>
      </c>
      <c r="D31" s="289">
        <f t="array" ref="D31">IF(OR(INDEX($C$6:$C$20,$D$24)="",4&gt;=N(INDEX($I$6:$I$20,$D$24))),"",INDEX($D$6:$D$20,$D$24))</f>
        <v/>
      </c>
      <c r="E31" s="289">
        <f t="array" ref="E31">IF(OR(INDEX($C$6:$C$20,$D$24)="",4&gt;=N(INDEX($I$6:$I$20,$D$24))),"",INDEX($E$6:$E$20,$D$24))</f>
        <v/>
      </c>
      <c r="F31" s="289">
        <f t="array" ref="F31">IF(OR(INDEX($C$6:$C$20,$D$24)="",4&gt;=N(INDEX($I$6:$I$20,$D$24))),"",INDEX($C$6:$C$20,$D$24)&amp;" — "&amp;TEXT(EDATE(INDEX($J$6:$J$20,$D$24),4),"MM/YYYY"))</f>
        <v/>
      </c>
      <c r="G31" s="292">
        <f t="array" ref="G31">IF(OR(INDEX($C$6:$C$20,$D$24)="",4&gt;=N(INDEX($I$6:$I$20,$D$24))),"","REC-"&amp;TEXT($D$24,"00")&amp;"-"&amp;TEXT(EDATE(INDEX($J$6:$J$20,$D$24),4),"YYYYMM"))</f>
        <v/>
      </c>
      <c r="H31" s="220">
        <f t="array" ref="H31">IF(OR(INDEX($C$6:$C$20,$D$24)="",4&gt;=N(INDEX($I$6:$I$20,$D$24))),"",EDATE(INDEX($J$6:$J$20,$D$24),4)-10)</f>
        <v/>
      </c>
      <c r="I31" s="220">
        <f t="array" ref="I31">IF(OR(INDEX($C$6:$C$20,$D$24)="",4&gt;=N(INDEX($I$6:$I$20,$D$24))),"",EDATE(INDEX($J$6:$J$20,$D$24),4))</f>
        <v/>
      </c>
      <c r="J31" s="13">
        <f t="array" ref="J31">IF(OR(INDEX($C$6:$C$20,$D$24)="",4&gt;=N(INDEX($I$6:$I$20,$D$24))),"",INDEX($F$6:$F$20,$D$24))</f>
        <v/>
      </c>
      <c r="K31" s="13">
        <f t="array" ref="K31">IF(OR(INDEX($C$6:$C$20,$D$24)="",4&gt;=N(INDEX($I$6:$I$20,$D$24))),"",0)</f>
        <v/>
      </c>
      <c r="L31" s="289">
        <f t="array" ref="L31">IF(OR(INDEX($C$6:$C$20,$D$24)="",4&gt;=N(INDEX($I$6:$I$20,$D$24))),"",INDEX($H$6:$H$20,$D$24))</f>
        <v/>
      </c>
      <c r="M31" s="1" t="n"/>
      <c r="N31" s="1" t="n"/>
      <c r="O31" s="1" t="n"/>
      <c r="P31" s="1" t="n"/>
      <c r="Q31" s="1" t="n"/>
      <c r="R31" s="1" t="n"/>
      <c r="S31" s="1" t="n"/>
      <c r="T31" s="1" t="n"/>
      <c r="U31" s="1" t="n"/>
      <c r="V31" s="1" t="n"/>
      <c r="W31" s="1" t="n"/>
      <c r="X31" s="1" t="n"/>
      <c r="Y31" s="1" t="n"/>
      <c r="Z31" s="1" t="n"/>
    </row>
    <row r="32" ht="16.5" customHeight="1" s="311">
      <c r="A32" s="1" t="n"/>
      <c r="B32" s="204" t="n">
        <v>6</v>
      </c>
      <c r="C32" s="289">
        <f t="array" ref="C32">IF(OR(INDEX($C$6:$C$20,$D$24)="",5&gt;=N(INDEX($I$6:$I$20,$D$24))),"","Pendiente")</f>
        <v/>
      </c>
      <c r="D32" s="289">
        <f t="array" ref="D32">IF(OR(INDEX($C$6:$C$20,$D$24)="",5&gt;=N(INDEX($I$6:$I$20,$D$24))),"",INDEX($D$6:$D$20,$D$24))</f>
        <v/>
      </c>
      <c r="E32" s="289">
        <f t="array" ref="E32">IF(OR(INDEX($C$6:$C$20,$D$24)="",5&gt;=N(INDEX($I$6:$I$20,$D$24))),"",INDEX($E$6:$E$20,$D$24))</f>
        <v/>
      </c>
      <c r="F32" s="289">
        <f t="array" ref="F32">IF(OR(INDEX($C$6:$C$20,$D$24)="",5&gt;=N(INDEX($I$6:$I$20,$D$24))),"",INDEX($C$6:$C$20,$D$24)&amp;" — "&amp;TEXT(EDATE(INDEX($J$6:$J$20,$D$24),5),"MM/YYYY"))</f>
        <v/>
      </c>
      <c r="G32" s="292">
        <f t="array" ref="G32">IF(OR(INDEX($C$6:$C$20,$D$24)="",5&gt;=N(INDEX($I$6:$I$20,$D$24))),"","REC-"&amp;TEXT($D$24,"00")&amp;"-"&amp;TEXT(EDATE(INDEX($J$6:$J$20,$D$24),5),"YYYYMM"))</f>
        <v/>
      </c>
      <c r="H32" s="220">
        <f t="array" ref="H32">IF(OR(INDEX($C$6:$C$20,$D$24)="",5&gt;=N(INDEX($I$6:$I$20,$D$24))),"",EDATE(INDEX($J$6:$J$20,$D$24),5)-10)</f>
        <v/>
      </c>
      <c r="I32" s="220">
        <f t="array" ref="I32">IF(OR(INDEX($C$6:$C$20,$D$24)="",5&gt;=N(INDEX($I$6:$I$20,$D$24))),"",EDATE(INDEX($J$6:$J$20,$D$24),5))</f>
        <v/>
      </c>
      <c r="J32" s="13">
        <f t="array" ref="J32">IF(OR(INDEX($C$6:$C$20,$D$24)="",5&gt;=N(INDEX($I$6:$I$20,$D$24))),"",INDEX($F$6:$F$20,$D$24))</f>
        <v/>
      </c>
      <c r="K32" s="13">
        <f t="array" ref="K32">IF(OR(INDEX($C$6:$C$20,$D$24)="",5&gt;=N(INDEX($I$6:$I$20,$D$24))),"",0)</f>
        <v/>
      </c>
      <c r="L32" s="289">
        <f t="array" ref="L32">IF(OR(INDEX($C$6:$C$20,$D$24)="",5&gt;=N(INDEX($I$6:$I$20,$D$24))),"",INDEX($H$6:$H$20,$D$24))</f>
        <v/>
      </c>
      <c r="M32" s="1" t="n"/>
      <c r="N32" s="1" t="n"/>
      <c r="O32" s="1" t="n"/>
      <c r="P32" s="1" t="n"/>
      <c r="Q32" s="1" t="n"/>
      <c r="R32" s="1" t="n"/>
      <c r="S32" s="1" t="n"/>
      <c r="T32" s="1" t="n"/>
      <c r="U32" s="1" t="n"/>
      <c r="V32" s="1" t="n"/>
      <c r="W32" s="1" t="n"/>
      <c r="X32" s="1" t="n"/>
      <c r="Y32" s="1" t="n"/>
      <c r="Z32" s="1" t="n"/>
    </row>
    <row r="33" ht="16.5" customHeight="1" s="311">
      <c r="A33" s="1" t="n"/>
      <c r="B33" s="204" t="n">
        <v>7</v>
      </c>
      <c r="C33" s="289">
        <f t="array" ref="C33">IF(OR(INDEX($C$6:$C$20,$D$24)="",6&gt;=N(INDEX($I$6:$I$20,$D$24))),"","Pendiente")</f>
        <v/>
      </c>
      <c r="D33" s="289">
        <f t="array" ref="D33">IF(OR(INDEX($C$6:$C$20,$D$24)="",6&gt;=N(INDEX($I$6:$I$20,$D$24))),"",INDEX($D$6:$D$20,$D$24))</f>
        <v/>
      </c>
      <c r="E33" s="289">
        <f t="array" ref="E33">IF(OR(INDEX($C$6:$C$20,$D$24)="",6&gt;=N(INDEX($I$6:$I$20,$D$24))),"",INDEX($E$6:$E$20,$D$24))</f>
        <v/>
      </c>
      <c r="F33" s="289">
        <f t="array" ref="F33">IF(OR(INDEX($C$6:$C$20,$D$24)="",6&gt;=N(INDEX($I$6:$I$20,$D$24))),"",INDEX($C$6:$C$20,$D$24)&amp;" — "&amp;TEXT(EDATE(INDEX($J$6:$J$20,$D$24),6),"MM/YYYY"))</f>
        <v/>
      </c>
      <c r="G33" s="292">
        <f t="array" ref="G33">IF(OR(INDEX($C$6:$C$20,$D$24)="",6&gt;=N(INDEX($I$6:$I$20,$D$24))),"","REC-"&amp;TEXT($D$24,"00")&amp;"-"&amp;TEXT(EDATE(INDEX($J$6:$J$20,$D$24),6),"YYYYMM"))</f>
        <v/>
      </c>
      <c r="H33" s="220">
        <f t="array" ref="H33">IF(OR(INDEX($C$6:$C$20,$D$24)="",6&gt;=N(INDEX($I$6:$I$20,$D$24))),"",EDATE(INDEX($J$6:$J$20,$D$24),6)-10)</f>
        <v/>
      </c>
      <c r="I33" s="220">
        <f t="array" ref="I33">IF(OR(INDEX($C$6:$C$20,$D$24)="",6&gt;=N(INDEX($I$6:$I$20,$D$24))),"",EDATE(INDEX($J$6:$J$20,$D$24),6))</f>
        <v/>
      </c>
      <c r="J33" s="13">
        <f t="array" ref="J33">IF(OR(INDEX($C$6:$C$20,$D$24)="",6&gt;=N(INDEX($I$6:$I$20,$D$24))),"",INDEX($F$6:$F$20,$D$24))</f>
        <v/>
      </c>
      <c r="K33" s="13">
        <f t="array" ref="K33">IF(OR(INDEX($C$6:$C$20,$D$24)="",6&gt;=N(INDEX($I$6:$I$20,$D$24))),"",0)</f>
        <v/>
      </c>
      <c r="L33" s="289">
        <f t="array" ref="L33">IF(OR(INDEX($C$6:$C$20,$D$24)="",6&gt;=N(INDEX($I$6:$I$20,$D$24))),"",INDEX($H$6:$H$20,$D$24))</f>
        <v/>
      </c>
      <c r="M33" s="1" t="n"/>
      <c r="N33" s="1" t="n"/>
      <c r="O33" s="1" t="n"/>
      <c r="P33" s="1" t="n"/>
      <c r="Q33" s="1" t="n"/>
      <c r="R33" s="1" t="n"/>
      <c r="S33" s="1" t="n"/>
      <c r="T33" s="1" t="n"/>
      <c r="U33" s="1" t="n"/>
      <c r="V33" s="1" t="n"/>
      <c r="W33" s="1" t="n"/>
      <c r="X33" s="1" t="n"/>
      <c r="Y33" s="1" t="n"/>
      <c r="Z33" s="1" t="n"/>
    </row>
    <row r="34" ht="16.5" customHeight="1" s="311">
      <c r="A34" s="1" t="n"/>
      <c r="B34" s="204" t="n">
        <v>8</v>
      </c>
      <c r="C34" s="289">
        <f t="array" ref="C34">IF(OR(INDEX($C$6:$C$20,$D$24)="",7&gt;=N(INDEX($I$6:$I$20,$D$24))),"","Pendiente")</f>
        <v/>
      </c>
      <c r="D34" s="289">
        <f t="array" ref="D34">IF(OR(INDEX($C$6:$C$20,$D$24)="",7&gt;=N(INDEX($I$6:$I$20,$D$24))),"",INDEX($D$6:$D$20,$D$24))</f>
        <v/>
      </c>
      <c r="E34" s="289">
        <f t="array" ref="E34">IF(OR(INDEX($C$6:$C$20,$D$24)="",7&gt;=N(INDEX($I$6:$I$20,$D$24))),"",INDEX($E$6:$E$20,$D$24))</f>
        <v/>
      </c>
      <c r="F34" s="289">
        <f t="array" ref="F34">IF(OR(INDEX($C$6:$C$20,$D$24)="",7&gt;=N(INDEX($I$6:$I$20,$D$24))),"",INDEX($C$6:$C$20,$D$24)&amp;" — "&amp;TEXT(EDATE(INDEX($J$6:$J$20,$D$24),7),"MM/YYYY"))</f>
        <v/>
      </c>
      <c r="G34" s="292">
        <f t="array" ref="G34">IF(OR(INDEX($C$6:$C$20,$D$24)="",7&gt;=N(INDEX($I$6:$I$20,$D$24))),"","REC-"&amp;TEXT($D$24,"00")&amp;"-"&amp;TEXT(EDATE(INDEX($J$6:$J$20,$D$24),7),"YYYYMM"))</f>
        <v/>
      </c>
      <c r="H34" s="220">
        <f t="array" ref="H34">IF(OR(INDEX($C$6:$C$20,$D$24)="",7&gt;=N(INDEX($I$6:$I$20,$D$24))),"",EDATE(INDEX($J$6:$J$20,$D$24),7)-10)</f>
        <v/>
      </c>
      <c r="I34" s="220">
        <f t="array" ref="I34">IF(OR(INDEX($C$6:$C$20,$D$24)="",7&gt;=N(INDEX($I$6:$I$20,$D$24))),"",EDATE(INDEX($J$6:$J$20,$D$24),7))</f>
        <v/>
      </c>
      <c r="J34" s="13">
        <f t="array" ref="J34">IF(OR(INDEX($C$6:$C$20,$D$24)="",7&gt;=N(INDEX($I$6:$I$20,$D$24))),"",INDEX($F$6:$F$20,$D$24))</f>
        <v/>
      </c>
      <c r="K34" s="13">
        <f t="array" ref="K34">IF(OR(INDEX($C$6:$C$20,$D$24)="",7&gt;=N(INDEX($I$6:$I$20,$D$24))),"",0)</f>
        <v/>
      </c>
      <c r="L34" s="289">
        <f t="array" ref="L34">IF(OR(INDEX($C$6:$C$20,$D$24)="",7&gt;=N(INDEX($I$6:$I$20,$D$24))),"",INDEX($H$6:$H$20,$D$24))</f>
        <v/>
      </c>
      <c r="M34" s="1" t="n"/>
      <c r="N34" s="1" t="n"/>
      <c r="O34" s="1" t="n"/>
      <c r="P34" s="1" t="n"/>
      <c r="Q34" s="1" t="n"/>
      <c r="R34" s="1" t="n"/>
      <c r="S34" s="1" t="n"/>
      <c r="T34" s="1" t="n"/>
      <c r="U34" s="1" t="n"/>
      <c r="V34" s="1" t="n"/>
      <c r="W34" s="1" t="n"/>
      <c r="X34" s="1" t="n"/>
      <c r="Y34" s="1" t="n"/>
      <c r="Z34" s="1" t="n"/>
    </row>
    <row r="35" ht="16.5" customHeight="1" s="311">
      <c r="A35" s="1" t="n"/>
      <c r="B35" s="204" t="n">
        <v>9</v>
      </c>
      <c r="C35" s="289">
        <f t="array" ref="C35">IF(OR(INDEX($C$6:$C$20,$D$24)="",8&gt;=N(INDEX($I$6:$I$20,$D$24))),"","Pendiente")</f>
        <v/>
      </c>
      <c r="D35" s="289">
        <f t="array" ref="D35">IF(OR(INDEX($C$6:$C$20,$D$24)="",8&gt;=N(INDEX($I$6:$I$20,$D$24))),"",INDEX($D$6:$D$20,$D$24))</f>
        <v/>
      </c>
      <c r="E35" s="289">
        <f t="array" ref="E35">IF(OR(INDEX($C$6:$C$20,$D$24)="",8&gt;=N(INDEX($I$6:$I$20,$D$24))),"",INDEX($E$6:$E$20,$D$24))</f>
        <v/>
      </c>
      <c r="F35" s="289">
        <f t="array" ref="F35">IF(OR(INDEX($C$6:$C$20,$D$24)="",8&gt;=N(INDEX($I$6:$I$20,$D$24))),"",INDEX($C$6:$C$20,$D$24)&amp;" — "&amp;TEXT(EDATE(INDEX($J$6:$J$20,$D$24),8),"MM/YYYY"))</f>
        <v/>
      </c>
      <c r="G35" s="292">
        <f t="array" ref="G35">IF(OR(INDEX($C$6:$C$20,$D$24)="",8&gt;=N(INDEX($I$6:$I$20,$D$24))),"","REC-"&amp;TEXT($D$24,"00")&amp;"-"&amp;TEXT(EDATE(INDEX($J$6:$J$20,$D$24),8),"YYYYMM"))</f>
        <v/>
      </c>
      <c r="H35" s="220">
        <f t="array" ref="H35">IF(OR(INDEX($C$6:$C$20,$D$24)="",8&gt;=N(INDEX($I$6:$I$20,$D$24))),"",EDATE(INDEX($J$6:$J$20,$D$24),8)-10)</f>
        <v/>
      </c>
      <c r="I35" s="220">
        <f t="array" ref="I35">IF(OR(INDEX($C$6:$C$20,$D$24)="",8&gt;=N(INDEX($I$6:$I$20,$D$24))),"",EDATE(INDEX($J$6:$J$20,$D$24),8))</f>
        <v/>
      </c>
      <c r="J35" s="13">
        <f t="array" ref="J35">IF(OR(INDEX($C$6:$C$20,$D$24)="",8&gt;=N(INDEX($I$6:$I$20,$D$24))),"",INDEX($F$6:$F$20,$D$24))</f>
        <v/>
      </c>
      <c r="K35" s="13">
        <f t="array" ref="K35">IF(OR(INDEX($C$6:$C$20,$D$24)="",8&gt;=N(INDEX($I$6:$I$20,$D$24))),"",0)</f>
        <v/>
      </c>
      <c r="L35" s="289">
        <f t="array" ref="L35">IF(OR(INDEX($C$6:$C$20,$D$24)="",8&gt;=N(INDEX($I$6:$I$20,$D$24))),"",INDEX($H$6:$H$20,$D$24))</f>
        <v/>
      </c>
      <c r="M35" s="1" t="n"/>
      <c r="N35" s="1" t="n"/>
      <c r="O35" s="1" t="n"/>
      <c r="P35" s="1" t="n"/>
      <c r="Q35" s="1" t="n"/>
      <c r="R35" s="1" t="n"/>
      <c r="S35" s="1" t="n"/>
      <c r="T35" s="1" t="n"/>
      <c r="U35" s="1" t="n"/>
      <c r="V35" s="1" t="n"/>
      <c r="W35" s="1" t="n"/>
      <c r="X35" s="1" t="n"/>
      <c r="Y35" s="1" t="n"/>
      <c r="Z35" s="1" t="n"/>
    </row>
    <row r="36" ht="16.5" customHeight="1" s="311">
      <c r="A36" s="1" t="n"/>
      <c r="B36" s="204" t="n">
        <v>10</v>
      </c>
      <c r="C36" s="289">
        <f t="array" ref="C36">IF(OR(INDEX($C$6:$C$20,$D$24)="",9&gt;=N(INDEX($I$6:$I$20,$D$24))),"","Pendiente")</f>
        <v/>
      </c>
      <c r="D36" s="289">
        <f t="array" ref="D36">IF(OR(INDEX($C$6:$C$20,$D$24)="",9&gt;=N(INDEX($I$6:$I$20,$D$24))),"",INDEX($D$6:$D$20,$D$24))</f>
        <v/>
      </c>
      <c r="E36" s="289">
        <f t="array" ref="E36">IF(OR(INDEX($C$6:$C$20,$D$24)="",9&gt;=N(INDEX($I$6:$I$20,$D$24))),"",INDEX($E$6:$E$20,$D$24))</f>
        <v/>
      </c>
      <c r="F36" s="289">
        <f t="array" ref="F36">IF(OR(INDEX($C$6:$C$20,$D$24)="",9&gt;=N(INDEX($I$6:$I$20,$D$24))),"",INDEX($C$6:$C$20,$D$24)&amp;" — "&amp;TEXT(EDATE(INDEX($J$6:$J$20,$D$24),9),"MM/YYYY"))</f>
        <v/>
      </c>
      <c r="G36" s="292">
        <f t="array" ref="G36">IF(OR(INDEX($C$6:$C$20,$D$24)="",9&gt;=N(INDEX($I$6:$I$20,$D$24))),"","REC-"&amp;TEXT($D$24,"00")&amp;"-"&amp;TEXT(EDATE(INDEX($J$6:$J$20,$D$24),9),"YYYYMM"))</f>
        <v/>
      </c>
      <c r="H36" s="220">
        <f t="array" ref="H36">IF(OR(INDEX($C$6:$C$20,$D$24)="",9&gt;=N(INDEX($I$6:$I$20,$D$24))),"",EDATE(INDEX($J$6:$J$20,$D$24),9)-10)</f>
        <v/>
      </c>
      <c r="I36" s="220">
        <f t="array" ref="I36">IF(OR(INDEX($C$6:$C$20,$D$24)="",9&gt;=N(INDEX($I$6:$I$20,$D$24))),"",EDATE(INDEX($J$6:$J$20,$D$24),9))</f>
        <v/>
      </c>
      <c r="J36" s="13">
        <f t="array" ref="J36">IF(OR(INDEX($C$6:$C$20,$D$24)="",9&gt;=N(INDEX($I$6:$I$20,$D$24))),"",INDEX($F$6:$F$20,$D$24))</f>
        <v/>
      </c>
      <c r="K36" s="13">
        <f t="array" ref="K36">IF(OR(INDEX($C$6:$C$20,$D$24)="",9&gt;=N(INDEX($I$6:$I$20,$D$24))),"",0)</f>
        <v/>
      </c>
      <c r="L36" s="289">
        <f t="array" ref="L36">IF(OR(INDEX($C$6:$C$20,$D$24)="",9&gt;=N(INDEX($I$6:$I$20,$D$24))),"",INDEX($H$6:$H$20,$D$24))</f>
        <v/>
      </c>
      <c r="M36" s="1" t="n"/>
      <c r="N36" s="1" t="n"/>
      <c r="O36" s="1" t="n"/>
      <c r="P36" s="1" t="n"/>
      <c r="Q36" s="1" t="n"/>
      <c r="R36" s="1" t="n"/>
      <c r="S36" s="1" t="n"/>
      <c r="T36" s="1" t="n"/>
      <c r="U36" s="1" t="n"/>
      <c r="V36" s="1" t="n"/>
      <c r="W36" s="1" t="n"/>
      <c r="X36" s="1" t="n"/>
      <c r="Y36" s="1" t="n"/>
      <c r="Z36" s="1" t="n"/>
    </row>
    <row r="37" ht="16.5" customHeight="1" s="311">
      <c r="A37" s="1" t="n"/>
      <c r="B37" s="204" t="n">
        <v>11</v>
      </c>
      <c r="C37" s="289">
        <f t="array" ref="C37">IF(OR(INDEX($C$6:$C$20,$D$24)="",10&gt;=N(INDEX($I$6:$I$20,$D$24))),"","Pendiente")</f>
        <v/>
      </c>
      <c r="D37" s="289">
        <f t="array" ref="D37">IF(OR(INDEX($C$6:$C$20,$D$24)="",10&gt;=N(INDEX($I$6:$I$20,$D$24))),"",INDEX($D$6:$D$20,$D$24))</f>
        <v/>
      </c>
      <c r="E37" s="289">
        <f t="array" ref="E37">IF(OR(INDEX($C$6:$C$20,$D$24)="",10&gt;=N(INDEX($I$6:$I$20,$D$24))),"",INDEX($E$6:$E$20,$D$24))</f>
        <v/>
      </c>
      <c r="F37" s="289">
        <f t="array" ref="F37">IF(OR(INDEX($C$6:$C$20,$D$24)="",10&gt;=N(INDEX($I$6:$I$20,$D$24))),"",INDEX($C$6:$C$20,$D$24)&amp;" — "&amp;TEXT(EDATE(INDEX($J$6:$J$20,$D$24),10),"MM/YYYY"))</f>
        <v/>
      </c>
      <c r="G37" s="292">
        <f t="array" ref="G37">IF(OR(INDEX($C$6:$C$20,$D$24)="",10&gt;=N(INDEX($I$6:$I$20,$D$24))),"","REC-"&amp;TEXT($D$24,"00")&amp;"-"&amp;TEXT(EDATE(INDEX($J$6:$J$20,$D$24),10),"YYYYMM"))</f>
        <v/>
      </c>
      <c r="H37" s="220">
        <f t="array" ref="H37">IF(OR(INDEX($C$6:$C$20,$D$24)="",10&gt;=N(INDEX($I$6:$I$20,$D$24))),"",EDATE(INDEX($J$6:$J$20,$D$24),10)-10)</f>
        <v/>
      </c>
      <c r="I37" s="220">
        <f t="array" ref="I37">IF(OR(INDEX($C$6:$C$20,$D$24)="",10&gt;=N(INDEX($I$6:$I$20,$D$24))),"",EDATE(INDEX($J$6:$J$20,$D$24),10))</f>
        <v/>
      </c>
      <c r="J37" s="13">
        <f t="array" ref="J37">IF(OR(INDEX($C$6:$C$20,$D$24)="",10&gt;=N(INDEX($I$6:$I$20,$D$24))),"",INDEX($F$6:$F$20,$D$24))</f>
        <v/>
      </c>
      <c r="K37" s="13">
        <f t="array" ref="K37">IF(OR(INDEX($C$6:$C$20,$D$24)="",10&gt;=N(INDEX($I$6:$I$20,$D$24))),"",0)</f>
        <v/>
      </c>
      <c r="L37" s="289">
        <f t="array" ref="L37">IF(OR(INDEX($C$6:$C$20,$D$24)="",10&gt;=N(INDEX($I$6:$I$20,$D$24))),"",INDEX($H$6:$H$20,$D$24))</f>
        <v/>
      </c>
      <c r="M37" s="1" t="n"/>
      <c r="N37" s="1" t="n"/>
      <c r="O37" s="1" t="n"/>
      <c r="P37" s="1" t="n"/>
      <c r="Q37" s="1" t="n"/>
      <c r="R37" s="1" t="n"/>
      <c r="S37" s="1" t="n"/>
      <c r="T37" s="1" t="n"/>
      <c r="U37" s="1" t="n"/>
      <c r="V37" s="1" t="n"/>
      <c r="W37" s="1" t="n"/>
      <c r="X37" s="1" t="n"/>
      <c r="Y37" s="1" t="n"/>
      <c r="Z37" s="1" t="n"/>
    </row>
    <row r="38" ht="16.5" customHeight="1" s="311">
      <c r="A38" s="1" t="n"/>
      <c r="B38" s="204" t="n">
        <v>12</v>
      </c>
      <c r="C38" s="289">
        <f t="array" ref="C38">IF(OR(INDEX($C$6:$C$20,$D$24)="",11&gt;=N(INDEX($I$6:$I$20,$D$24))),"","Pendiente")</f>
        <v/>
      </c>
      <c r="D38" s="289">
        <f t="array" ref="D38">IF(OR(INDEX($C$6:$C$20,$D$24)="",11&gt;=N(INDEX($I$6:$I$20,$D$24))),"",INDEX($D$6:$D$20,$D$24))</f>
        <v/>
      </c>
      <c r="E38" s="289">
        <f t="array" ref="E38">IF(OR(INDEX($C$6:$C$20,$D$24)="",11&gt;=N(INDEX($I$6:$I$20,$D$24))),"",INDEX($E$6:$E$20,$D$24))</f>
        <v/>
      </c>
      <c r="F38" s="289">
        <f t="array" ref="F38">IF(OR(INDEX($C$6:$C$20,$D$24)="",11&gt;=N(INDEX($I$6:$I$20,$D$24))),"",INDEX($C$6:$C$20,$D$24)&amp;" — "&amp;TEXT(EDATE(INDEX($J$6:$J$20,$D$24),11),"MM/YYYY"))</f>
        <v/>
      </c>
      <c r="G38" s="292">
        <f t="array" ref="G38">IF(OR(INDEX($C$6:$C$20,$D$24)="",11&gt;=N(INDEX($I$6:$I$20,$D$24))),"","REC-"&amp;TEXT($D$24,"00")&amp;"-"&amp;TEXT(EDATE(INDEX($J$6:$J$20,$D$24),11),"YYYYMM"))</f>
        <v/>
      </c>
      <c r="H38" s="220">
        <f t="array" ref="H38">IF(OR(INDEX($C$6:$C$20,$D$24)="",11&gt;=N(INDEX($I$6:$I$20,$D$24))),"",EDATE(INDEX($J$6:$J$20,$D$24),11)-10)</f>
        <v/>
      </c>
      <c r="I38" s="220">
        <f t="array" ref="I38">IF(OR(INDEX($C$6:$C$20,$D$24)="",11&gt;=N(INDEX($I$6:$I$20,$D$24))),"",EDATE(INDEX($J$6:$J$20,$D$24),11))</f>
        <v/>
      </c>
      <c r="J38" s="13">
        <f t="array" ref="J38">IF(OR(INDEX($C$6:$C$20,$D$24)="",11&gt;=N(INDEX($I$6:$I$20,$D$24))),"",INDEX($F$6:$F$20,$D$24))</f>
        <v/>
      </c>
      <c r="K38" s="13">
        <f t="array" ref="K38">IF(OR(INDEX($C$6:$C$20,$D$24)="",11&gt;=N(INDEX($I$6:$I$20,$D$24))),"",0)</f>
        <v/>
      </c>
      <c r="L38" s="289">
        <f t="array" ref="L38">IF(OR(INDEX($C$6:$C$20,$D$24)="",11&gt;=N(INDEX($I$6:$I$20,$D$24))),"",INDEX($H$6:$H$20,$D$24))</f>
        <v/>
      </c>
      <c r="M38" s="1" t="n"/>
      <c r="N38" s="1" t="n"/>
      <c r="O38" s="1" t="n"/>
      <c r="P38" s="1" t="n"/>
      <c r="Q38" s="1" t="n"/>
      <c r="R38" s="1" t="n"/>
      <c r="S38" s="1" t="n"/>
      <c r="T38" s="1" t="n"/>
      <c r="U38" s="1" t="n"/>
      <c r="V38" s="1" t="n"/>
      <c r="W38" s="1" t="n"/>
      <c r="X38" s="1" t="n"/>
      <c r="Y38" s="1" t="n"/>
      <c r="Z38" s="1" t="n"/>
    </row>
    <row r="39" ht="16.5" customHeight="1" s="311">
      <c r="A39" s="1" t="n"/>
      <c r="B39" s="204" t="n">
        <v>13</v>
      </c>
      <c r="C39" s="289">
        <f t="array" ref="C39">IF(OR(INDEX($C$6:$C$20,$D$24)="",12&gt;=N(INDEX($I$6:$I$20,$D$24))),"","Pendiente")</f>
        <v/>
      </c>
      <c r="D39" s="289">
        <f t="array" ref="D39">IF(OR(INDEX($C$6:$C$20,$D$24)="",12&gt;=N(INDEX($I$6:$I$20,$D$24))),"",INDEX($D$6:$D$20,$D$24))</f>
        <v/>
      </c>
      <c r="E39" s="289">
        <f t="array" ref="E39">IF(OR(INDEX($C$6:$C$20,$D$24)="",12&gt;=N(INDEX($I$6:$I$20,$D$24))),"",INDEX($E$6:$E$20,$D$24))</f>
        <v/>
      </c>
      <c r="F39" s="289">
        <f t="array" ref="F39">IF(OR(INDEX($C$6:$C$20,$D$24)="",12&gt;=N(INDEX($I$6:$I$20,$D$24))),"",INDEX($C$6:$C$20,$D$24)&amp;" — "&amp;TEXT(EDATE(INDEX($J$6:$J$20,$D$24),12),"MM/YYYY"))</f>
        <v/>
      </c>
      <c r="G39" s="292">
        <f t="array" ref="G39">IF(OR(INDEX($C$6:$C$20,$D$24)="",12&gt;=N(INDEX($I$6:$I$20,$D$24))),"","REC-"&amp;TEXT($D$24,"00")&amp;"-"&amp;TEXT(EDATE(INDEX($J$6:$J$20,$D$24),12),"YYYYMM"))</f>
        <v/>
      </c>
      <c r="H39" s="220">
        <f t="array" ref="H39">IF(OR(INDEX($C$6:$C$20,$D$24)="",12&gt;=N(INDEX($I$6:$I$20,$D$24))),"",EDATE(INDEX($J$6:$J$20,$D$24),12)-10)</f>
        <v/>
      </c>
      <c r="I39" s="220">
        <f t="array" ref="I39">IF(OR(INDEX($C$6:$C$20,$D$24)="",12&gt;=N(INDEX($I$6:$I$20,$D$24))),"",EDATE(INDEX($J$6:$J$20,$D$24),12))</f>
        <v/>
      </c>
      <c r="J39" s="13">
        <f t="array" ref="J39">IF(OR(INDEX($C$6:$C$20,$D$24)="",12&gt;=N(INDEX($I$6:$I$20,$D$24))),"",INDEX($F$6:$F$20,$D$24))</f>
        <v/>
      </c>
      <c r="K39" s="13">
        <f t="array" ref="K39">IF(OR(INDEX($C$6:$C$20,$D$24)="",12&gt;=N(INDEX($I$6:$I$20,$D$24))),"",0)</f>
        <v/>
      </c>
      <c r="L39" s="289">
        <f t="array" ref="L39">IF(OR(INDEX($C$6:$C$20,$D$24)="",12&gt;=N(INDEX($I$6:$I$20,$D$24))),"",INDEX($H$6:$H$20,$D$24))</f>
        <v/>
      </c>
      <c r="M39" s="1" t="n"/>
      <c r="N39" s="1" t="n"/>
      <c r="O39" s="1" t="n"/>
      <c r="P39" s="1" t="n"/>
      <c r="Q39" s="1" t="n"/>
      <c r="R39" s="1" t="n"/>
      <c r="S39" s="1" t="n"/>
      <c r="T39" s="1" t="n"/>
      <c r="U39" s="1" t="n"/>
      <c r="V39" s="1" t="n"/>
      <c r="W39" s="1" t="n"/>
      <c r="X39" s="1" t="n"/>
      <c r="Y39" s="1" t="n"/>
      <c r="Z39" s="1" t="n"/>
    </row>
    <row r="40" ht="16.5" customHeight="1" s="311">
      <c r="A40" s="1" t="n"/>
      <c r="B40" s="204" t="n">
        <v>14</v>
      </c>
      <c r="C40" s="289">
        <f t="array" ref="C40">IF(OR(INDEX($C$6:$C$20,$D$24)="",13&gt;=N(INDEX($I$6:$I$20,$D$24))),"","Pendiente")</f>
        <v/>
      </c>
      <c r="D40" s="289">
        <f t="array" ref="D40">IF(OR(INDEX($C$6:$C$20,$D$24)="",13&gt;=N(INDEX($I$6:$I$20,$D$24))),"",INDEX($D$6:$D$20,$D$24))</f>
        <v/>
      </c>
      <c r="E40" s="289">
        <f t="array" ref="E40">IF(OR(INDEX($C$6:$C$20,$D$24)="",13&gt;=N(INDEX($I$6:$I$20,$D$24))),"",INDEX($E$6:$E$20,$D$24))</f>
        <v/>
      </c>
      <c r="F40" s="289">
        <f t="array" ref="F40">IF(OR(INDEX($C$6:$C$20,$D$24)="",13&gt;=N(INDEX($I$6:$I$20,$D$24))),"",INDEX($C$6:$C$20,$D$24)&amp;" — "&amp;TEXT(EDATE(INDEX($J$6:$J$20,$D$24),13),"MM/YYYY"))</f>
        <v/>
      </c>
      <c r="G40" s="292">
        <f t="array" ref="G40">IF(OR(INDEX($C$6:$C$20,$D$24)="",13&gt;=N(INDEX($I$6:$I$20,$D$24))),"","REC-"&amp;TEXT($D$24,"00")&amp;"-"&amp;TEXT(EDATE(INDEX($J$6:$J$20,$D$24),13),"YYYYMM"))</f>
        <v/>
      </c>
      <c r="H40" s="220">
        <f t="array" ref="H40">IF(OR(INDEX($C$6:$C$20,$D$24)="",13&gt;=N(INDEX($I$6:$I$20,$D$24))),"",EDATE(INDEX($J$6:$J$20,$D$24),13)-10)</f>
        <v/>
      </c>
      <c r="I40" s="220">
        <f t="array" ref="I40">IF(OR(INDEX($C$6:$C$20,$D$24)="",13&gt;=N(INDEX($I$6:$I$20,$D$24))),"",EDATE(INDEX($J$6:$J$20,$D$24),13))</f>
        <v/>
      </c>
      <c r="J40" s="13">
        <f t="array" ref="J40">IF(OR(INDEX($C$6:$C$20,$D$24)="",13&gt;=N(INDEX($I$6:$I$20,$D$24))),"",INDEX($F$6:$F$20,$D$24))</f>
        <v/>
      </c>
      <c r="K40" s="13">
        <f t="array" ref="K40">IF(OR(INDEX($C$6:$C$20,$D$24)="",13&gt;=N(INDEX($I$6:$I$20,$D$24))),"",0)</f>
        <v/>
      </c>
      <c r="L40" s="289">
        <f t="array" ref="L40">IF(OR(INDEX($C$6:$C$20,$D$24)="",13&gt;=N(INDEX($I$6:$I$20,$D$24))),"",INDEX($H$6:$H$20,$D$24))</f>
        <v/>
      </c>
      <c r="M40" s="1" t="n"/>
      <c r="N40" s="1" t="n"/>
      <c r="O40" s="1" t="n"/>
      <c r="P40" s="1" t="n"/>
      <c r="Q40" s="1" t="n"/>
      <c r="R40" s="1" t="n"/>
      <c r="S40" s="1" t="n"/>
      <c r="T40" s="1" t="n"/>
      <c r="U40" s="1" t="n"/>
      <c r="V40" s="1" t="n"/>
      <c r="W40" s="1" t="n"/>
      <c r="X40" s="1" t="n"/>
      <c r="Y40" s="1" t="n"/>
      <c r="Z40" s="1" t="n"/>
    </row>
    <row r="41" ht="16.5" customHeight="1" s="311">
      <c r="A41" s="1" t="n"/>
      <c r="B41" s="204" t="n">
        <v>15</v>
      </c>
      <c r="C41" s="289">
        <f t="array" ref="C41">IF(OR(INDEX($C$6:$C$20,$D$24)="",14&gt;=N(INDEX($I$6:$I$20,$D$24))),"","Pendiente")</f>
        <v/>
      </c>
      <c r="D41" s="289">
        <f t="array" ref="D41">IF(OR(INDEX($C$6:$C$20,$D$24)="",14&gt;=N(INDEX($I$6:$I$20,$D$24))),"",INDEX($D$6:$D$20,$D$24))</f>
        <v/>
      </c>
      <c r="E41" s="289">
        <f t="array" ref="E41">IF(OR(INDEX($C$6:$C$20,$D$24)="",14&gt;=N(INDEX($I$6:$I$20,$D$24))),"",INDEX($E$6:$E$20,$D$24))</f>
        <v/>
      </c>
      <c r="F41" s="289">
        <f t="array" ref="F41">IF(OR(INDEX($C$6:$C$20,$D$24)="",14&gt;=N(INDEX($I$6:$I$20,$D$24))),"",INDEX($C$6:$C$20,$D$24)&amp;" — "&amp;TEXT(EDATE(INDEX($J$6:$J$20,$D$24),14),"MM/YYYY"))</f>
        <v/>
      </c>
      <c r="G41" s="292">
        <f t="array" ref="G41">IF(OR(INDEX($C$6:$C$20,$D$24)="",14&gt;=N(INDEX($I$6:$I$20,$D$24))),"","REC-"&amp;TEXT($D$24,"00")&amp;"-"&amp;TEXT(EDATE(INDEX($J$6:$J$20,$D$24),14),"YYYYMM"))</f>
        <v/>
      </c>
      <c r="H41" s="220">
        <f t="array" ref="H41">IF(OR(INDEX($C$6:$C$20,$D$24)="",14&gt;=N(INDEX($I$6:$I$20,$D$24))),"",EDATE(INDEX($J$6:$J$20,$D$24),14)-10)</f>
        <v/>
      </c>
      <c r="I41" s="220">
        <f t="array" ref="I41">IF(OR(INDEX($C$6:$C$20,$D$24)="",14&gt;=N(INDEX($I$6:$I$20,$D$24))),"",EDATE(INDEX($J$6:$J$20,$D$24),14))</f>
        <v/>
      </c>
      <c r="J41" s="13">
        <f t="array" ref="J41">IF(OR(INDEX($C$6:$C$20,$D$24)="",14&gt;=N(INDEX($I$6:$I$20,$D$24))),"",INDEX($F$6:$F$20,$D$24))</f>
        <v/>
      </c>
      <c r="K41" s="13">
        <f t="array" ref="K41">IF(OR(INDEX($C$6:$C$20,$D$24)="",14&gt;=N(INDEX($I$6:$I$20,$D$24))),"",0)</f>
        <v/>
      </c>
      <c r="L41" s="289">
        <f t="array" ref="L41">IF(OR(INDEX($C$6:$C$20,$D$24)="",14&gt;=N(INDEX($I$6:$I$20,$D$24))),"",INDEX($H$6:$H$20,$D$24))</f>
        <v/>
      </c>
      <c r="M41" s="1" t="n"/>
      <c r="N41" s="1" t="n"/>
      <c r="O41" s="1" t="n"/>
      <c r="P41" s="1" t="n"/>
      <c r="Q41" s="1" t="n"/>
      <c r="R41" s="1" t="n"/>
      <c r="S41" s="1" t="n"/>
      <c r="T41" s="1" t="n"/>
      <c r="U41" s="1" t="n"/>
      <c r="V41" s="1" t="n"/>
      <c r="W41" s="1" t="n"/>
      <c r="X41" s="1" t="n"/>
      <c r="Y41" s="1" t="n"/>
      <c r="Z41" s="1" t="n"/>
    </row>
    <row r="42" ht="16.5" customHeight="1" s="311">
      <c r="A42" s="1" t="n"/>
      <c r="B42" s="204" t="n">
        <v>16</v>
      </c>
      <c r="C42" s="289">
        <f t="array" ref="C42">IF(OR(INDEX($C$6:$C$20,$D$24)="",15&gt;=N(INDEX($I$6:$I$20,$D$24))),"","Pendiente")</f>
        <v/>
      </c>
      <c r="D42" s="289">
        <f t="array" ref="D42">IF(OR(INDEX($C$6:$C$20,$D$24)="",15&gt;=N(INDEX($I$6:$I$20,$D$24))),"",INDEX($D$6:$D$20,$D$24))</f>
        <v/>
      </c>
      <c r="E42" s="289">
        <f t="array" ref="E42">IF(OR(INDEX($C$6:$C$20,$D$24)="",15&gt;=N(INDEX($I$6:$I$20,$D$24))),"",INDEX($E$6:$E$20,$D$24))</f>
        <v/>
      </c>
      <c r="F42" s="289">
        <f t="array" ref="F42">IF(OR(INDEX($C$6:$C$20,$D$24)="",15&gt;=N(INDEX($I$6:$I$20,$D$24))),"",INDEX($C$6:$C$20,$D$24)&amp;" — "&amp;TEXT(EDATE(INDEX($J$6:$J$20,$D$24),15),"MM/YYYY"))</f>
        <v/>
      </c>
      <c r="G42" s="292">
        <f t="array" ref="G42">IF(OR(INDEX($C$6:$C$20,$D$24)="",15&gt;=N(INDEX($I$6:$I$20,$D$24))),"","REC-"&amp;TEXT($D$24,"00")&amp;"-"&amp;TEXT(EDATE(INDEX($J$6:$J$20,$D$24),15),"YYYYMM"))</f>
        <v/>
      </c>
      <c r="H42" s="220">
        <f t="array" ref="H42">IF(OR(INDEX($C$6:$C$20,$D$24)="",15&gt;=N(INDEX($I$6:$I$20,$D$24))),"",EDATE(INDEX($J$6:$J$20,$D$24),15)-10)</f>
        <v/>
      </c>
      <c r="I42" s="220">
        <f t="array" ref="I42">IF(OR(INDEX($C$6:$C$20,$D$24)="",15&gt;=N(INDEX($I$6:$I$20,$D$24))),"",EDATE(INDEX($J$6:$J$20,$D$24),15))</f>
        <v/>
      </c>
      <c r="J42" s="13">
        <f t="array" ref="J42">IF(OR(INDEX($C$6:$C$20,$D$24)="",15&gt;=N(INDEX($I$6:$I$20,$D$24))),"",INDEX($F$6:$F$20,$D$24))</f>
        <v/>
      </c>
      <c r="K42" s="13">
        <f t="array" ref="K42">IF(OR(INDEX($C$6:$C$20,$D$24)="",15&gt;=N(INDEX($I$6:$I$20,$D$24))),"",0)</f>
        <v/>
      </c>
      <c r="L42" s="289">
        <f t="array" ref="L42">IF(OR(INDEX($C$6:$C$20,$D$24)="",15&gt;=N(INDEX($I$6:$I$20,$D$24))),"",INDEX($H$6:$H$20,$D$24))</f>
        <v/>
      </c>
      <c r="M42" s="1" t="n"/>
      <c r="N42" s="1" t="n"/>
      <c r="O42" s="1" t="n"/>
      <c r="P42" s="1" t="n"/>
      <c r="Q42" s="1" t="n"/>
      <c r="R42" s="1" t="n"/>
      <c r="S42" s="1" t="n"/>
      <c r="T42" s="1" t="n"/>
      <c r="U42" s="1" t="n"/>
      <c r="V42" s="1" t="n"/>
      <c r="W42" s="1" t="n"/>
      <c r="X42" s="1" t="n"/>
      <c r="Y42" s="1" t="n"/>
      <c r="Z42" s="1" t="n"/>
    </row>
    <row r="43" ht="16.5" customHeight="1" s="311">
      <c r="A43" s="1" t="n"/>
      <c r="B43" s="204" t="n">
        <v>17</v>
      </c>
      <c r="C43" s="289">
        <f t="array" ref="C43">IF(OR(INDEX($C$6:$C$20,$D$24)="",16&gt;=N(INDEX($I$6:$I$20,$D$24))),"","Pendiente")</f>
        <v/>
      </c>
      <c r="D43" s="289">
        <f t="array" ref="D43">IF(OR(INDEX($C$6:$C$20,$D$24)="",16&gt;=N(INDEX($I$6:$I$20,$D$24))),"",INDEX($D$6:$D$20,$D$24))</f>
        <v/>
      </c>
      <c r="E43" s="289">
        <f t="array" ref="E43">IF(OR(INDEX($C$6:$C$20,$D$24)="",16&gt;=N(INDEX($I$6:$I$20,$D$24))),"",INDEX($E$6:$E$20,$D$24))</f>
        <v/>
      </c>
      <c r="F43" s="289">
        <f t="array" ref="F43">IF(OR(INDEX($C$6:$C$20,$D$24)="",16&gt;=N(INDEX($I$6:$I$20,$D$24))),"",INDEX($C$6:$C$20,$D$24)&amp;" — "&amp;TEXT(EDATE(INDEX($J$6:$J$20,$D$24),16),"MM/YYYY"))</f>
        <v/>
      </c>
      <c r="G43" s="292">
        <f t="array" ref="G43">IF(OR(INDEX($C$6:$C$20,$D$24)="",16&gt;=N(INDEX($I$6:$I$20,$D$24))),"","REC-"&amp;TEXT($D$24,"00")&amp;"-"&amp;TEXT(EDATE(INDEX($J$6:$J$20,$D$24),16),"YYYYMM"))</f>
        <v/>
      </c>
      <c r="H43" s="220">
        <f t="array" ref="H43">IF(OR(INDEX($C$6:$C$20,$D$24)="",16&gt;=N(INDEX($I$6:$I$20,$D$24))),"",EDATE(INDEX($J$6:$J$20,$D$24),16)-10)</f>
        <v/>
      </c>
      <c r="I43" s="220">
        <f t="array" ref="I43">IF(OR(INDEX($C$6:$C$20,$D$24)="",16&gt;=N(INDEX($I$6:$I$20,$D$24))),"",EDATE(INDEX($J$6:$J$20,$D$24),16))</f>
        <v/>
      </c>
      <c r="J43" s="13">
        <f t="array" ref="J43">IF(OR(INDEX($C$6:$C$20,$D$24)="",16&gt;=N(INDEX($I$6:$I$20,$D$24))),"",INDEX($F$6:$F$20,$D$24))</f>
        <v/>
      </c>
      <c r="K43" s="13">
        <f t="array" ref="K43">IF(OR(INDEX($C$6:$C$20,$D$24)="",16&gt;=N(INDEX($I$6:$I$20,$D$24))),"",0)</f>
        <v/>
      </c>
      <c r="L43" s="289">
        <f t="array" ref="L43">IF(OR(INDEX($C$6:$C$20,$D$24)="",16&gt;=N(INDEX($I$6:$I$20,$D$24))),"",INDEX($H$6:$H$20,$D$24))</f>
        <v/>
      </c>
      <c r="M43" s="1" t="n"/>
      <c r="N43" s="1" t="n"/>
      <c r="O43" s="1" t="n"/>
      <c r="P43" s="1" t="n"/>
      <c r="Q43" s="1" t="n"/>
      <c r="R43" s="1" t="n"/>
      <c r="S43" s="1" t="n"/>
      <c r="T43" s="1" t="n"/>
      <c r="U43" s="1" t="n"/>
      <c r="V43" s="1" t="n"/>
      <c r="W43" s="1" t="n"/>
      <c r="X43" s="1" t="n"/>
      <c r="Y43" s="1" t="n"/>
      <c r="Z43" s="1" t="n"/>
    </row>
    <row r="44" ht="16.5" customHeight="1" s="311">
      <c r="A44" s="1" t="n"/>
      <c r="B44" s="204" t="n">
        <v>18</v>
      </c>
      <c r="C44" s="289">
        <f t="array" ref="C44">IF(OR(INDEX($C$6:$C$20,$D$24)="",17&gt;=N(INDEX($I$6:$I$20,$D$24))),"","Pendiente")</f>
        <v/>
      </c>
      <c r="D44" s="289">
        <f t="array" ref="D44">IF(OR(INDEX($C$6:$C$20,$D$24)="",17&gt;=N(INDEX($I$6:$I$20,$D$24))),"",INDEX($D$6:$D$20,$D$24))</f>
        <v/>
      </c>
      <c r="E44" s="289">
        <f t="array" ref="E44">IF(OR(INDEX($C$6:$C$20,$D$24)="",17&gt;=N(INDEX($I$6:$I$20,$D$24))),"",INDEX($E$6:$E$20,$D$24))</f>
        <v/>
      </c>
      <c r="F44" s="289">
        <f t="array" ref="F44">IF(OR(INDEX($C$6:$C$20,$D$24)="",17&gt;=N(INDEX($I$6:$I$20,$D$24))),"",INDEX($C$6:$C$20,$D$24)&amp;" — "&amp;TEXT(EDATE(INDEX($J$6:$J$20,$D$24),17),"MM/YYYY"))</f>
        <v/>
      </c>
      <c r="G44" s="292">
        <f t="array" ref="G44">IF(OR(INDEX($C$6:$C$20,$D$24)="",17&gt;=N(INDEX($I$6:$I$20,$D$24))),"","REC-"&amp;TEXT($D$24,"00")&amp;"-"&amp;TEXT(EDATE(INDEX($J$6:$J$20,$D$24),17),"YYYYMM"))</f>
        <v/>
      </c>
      <c r="H44" s="220">
        <f t="array" ref="H44">IF(OR(INDEX($C$6:$C$20,$D$24)="",17&gt;=N(INDEX($I$6:$I$20,$D$24))),"",EDATE(INDEX($J$6:$J$20,$D$24),17)-10)</f>
        <v/>
      </c>
      <c r="I44" s="220">
        <f t="array" ref="I44">IF(OR(INDEX($C$6:$C$20,$D$24)="",17&gt;=N(INDEX($I$6:$I$20,$D$24))),"",EDATE(INDEX($J$6:$J$20,$D$24),17))</f>
        <v/>
      </c>
      <c r="J44" s="13">
        <f t="array" ref="J44">IF(OR(INDEX($C$6:$C$20,$D$24)="",17&gt;=N(INDEX($I$6:$I$20,$D$24))),"",INDEX($F$6:$F$20,$D$24))</f>
        <v/>
      </c>
      <c r="K44" s="13">
        <f t="array" ref="K44">IF(OR(INDEX($C$6:$C$20,$D$24)="",17&gt;=N(INDEX($I$6:$I$20,$D$24))),"",0)</f>
        <v/>
      </c>
      <c r="L44" s="289">
        <f t="array" ref="L44">IF(OR(INDEX($C$6:$C$20,$D$24)="",17&gt;=N(INDEX($I$6:$I$20,$D$24))),"",INDEX($H$6:$H$20,$D$24))</f>
        <v/>
      </c>
      <c r="M44" s="1" t="n"/>
      <c r="N44" s="1" t="n"/>
      <c r="O44" s="1" t="n"/>
      <c r="P44" s="1" t="n"/>
      <c r="Q44" s="1" t="n"/>
      <c r="R44" s="1" t="n"/>
      <c r="S44" s="1" t="n"/>
      <c r="T44" s="1" t="n"/>
      <c r="U44" s="1" t="n"/>
      <c r="V44" s="1" t="n"/>
      <c r="W44" s="1" t="n"/>
      <c r="X44" s="1" t="n"/>
      <c r="Y44" s="1" t="n"/>
      <c r="Z44" s="1" t="n"/>
    </row>
    <row r="45" ht="16.5" customHeight="1" s="311">
      <c r="A45" s="1" t="n"/>
      <c r="B45" s="204" t="n">
        <v>19</v>
      </c>
      <c r="C45" s="289">
        <f t="array" ref="C45">IF(OR(INDEX($C$6:$C$20,$D$24)="",18&gt;=N(INDEX($I$6:$I$20,$D$24))),"","Pendiente")</f>
        <v/>
      </c>
      <c r="D45" s="289">
        <f t="array" ref="D45">IF(OR(INDEX($C$6:$C$20,$D$24)="",18&gt;=N(INDEX($I$6:$I$20,$D$24))),"",INDEX($D$6:$D$20,$D$24))</f>
        <v/>
      </c>
      <c r="E45" s="289">
        <f t="array" ref="E45">IF(OR(INDEX($C$6:$C$20,$D$24)="",18&gt;=N(INDEX($I$6:$I$20,$D$24))),"",INDEX($E$6:$E$20,$D$24))</f>
        <v/>
      </c>
      <c r="F45" s="289">
        <f t="array" ref="F45">IF(OR(INDEX($C$6:$C$20,$D$24)="",18&gt;=N(INDEX($I$6:$I$20,$D$24))),"",INDEX($C$6:$C$20,$D$24)&amp;" — "&amp;TEXT(EDATE(INDEX($J$6:$J$20,$D$24),18),"MM/YYYY"))</f>
        <v/>
      </c>
      <c r="G45" s="292">
        <f t="array" ref="G45">IF(OR(INDEX($C$6:$C$20,$D$24)="",18&gt;=N(INDEX($I$6:$I$20,$D$24))),"","REC-"&amp;TEXT($D$24,"00")&amp;"-"&amp;TEXT(EDATE(INDEX($J$6:$J$20,$D$24),18),"YYYYMM"))</f>
        <v/>
      </c>
      <c r="H45" s="220">
        <f t="array" ref="H45">IF(OR(INDEX($C$6:$C$20,$D$24)="",18&gt;=N(INDEX($I$6:$I$20,$D$24))),"",EDATE(INDEX($J$6:$J$20,$D$24),18)-10)</f>
        <v/>
      </c>
      <c r="I45" s="220">
        <f t="array" ref="I45">IF(OR(INDEX($C$6:$C$20,$D$24)="",18&gt;=N(INDEX($I$6:$I$20,$D$24))),"",EDATE(INDEX($J$6:$J$20,$D$24),18))</f>
        <v/>
      </c>
      <c r="J45" s="13">
        <f t="array" ref="J45">IF(OR(INDEX($C$6:$C$20,$D$24)="",18&gt;=N(INDEX($I$6:$I$20,$D$24))),"",INDEX($F$6:$F$20,$D$24))</f>
        <v/>
      </c>
      <c r="K45" s="13">
        <f t="array" ref="K45">IF(OR(INDEX($C$6:$C$20,$D$24)="",18&gt;=N(INDEX($I$6:$I$20,$D$24))),"",0)</f>
        <v/>
      </c>
      <c r="L45" s="289">
        <f t="array" ref="L45">IF(OR(INDEX($C$6:$C$20,$D$24)="",18&gt;=N(INDEX($I$6:$I$20,$D$24))),"",INDEX($H$6:$H$20,$D$24))</f>
        <v/>
      </c>
      <c r="M45" s="1" t="n"/>
      <c r="N45" s="1" t="n"/>
      <c r="O45" s="1" t="n"/>
      <c r="P45" s="1" t="n"/>
      <c r="Q45" s="1" t="n"/>
      <c r="R45" s="1" t="n"/>
      <c r="S45" s="1" t="n"/>
      <c r="T45" s="1" t="n"/>
      <c r="U45" s="1" t="n"/>
      <c r="V45" s="1" t="n"/>
      <c r="W45" s="1" t="n"/>
      <c r="X45" s="1" t="n"/>
      <c r="Y45" s="1" t="n"/>
      <c r="Z45" s="1" t="n"/>
    </row>
    <row r="46" ht="16.5" customHeight="1" s="311">
      <c r="A46" s="1" t="n"/>
      <c r="B46" s="204" t="n">
        <v>20</v>
      </c>
      <c r="C46" s="289">
        <f t="array" ref="C46">IF(OR(INDEX($C$6:$C$20,$D$24)="",19&gt;=N(INDEX($I$6:$I$20,$D$24))),"","Pendiente")</f>
        <v/>
      </c>
      <c r="D46" s="289">
        <f t="array" ref="D46">IF(OR(INDEX($C$6:$C$20,$D$24)="",19&gt;=N(INDEX($I$6:$I$20,$D$24))),"",INDEX($D$6:$D$20,$D$24))</f>
        <v/>
      </c>
      <c r="E46" s="289">
        <f t="array" ref="E46">IF(OR(INDEX($C$6:$C$20,$D$24)="",19&gt;=N(INDEX($I$6:$I$20,$D$24))),"",INDEX($E$6:$E$20,$D$24))</f>
        <v/>
      </c>
      <c r="F46" s="289">
        <f t="array" ref="F46">IF(OR(INDEX($C$6:$C$20,$D$24)="",19&gt;=N(INDEX($I$6:$I$20,$D$24))),"",INDEX($C$6:$C$20,$D$24)&amp;" — "&amp;TEXT(EDATE(INDEX($J$6:$J$20,$D$24),19),"MM/YYYY"))</f>
        <v/>
      </c>
      <c r="G46" s="292">
        <f t="array" ref="G46">IF(OR(INDEX($C$6:$C$20,$D$24)="",19&gt;=N(INDEX($I$6:$I$20,$D$24))),"","REC-"&amp;TEXT($D$24,"00")&amp;"-"&amp;TEXT(EDATE(INDEX($J$6:$J$20,$D$24),19),"YYYYMM"))</f>
        <v/>
      </c>
      <c r="H46" s="220">
        <f t="array" ref="H46">IF(OR(INDEX($C$6:$C$20,$D$24)="",19&gt;=N(INDEX($I$6:$I$20,$D$24))),"",EDATE(INDEX($J$6:$J$20,$D$24),19)-10)</f>
        <v/>
      </c>
      <c r="I46" s="220">
        <f t="array" ref="I46">IF(OR(INDEX($C$6:$C$20,$D$24)="",19&gt;=N(INDEX($I$6:$I$20,$D$24))),"",EDATE(INDEX($J$6:$J$20,$D$24),19))</f>
        <v/>
      </c>
      <c r="J46" s="13">
        <f t="array" ref="J46">IF(OR(INDEX($C$6:$C$20,$D$24)="",19&gt;=N(INDEX($I$6:$I$20,$D$24))),"",INDEX($F$6:$F$20,$D$24))</f>
        <v/>
      </c>
      <c r="K46" s="13">
        <f t="array" ref="K46">IF(OR(INDEX($C$6:$C$20,$D$24)="",19&gt;=N(INDEX($I$6:$I$20,$D$24))),"",0)</f>
        <v/>
      </c>
      <c r="L46" s="289">
        <f t="array" ref="L46">IF(OR(INDEX($C$6:$C$20,$D$24)="",19&gt;=N(INDEX($I$6:$I$20,$D$24))),"",INDEX($H$6:$H$20,$D$24))</f>
        <v/>
      </c>
      <c r="M46" s="1" t="n"/>
      <c r="N46" s="1" t="n"/>
      <c r="O46" s="1" t="n"/>
      <c r="P46" s="1" t="n"/>
      <c r="Q46" s="1" t="n"/>
      <c r="R46" s="1" t="n"/>
      <c r="S46" s="1" t="n"/>
      <c r="T46" s="1" t="n"/>
      <c r="U46" s="1" t="n"/>
      <c r="V46" s="1" t="n"/>
      <c r="W46" s="1" t="n"/>
      <c r="X46" s="1" t="n"/>
      <c r="Y46" s="1" t="n"/>
      <c r="Z46" s="1" t="n"/>
    </row>
    <row r="47" ht="16.5" customHeight="1" s="311">
      <c r="A47" s="1" t="n"/>
      <c r="B47" s="204" t="n">
        <v>21</v>
      </c>
      <c r="C47" s="289">
        <f t="array" ref="C47">IF(OR(INDEX($C$6:$C$20,$D$24)="",20&gt;=N(INDEX($I$6:$I$20,$D$24))),"","Pendiente")</f>
        <v/>
      </c>
      <c r="D47" s="289">
        <f t="array" ref="D47">IF(OR(INDEX($C$6:$C$20,$D$24)="",20&gt;=N(INDEX($I$6:$I$20,$D$24))),"",INDEX($D$6:$D$20,$D$24))</f>
        <v/>
      </c>
      <c r="E47" s="289">
        <f t="array" ref="E47">IF(OR(INDEX($C$6:$C$20,$D$24)="",20&gt;=N(INDEX($I$6:$I$20,$D$24))),"",INDEX($E$6:$E$20,$D$24))</f>
        <v/>
      </c>
      <c r="F47" s="289">
        <f t="array" ref="F47">IF(OR(INDEX($C$6:$C$20,$D$24)="",20&gt;=N(INDEX($I$6:$I$20,$D$24))),"",INDEX($C$6:$C$20,$D$24)&amp;" — "&amp;TEXT(EDATE(INDEX($J$6:$J$20,$D$24),20),"MM/YYYY"))</f>
        <v/>
      </c>
      <c r="G47" s="292">
        <f t="array" ref="G47">IF(OR(INDEX($C$6:$C$20,$D$24)="",20&gt;=N(INDEX($I$6:$I$20,$D$24))),"","REC-"&amp;TEXT($D$24,"00")&amp;"-"&amp;TEXT(EDATE(INDEX($J$6:$J$20,$D$24),20),"YYYYMM"))</f>
        <v/>
      </c>
      <c r="H47" s="220">
        <f t="array" ref="H47">IF(OR(INDEX($C$6:$C$20,$D$24)="",20&gt;=N(INDEX($I$6:$I$20,$D$24))),"",EDATE(INDEX($J$6:$J$20,$D$24),20)-10)</f>
        <v/>
      </c>
      <c r="I47" s="220">
        <f t="array" ref="I47">IF(OR(INDEX($C$6:$C$20,$D$24)="",20&gt;=N(INDEX($I$6:$I$20,$D$24))),"",EDATE(INDEX($J$6:$J$20,$D$24),20))</f>
        <v/>
      </c>
      <c r="J47" s="13">
        <f t="array" ref="J47">IF(OR(INDEX($C$6:$C$20,$D$24)="",20&gt;=N(INDEX($I$6:$I$20,$D$24))),"",INDEX($F$6:$F$20,$D$24))</f>
        <v/>
      </c>
      <c r="K47" s="13">
        <f t="array" ref="K47">IF(OR(INDEX($C$6:$C$20,$D$24)="",20&gt;=N(INDEX($I$6:$I$20,$D$24))),"",0)</f>
        <v/>
      </c>
      <c r="L47" s="289">
        <f t="array" ref="L47">IF(OR(INDEX($C$6:$C$20,$D$24)="",20&gt;=N(INDEX($I$6:$I$20,$D$24))),"",INDEX($H$6:$H$20,$D$24))</f>
        <v/>
      </c>
      <c r="M47" s="1" t="n"/>
      <c r="N47" s="1" t="n"/>
      <c r="O47" s="1" t="n"/>
      <c r="P47" s="1" t="n"/>
      <c r="Q47" s="1" t="n"/>
      <c r="R47" s="1" t="n"/>
      <c r="S47" s="1" t="n"/>
      <c r="T47" s="1" t="n"/>
      <c r="U47" s="1" t="n"/>
      <c r="V47" s="1" t="n"/>
      <c r="W47" s="1" t="n"/>
      <c r="X47" s="1" t="n"/>
      <c r="Y47" s="1" t="n"/>
      <c r="Z47" s="1" t="n"/>
    </row>
    <row r="48" ht="16.5" customHeight="1" s="311">
      <c r="A48" s="1" t="n"/>
      <c r="B48" s="204" t="n">
        <v>22</v>
      </c>
      <c r="C48" s="289">
        <f t="array" ref="C48">IF(OR(INDEX($C$6:$C$20,$D$24)="",21&gt;=N(INDEX($I$6:$I$20,$D$24))),"","Pendiente")</f>
        <v/>
      </c>
      <c r="D48" s="289">
        <f t="array" ref="D48">IF(OR(INDEX($C$6:$C$20,$D$24)="",21&gt;=N(INDEX($I$6:$I$20,$D$24))),"",INDEX($D$6:$D$20,$D$24))</f>
        <v/>
      </c>
      <c r="E48" s="289">
        <f t="array" ref="E48">IF(OR(INDEX($C$6:$C$20,$D$24)="",21&gt;=N(INDEX($I$6:$I$20,$D$24))),"",INDEX($E$6:$E$20,$D$24))</f>
        <v/>
      </c>
      <c r="F48" s="289">
        <f t="array" ref="F48">IF(OR(INDEX($C$6:$C$20,$D$24)="",21&gt;=N(INDEX($I$6:$I$20,$D$24))),"",INDEX($C$6:$C$20,$D$24)&amp;" — "&amp;TEXT(EDATE(INDEX($J$6:$J$20,$D$24),21),"MM/YYYY"))</f>
        <v/>
      </c>
      <c r="G48" s="292">
        <f t="array" ref="G48">IF(OR(INDEX($C$6:$C$20,$D$24)="",21&gt;=N(INDEX($I$6:$I$20,$D$24))),"","REC-"&amp;TEXT($D$24,"00")&amp;"-"&amp;TEXT(EDATE(INDEX($J$6:$J$20,$D$24),21),"YYYYMM"))</f>
        <v/>
      </c>
      <c r="H48" s="220">
        <f t="array" ref="H48">IF(OR(INDEX($C$6:$C$20,$D$24)="",21&gt;=N(INDEX($I$6:$I$20,$D$24))),"",EDATE(INDEX($J$6:$J$20,$D$24),21)-10)</f>
        <v/>
      </c>
      <c r="I48" s="220">
        <f t="array" ref="I48">IF(OR(INDEX($C$6:$C$20,$D$24)="",21&gt;=N(INDEX($I$6:$I$20,$D$24))),"",EDATE(INDEX($J$6:$J$20,$D$24),21))</f>
        <v/>
      </c>
      <c r="J48" s="13">
        <f t="array" ref="J48">IF(OR(INDEX($C$6:$C$20,$D$24)="",21&gt;=N(INDEX($I$6:$I$20,$D$24))),"",INDEX($F$6:$F$20,$D$24))</f>
        <v/>
      </c>
      <c r="K48" s="13">
        <f t="array" ref="K48">IF(OR(INDEX($C$6:$C$20,$D$24)="",21&gt;=N(INDEX($I$6:$I$20,$D$24))),"",0)</f>
        <v/>
      </c>
      <c r="L48" s="289">
        <f t="array" ref="L48">IF(OR(INDEX($C$6:$C$20,$D$24)="",21&gt;=N(INDEX($I$6:$I$20,$D$24))),"",INDEX($H$6:$H$20,$D$24))</f>
        <v/>
      </c>
      <c r="M48" s="1" t="n"/>
      <c r="N48" s="1" t="n"/>
      <c r="O48" s="1" t="n"/>
      <c r="P48" s="1" t="n"/>
      <c r="Q48" s="1" t="n"/>
      <c r="R48" s="1" t="n"/>
      <c r="S48" s="1" t="n"/>
      <c r="T48" s="1" t="n"/>
      <c r="U48" s="1" t="n"/>
      <c r="V48" s="1" t="n"/>
      <c r="W48" s="1" t="n"/>
      <c r="X48" s="1" t="n"/>
      <c r="Y48" s="1" t="n"/>
      <c r="Z48" s="1" t="n"/>
    </row>
    <row r="49" ht="16.5" customHeight="1" s="311">
      <c r="A49" s="1" t="n"/>
      <c r="B49" s="204" t="n">
        <v>23</v>
      </c>
      <c r="C49" s="289">
        <f t="array" ref="C49">IF(OR(INDEX($C$6:$C$20,$D$24)="",22&gt;=N(INDEX($I$6:$I$20,$D$24))),"","Pendiente")</f>
        <v/>
      </c>
      <c r="D49" s="289">
        <f t="array" ref="D49">IF(OR(INDEX($C$6:$C$20,$D$24)="",22&gt;=N(INDEX($I$6:$I$20,$D$24))),"",INDEX($D$6:$D$20,$D$24))</f>
        <v/>
      </c>
      <c r="E49" s="289">
        <f t="array" ref="E49">IF(OR(INDEX($C$6:$C$20,$D$24)="",22&gt;=N(INDEX($I$6:$I$20,$D$24))),"",INDEX($E$6:$E$20,$D$24))</f>
        <v/>
      </c>
      <c r="F49" s="289">
        <f t="array" ref="F49">IF(OR(INDEX($C$6:$C$20,$D$24)="",22&gt;=N(INDEX($I$6:$I$20,$D$24))),"",INDEX($C$6:$C$20,$D$24)&amp;" — "&amp;TEXT(EDATE(INDEX($J$6:$J$20,$D$24),22),"MM/YYYY"))</f>
        <v/>
      </c>
      <c r="G49" s="292">
        <f t="array" ref="G49">IF(OR(INDEX($C$6:$C$20,$D$24)="",22&gt;=N(INDEX($I$6:$I$20,$D$24))),"","REC-"&amp;TEXT($D$24,"00")&amp;"-"&amp;TEXT(EDATE(INDEX($J$6:$J$20,$D$24),22),"YYYYMM"))</f>
        <v/>
      </c>
      <c r="H49" s="220">
        <f t="array" ref="H49">IF(OR(INDEX($C$6:$C$20,$D$24)="",22&gt;=N(INDEX($I$6:$I$20,$D$24))),"",EDATE(INDEX($J$6:$J$20,$D$24),22)-10)</f>
        <v/>
      </c>
      <c r="I49" s="220">
        <f t="array" ref="I49">IF(OR(INDEX($C$6:$C$20,$D$24)="",22&gt;=N(INDEX($I$6:$I$20,$D$24))),"",EDATE(INDEX($J$6:$J$20,$D$24),22))</f>
        <v/>
      </c>
      <c r="J49" s="13">
        <f t="array" ref="J49">IF(OR(INDEX($C$6:$C$20,$D$24)="",22&gt;=N(INDEX($I$6:$I$20,$D$24))),"",INDEX($F$6:$F$20,$D$24))</f>
        <v/>
      </c>
      <c r="K49" s="13">
        <f t="array" ref="K49">IF(OR(INDEX($C$6:$C$20,$D$24)="",22&gt;=N(INDEX($I$6:$I$20,$D$24))),"",0)</f>
        <v/>
      </c>
      <c r="L49" s="289">
        <f t="array" ref="L49">IF(OR(INDEX($C$6:$C$20,$D$24)="",22&gt;=N(INDEX($I$6:$I$20,$D$24))),"",INDEX($H$6:$H$20,$D$24))</f>
        <v/>
      </c>
      <c r="M49" s="1" t="n"/>
      <c r="N49" s="1" t="n"/>
      <c r="O49" s="1" t="n"/>
      <c r="P49" s="1" t="n"/>
      <c r="Q49" s="1" t="n"/>
      <c r="R49" s="1" t="n"/>
      <c r="S49" s="1" t="n"/>
      <c r="T49" s="1" t="n"/>
      <c r="U49" s="1" t="n"/>
      <c r="V49" s="1" t="n"/>
      <c r="W49" s="1" t="n"/>
      <c r="X49" s="1" t="n"/>
      <c r="Y49" s="1" t="n"/>
      <c r="Z49" s="1" t="n"/>
    </row>
    <row r="50" ht="16.5" customHeight="1" s="311">
      <c r="A50" s="1" t="n"/>
      <c r="B50" s="204" t="n">
        <v>24</v>
      </c>
      <c r="C50" s="289">
        <f t="array" ref="C50">IF(OR(INDEX($C$6:$C$20,$D$24)="",23&gt;=N(INDEX($I$6:$I$20,$D$24))),"","Pendiente")</f>
        <v/>
      </c>
      <c r="D50" s="289">
        <f t="array" ref="D50">IF(OR(INDEX($C$6:$C$20,$D$24)="",23&gt;=N(INDEX($I$6:$I$20,$D$24))),"",INDEX($D$6:$D$20,$D$24))</f>
        <v/>
      </c>
      <c r="E50" s="289">
        <f t="array" ref="E50">IF(OR(INDEX($C$6:$C$20,$D$24)="",23&gt;=N(INDEX($I$6:$I$20,$D$24))),"",INDEX($E$6:$E$20,$D$24))</f>
        <v/>
      </c>
      <c r="F50" s="289">
        <f t="array" ref="F50">IF(OR(INDEX($C$6:$C$20,$D$24)="",23&gt;=N(INDEX($I$6:$I$20,$D$24))),"",INDEX($C$6:$C$20,$D$24)&amp;" — "&amp;TEXT(EDATE(INDEX($J$6:$J$20,$D$24),23),"MM/YYYY"))</f>
        <v/>
      </c>
      <c r="G50" s="292">
        <f t="array" ref="G50">IF(OR(INDEX($C$6:$C$20,$D$24)="",23&gt;=N(INDEX($I$6:$I$20,$D$24))),"","REC-"&amp;TEXT($D$24,"00")&amp;"-"&amp;TEXT(EDATE(INDEX($J$6:$J$20,$D$24),23),"YYYYMM"))</f>
        <v/>
      </c>
      <c r="H50" s="220">
        <f t="array" ref="H50">IF(OR(INDEX($C$6:$C$20,$D$24)="",23&gt;=N(INDEX($I$6:$I$20,$D$24))),"",EDATE(INDEX($J$6:$J$20,$D$24),23)-10)</f>
        <v/>
      </c>
      <c r="I50" s="220">
        <f t="array" ref="I50">IF(OR(INDEX($C$6:$C$20,$D$24)="",23&gt;=N(INDEX($I$6:$I$20,$D$24))),"",EDATE(INDEX($J$6:$J$20,$D$24),23))</f>
        <v/>
      </c>
      <c r="J50" s="13">
        <f t="array" ref="J50">IF(OR(INDEX($C$6:$C$20,$D$24)="",23&gt;=N(INDEX($I$6:$I$20,$D$24))),"",INDEX($F$6:$F$20,$D$24))</f>
        <v/>
      </c>
      <c r="K50" s="13">
        <f t="array" ref="K50">IF(OR(INDEX($C$6:$C$20,$D$24)="",23&gt;=N(INDEX($I$6:$I$20,$D$24))),"",0)</f>
        <v/>
      </c>
      <c r="L50" s="289">
        <f t="array" ref="L50">IF(OR(INDEX($C$6:$C$20,$D$24)="",23&gt;=N(INDEX($I$6:$I$20,$D$24))),"",INDEX($H$6:$H$20,$D$24))</f>
        <v/>
      </c>
      <c r="M50" s="1" t="n"/>
      <c r="N50" s="1" t="n"/>
      <c r="O50" s="1" t="n"/>
      <c r="P50" s="1" t="n"/>
      <c r="Q50" s="1" t="n"/>
      <c r="R50" s="1" t="n"/>
      <c r="S50" s="1" t="n"/>
      <c r="T50" s="1" t="n"/>
      <c r="U50" s="1" t="n"/>
      <c r="V50" s="1" t="n"/>
      <c r="W50" s="1" t="n"/>
      <c r="X50" s="1" t="n"/>
      <c r="Y50" s="1" t="n"/>
      <c r="Z50" s="1" t="n"/>
    </row>
    <row r="51" ht="15.75" customHeight="1" s="311">
      <c r="A51" s="1" t="n"/>
      <c r="B51" s="53" t="n"/>
      <c r="C51" s="216" t="inlineStr">
        <is>
          <t>TOTAL GENERADO</t>
        </is>
      </c>
      <c r="D51" s="216">
        <f>IF($J$51=0,"","Vas a añadir "&amp;COUNTIF($C$27:$C$50,"Pendiente")&amp;" facturas por un total de "&amp;TEXT($J$51,"#,##0.00")&amp;" €. Revísalas antes de pegarlas y comprueba que no duplicas alguna que ya tengas.")</f>
        <v/>
      </c>
      <c r="E51" s="403" t="n"/>
      <c r="F51" s="403" t="n"/>
      <c r="G51" s="403" t="n"/>
      <c r="H51" s="403" t="n"/>
      <c r="I51" s="395" t="n"/>
      <c r="J51" s="47">
        <f>SUM($J$27:$J$50)</f>
        <v/>
      </c>
      <c r="K51" s="53" t="n"/>
      <c r="L51" s="53" t="n"/>
      <c r="M51" s="1" t="n"/>
      <c r="N51" s="1" t="n"/>
      <c r="O51" s="1" t="n"/>
      <c r="P51" s="1" t="n"/>
      <c r="Q51" s="1" t="n"/>
      <c r="R51" s="1" t="n"/>
      <c r="S51" s="1" t="n"/>
      <c r="T51" s="1" t="n"/>
      <c r="U51" s="1" t="n"/>
      <c r="V51" s="1" t="n"/>
      <c r="W51" s="1" t="n"/>
      <c r="X51" s="1" t="n"/>
      <c r="Y51" s="1" t="n"/>
      <c r="Z51" s="1" t="n"/>
    </row>
    <row r="52" ht="15.75" customHeight="1" s="31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24" customHeight="1" s="311">
      <c r="A53" s="1" t="n"/>
      <c r="B53" s="10" t="inlineStr">
        <is>
          <t>C.  ¿COMPENSA RESCATAR CADA PRENDA?</t>
        </is>
      </c>
      <c r="M53" s="1" t="n"/>
      <c r="N53" s="1" t="n"/>
      <c r="O53" s="1" t="n"/>
      <c r="P53" s="1" t="n"/>
      <c r="Q53" s="1" t="n"/>
      <c r="R53" s="1" t="n"/>
      <c r="S53" s="1" t="n"/>
      <c r="T53" s="1" t="n"/>
      <c r="U53" s="1" t="n"/>
      <c r="V53" s="1" t="n"/>
      <c r="W53" s="1" t="n"/>
      <c r="X53" s="1" t="n"/>
      <c r="Y53" s="1" t="n"/>
      <c r="Z53" s="1" t="n"/>
    </row>
    <row r="54" ht="43.5" customHeight="1" s="311">
      <c r="A54" s="1" t="n"/>
      <c r="B54" s="3" t="inlineStr">
        <is>
          <t>Rescatar una prenda solo tiene sentido financiero si el oro vale más que la deuda. Debajo está la cuenta pieza a pieza, con el precio del oro que tengas puesto en la hoja Balance. Cambia ese precio si no es el correcto: mueve todas las decisiones. Y ten en cuenta que el valor sentimental no sale en ninguna columna: si una pieza importa, rescátala aunque la cuenta diga que no.</t>
        </is>
      </c>
      <c r="M54" s="1" t="n"/>
      <c r="N54" s="1" t="n"/>
      <c r="O54" s="1" t="n"/>
      <c r="P54" s="1" t="n"/>
      <c r="Q54" s="1" t="n"/>
      <c r="R54" s="1" t="n"/>
      <c r="S54" s="1" t="n"/>
      <c r="T54" s="1" t="n"/>
      <c r="U54" s="1" t="n"/>
      <c r="V54" s="1" t="n"/>
      <c r="W54" s="1" t="n"/>
      <c r="X54" s="1" t="n"/>
      <c r="Y54" s="1" t="n"/>
      <c r="Z54" s="1" t="n"/>
    </row>
    <row r="55" ht="15.75" customHeight="1" s="31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311">
      <c r="A56" s="1" t="n"/>
      <c r="B56" s="4" t="inlineStr">
        <is>
          <t>Precio del oro usado (€/g)</t>
        </is>
      </c>
      <c r="C56" s="395" t="n"/>
      <c r="D56" s="308">
        <f>Balance!$C$103</f>
        <v/>
      </c>
      <c r="E56" s="194" t="inlineStr">
        <is>
          <t>Tipo anual del empeño</t>
        </is>
      </c>
      <c r="F56" s="51">
        <f>Ratios!$D$5</f>
        <v/>
      </c>
      <c r="G56" s="196" t="inlineStr">
        <is>
          <t>← ambos se editan en sus hojas de origen</t>
        </is>
      </c>
      <c r="M56" s="1" t="n"/>
      <c r="N56" s="1" t="n"/>
      <c r="O56" s="1" t="n"/>
      <c r="P56" s="1" t="n"/>
      <c r="Q56" s="1" t="n"/>
      <c r="R56" s="1" t="n"/>
      <c r="S56" s="1" t="n"/>
      <c r="T56" s="1" t="n"/>
      <c r="U56" s="1" t="n"/>
      <c r="V56" s="1" t="n"/>
      <c r="W56" s="1" t="n"/>
      <c r="X56" s="1" t="n"/>
      <c r="Y56" s="1" t="n"/>
      <c r="Z56" s="1" t="n"/>
    </row>
    <row r="57" ht="15.75" customHeight="1" s="31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31.5" customHeight="1" s="311">
      <c r="A58" s="1" t="n"/>
      <c r="B58" s="11" t="inlineStr">
        <is>
          <t>#</t>
        </is>
      </c>
      <c r="C58" s="11" t="inlineStr">
        <is>
          <t>Prenda</t>
        </is>
      </c>
      <c r="D58" s="11" t="inlineStr">
        <is>
          <t>Gramos</t>
        </is>
      </c>
      <c r="E58" s="11" t="inlineStr">
        <is>
          <t>Valor (€)</t>
        </is>
      </c>
      <c r="F58" s="11" t="inlineStr">
        <is>
          <t>Deuda (€)</t>
        </is>
      </c>
      <c r="G58" s="11" t="inlineStr">
        <is>
          <t>Margen (€)</t>
        </is>
      </c>
      <c r="H58" s="11" t="inlineStr">
        <is>
          <t>Coste de esperar
un mes más (€)</t>
        </is>
      </c>
      <c r="I58" s="11" t="inlineStr">
        <is>
          <t>Decisión</t>
        </is>
      </c>
      <c r="J58" s="11" t="inlineStr">
        <is>
          <t>Explicación</t>
        </is>
      </c>
      <c r="K58" s="403" t="n"/>
      <c r="L58" s="395" t="n"/>
      <c r="M58" s="1" t="n"/>
      <c r="N58" s="1" t="n"/>
      <c r="O58" s="1" t="n"/>
      <c r="P58" s="1" t="n"/>
      <c r="Q58" s="1" t="n"/>
      <c r="R58" s="1" t="n"/>
      <c r="S58" s="1" t="n"/>
      <c r="T58" s="1" t="n"/>
      <c r="U58" s="1" t="n"/>
      <c r="V58" s="1" t="n"/>
      <c r="W58" s="1" t="n"/>
      <c r="X58" s="1" t="n"/>
      <c r="Y58" s="1" t="n"/>
      <c r="Z58" s="1" t="n"/>
    </row>
    <row r="59" ht="19.5" customHeight="1" s="311">
      <c r="A59" s="1" t="n"/>
      <c r="B59" s="204" t="n">
        <v>1</v>
      </c>
      <c r="C59" s="289">
        <f>IF(Balance!$B$105="","",Balance!$B$105)</f>
        <v/>
      </c>
      <c r="D59" s="309">
        <f>IF($C59="","",Balance!$C$105)</f>
        <v/>
      </c>
      <c r="E59" s="13">
        <f>IF($C59="","",N(Balance!$E$105))</f>
        <v/>
      </c>
      <c r="F59" s="13">
        <f>IF($C59="","",N(Balance!$D$105))</f>
        <v/>
      </c>
      <c r="G59" s="222">
        <f>IF($C59="","",N($E59)-N($F59))</f>
        <v/>
      </c>
      <c r="H59" s="13">
        <f>IF($C59="","",N($F59)*$F$56/12)</f>
        <v/>
      </c>
      <c r="I59" s="15">
        <f>IF($C59="","",IF($G59&gt;0,"✅ Rescatar","🔴 No compensa"))</f>
        <v/>
      </c>
      <c r="J59" s="209">
        <f>IF($C59="","",IF($G59&gt;0,"Ganas "&amp;TEXT($G59,"#,##0.00")&amp;" € al rescatarla, y cada mes que esperas te cuesta "&amp;TEXT($H59,"#,##0.00")&amp;" € de intereses.","Pagarías "&amp;TEXT(ABS($G59),"#,##0.00")&amp;" € más de lo que vale el oro. Solo tiene sentido por valor sentimental."))</f>
        <v/>
      </c>
      <c r="K59" s="403" t="n"/>
      <c r="L59" s="395" t="n"/>
      <c r="M59" s="1" t="n"/>
      <c r="N59" s="1" t="n"/>
      <c r="O59" s="1" t="n"/>
      <c r="P59" s="1" t="n"/>
      <c r="Q59" s="1" t="n"/>
      <c r="R59" s="1" t="n"/>
      <c r="S59" s="1" t="n"/>
      <c r="T59" s="1" t="n"/>
      <c r="U59" s="1" t="n"/>
      <c r="V59" s="1" t="n"/>
      <c r="W59" s="1" t="n"/>
      <c r="X59" s="1" t="n"/>
      <c r="Y59" s="1" t="n"/>
      <c r="Z59" s="1" t="n"/>
    </row>
    <row r="60" ht="19.5" customHeight="1" s="311">
      <c r="A60" s="1" t="n"/>
      <c r="B60" s="204" t="n">
        <v>2</v>
      </c>
      <c r="C60" s="289">
        <f>IF(Balance!$B$106="","",Balance!$B$106)</f>
        <v/>
      </c>
      <c r="D60" s="309">
        <f>IF($C60="","",Balance!$C$106)</f>
        <v/>
      </c>
      <c r="E60" s="13">
        <f>IF($C60="","",N(Balance!$E$106))</f>
        <v/>
      </c>
      <c r="F60" s="13">
        <f>IF($C60="","",N(Balance!$D$106))</f>
        <v/>
      </c>
      <c r="G60" s="222">
        <f>IF($C60="","",N($E60)-N($F60))</f>
        <v/>
      </c>
      <c r="H60" s="13">
        <f>IF($C60="","",N($F60)*$F$56/12)</f>
        <v/>
      </c>
      <c r="I60" s="15">
        <f>IF($C60="","",IF($G60&gt;0,"✅ Rescatar","🔴 No compensa"))</f>
        <v/>
      </c>
      <c r="J60" s="209">
        <f>IF($C60="","",IF($G60&gt;0,"Ganas "&amp;TEXT($G60,"#,##0.00")&amp;" € al rescatarla, y cada mes que esperas te cuesta "&amp;TEXT($H60,"#,##0.00")&amp;" € de intereses.","Pagarías "&amp;TEXT(ABS($G60),"#,##0.00")&amp;" € más de lo que vale el oro. Solo tiene sentido por valor sentimental."))</f>
        <v/>
      </c>
      <c r="K60" s="403" t="n"/>
      <c r="L60" s="395" t="n"/>
      <c r="M60" s="1" t="n"/>
      <c r="N60" s="1" t="n"/>
      <c r="O60" s="1" t="n"/>
      <c r="P60" s="1" t="n"/>
      <c r="Q60" s="1" t="n"/>
      <c r="R60" s="1" t="n"/>
      <c r="S60" s="1" t="n"/>
      <c r="T60" s="1" t="n"/>
      <c r="U60" s="1" t="n"/>
      <c r="V60" s="1" t="n"/>
      <c r="W60" s="1" t="n"/>
      <c r="X60" s="1" t="n"/>
      <c r="Y60" s="1" t="n"/>
      <c r="Z60" s="1" t="n"/>
    </row>
    <row r="61" ht="19.5" customHeight="1" s="311">
      <c r="A61" s="1" t="n"/>
      <c r="B61" s="204" t="n">
        <v>3</v>
      </c>
      <c r="C61" s="289">
        <f>IF(Balance!$B$107="","",Balance!$B$107)</f>
        <v/>
      </c>
      <c r="D61" s="309">
        <f>IF($C61="","",Balance!$C$107)</f>
        <v/>
      </c>
      <c r="E61" s="13">
        <f>IF($C61="","",N(Balance!$E$107))</f>
        <v/>
      </c>
      <c r="F61" s="13">
        <f>IF($C61="","",N(Balance!$D$107))</f>
        <v/>
      </c>
      <c r="G61" s="222">
        <f>IF($C61="","",N($E61)-N($F61))</f>
        <v/>
      </c>
      <c r="H61" s="13">
        <f>IF($C61="","",N($F61)*$F$56/12)</f>
        <v/>
      </c>
      <c r="I61" s="15">
        <f>IF($C61="","",IF($G61&gt;0,"✅ Rescatar","🔴 No compensa"))</f>
        <v/>
      </c>
      <c r="J61" s="209">
        <f>IF($C61="","",IF($G61&gt;0,"Ganas "&amp;TEXT($G61,"#,##0.00")&amp;" € al rescatarla, y cada mes que esperas te cuesta "&amp;TEXT($H61,"#,##0.00")&amp;" € de intereses.","Pagarías "&amp;TEXT(ABS($G61),"#,##0.00")&amp;" € más de lo que vale el oro. Solo tiene sentido por valor sentimental."))</f>
        <v/>
      </c>
      <c r="K61" s="403" t="n"/>
      <c r="L61" s="395" t="n"/>
      <c r="M61" s="1" t="n"/>
      <c r="N61" s="1" t="n"/>
      <c r="O61" s="1" t="n"/>
      <c r="P61" s="1" t="n"/>
      <c r="Q61" s="1" t="n"/>
      <c r="R61" s="1" t="n"/>
      <c r="S61" s="1" t="n"/>
      <c r="T61" s="1" t="n"/>
      <c r="U61" s="1" t="n"/>
      <c r="V61" s="1" t="n"/>
      <c r="W61" s="1" t="n"/>
      <c r="X61" s="1" t="n"/>
      <c r="Y61" s="1" t="n"/>
      <c r="Z61" s="1" t="n"/>
    </row>
    <row r="62" ht="19.5" customHeight="1" s="311">
      <c r="A62" s="1" t="n"/>
      <c r="B62" s="204" t="n">
        <v>4</v>
      </c>
      <c r="C62" s="289">
        <f>IF(Balance!$B$108="","",Balance!$B$108)</f>
        <v/>
      </c>
      <c r="D62" s="309">
        <f>IF($C62="","",Balance!$C$108)</f>
        <v/>
      </c>
      <c r="E62" s="13">
        <f>IF($C62="","",N(Balance!$E$108))</f>
        <v/>
      </c>
      <c r="F62" s="13">
        <f>IF($C62="","",N(Balance!$D$108))</f>
        <v/>
      </c>
      <c r="G62" s="222">
        <f>IF($C62="","",N($E62)-N($F62))</f>
        <v/>
      </c>
      <c r="H62" s="13">
        <f>IF($C62="","",N($F62)*$F$56/12)</f>
        <v/>
      </c>
      <c r="I62" s="15">
        <f>IF($C62="","",IF($G62&gt;0,"✅ Rescatar","🔴 No compensa"))</f>
        <v/>
      </c>
      <c r="J62" s="209">
        <f>IF($C62="","",IF($G62&gt;0,"Ganas "&amp;TEXT($G62,"#,##0.00")&amp;" € al rescatarla, y cada mes que esperas te cuesta "&amp;TEXT($H62,"#,##0.00")&amp;" € de intereses.","Pagarías "&amp;TEXT(ABS($G62),"#,##0.00")&amp;" € más de lo que vale el oro. Solo tiene sentido por valor sentimental."))</f>
        <v/>
      </c>
      <c r="K62" s="403" t="n"/>
      <c r="L62" s="395" t="n"/>
      <c r="M62" s="1" t="n"/>
      <c r="N62" s="1" t="n"/>
      <c r="O62" s="1" t="n"/>
      <c r="P62" s="1" t="n"/>
      <c r="Q62" s="1" t="n"/>
      <c r="R62" s="1" t="n"/>
      <c r="S62" s="1" t="n"/>
      <c r="T62" s="1" t="n"/>
      <c r="U62" s="1" t="n"/>
      <c r="V62" s="1" t="n"/>
      <c r="W62" s="1" t="n"/>
      <c r="X62" s="1" t="n"/>
      <c r="Y62" s="1" t="n"/>
      <c r="Z62" s="1" t="n"/>
    </row>
    <row r="63" ht="19.5" customHeight="1" s="311">
      <c r="A63" s="1" t="n"/>
      <c r="B63" s="204" t="n">
        <v>5</v>
      </c>
      <c r="C63" s="289">
        <f>IF(Balance!$B$109="","",Balance!$B$109)</f>
        <v/>
      </c>
      <c r="D63" s="309">
        <f>IF($C63="","",Balance!$C$109)</f>
        <v/>
      </c>
      <c r="E63" s="13">
        <f>IF($C63="","",N(Balance!$E$109))</f>
        <v/>
      </c>
      <c r="F63" s="13">
        <f>IF($C63="","",N(Balance!$D$109))</f>
        <v/>
      </c>
      <c r="G63" s="222">
        <f>IF($C63="","",N($E63)-N($F63))</f>
        <v/>
      </c>
      <c r="H63" s="13">
        <f>IF($C63="","",N($F63)*$F$56/12)</f>
        <v/>
      </c>
      <c r="I63" s="15">
        <f>IF($C63="","",IF($G63&gt;0,"✅ Rescatar","🔴 No compensa"))</f>
        <v/>
      </c>
      <c r="J63" s="209">
        <f>IF($C63="","",IF($G63&gt;0,"Ganas "&amp;TEXT($G63,"#,##0.00")&amp;" € al rescatarla, y cada mes que esperas te cuesta "&amp;TEXT($H63,"#,##0.00")&amp;" € de intereses.","Pagarías "&amp;TEXT(ABS($G63),"#,##0.00")&amp;" € más de lo que vale el oro. Solo tiene sentido por valor sentimental."))</f>
        <v/>
      </c>
      <c r="K63" s="403" t="n"/>
      <c r="L63" s="395" t="n"/>
      <c r="M63" s="1" t="n"/>
      <c r="N63" s="1" t="n"/>
      <c r="O63" s="1" t="n"/>
      <c r="P63" s="1" t="n"/>
      <c r="Q63" s="1" t="n"/>
      <c r="R63" s="1" t="n"/>
      <c r="S63" s="1" t="n"/>
      <c r="T63" s="1" t="n"/>
      <c r="U63" s="1" t="n"/>
      <c r="V63" s="1" t="n"/>
      <c r="W63" s="1" t="n"/>
      <c r="X63" s="1" t="n"/>
      <c r="Y63" s="1" t="n"/>
      <c r="Z63" s="1" t="n"/>
    </row>
    <row r="64" ht="19.5" customHeight="1" s="311">
      <c r="A64" s="1" t="n"/>
      <c r="B64" s="204" t="n">
        <v>6</v>
      </c>
      <c r="C64" s="289">
        <f>IF(Balance!$B$110="","",Balance!$B$110)</f>
        <v/>
      </c>
      <c r="D64" s="309">
        <f>IF($C64="","",Balance!$C$110)</f>
        <v/>
      </c>
      <c r="E64" s="13">
        <f>IF($C64="","",N(Balance!$E$110))</f>
        <v/>
      </c>
      <c r="F64" s="13">
        <f>IF($C64="","",N(Balance!$D$110))</f>
        <v/>
      </c>
      <c r="G64" s="222">
        <f>IF($C64="","",N($E64)-N($F64))</f>
        <v/>
      </c>
      <c r="H64" s="13">
        <f>IF($C64="","",N($F64)*$F$56/12)</f>
        <v/>
      </c>
      <c r="I64" s="15">
        <f>IF($C64="","",IF($G64&gt;0,"✅ Rescatar","🔴 No compensa"))</f>
        <v/>
      </c>
      <c r="J64" s="209">
        <f>IF($C64="","",IF($G64&gt;0,"Ganas "&amp;TEXT($G64,"#,##0.00")&amp;" € al rescatarla, y cada mes que esperas te cuesta "&amp;TEXT($H64,"#,##0.00")&amp;" € de intereses.","Pagarías "&amp;TEXT(ABS($G64),"#,##0.00")&amp;" € más de lo que vale el oro. Solo tiene sentido por valor sentimental."))</f>
        <v/>
      </c>
      <c r="K64" s="403" t="n"/>
      <c r="L64" s="395" t="n"/>
      <c r="M64" s="1" t="n"/>
      <c r="N64" s="1" t="n"/>
      <c r="O64" s="1" t="n"/>
      <c r="P64" s="1" t="n"/>
      <c r="Q64" s="1" t="n"/>
      <c r="R64" s="1" t="n"/>
      <c r="S64" s="1" t="n"/>
      <c r="T64" s="1" t="n"/>
      <c r="U64" s="1" t="n"/>
      <c r="V64" s="1" t="n"/>
      <c r="W64" s="1" t="n"/>
      <c r="X64" s="1" t="n"/>
      <c r="Y64" s="1" t="n"/>
      <c r="Z64" s="1" t="n"/>
    </row>
    <row r="65" ht="19.5" customHeight="1" s="311">
      <c r="A65" s="1" t="n"/>
      <c r="B65" s="204" t="n">
        <v>7</v>
      </c>
      <c r="C65" s="289">
        <f>IF(Balance!$B$111="","",Balance!$B$111)</f>
        <v/>
      </c>
      <c r="D65" s="309">
        <f>IF($C65="","",Balance!$C$111)</f>
        <v/>
      </c>
      <c r="E65" s="13">
        <f>IF($C65="","",N(Balance!$E$111))</f>
        <v/>
      </c>
      <c r="F65" s="13">
        <f>IF($C65="","",N(Balance!$D$111))</f>
        <v/>
      </c>
      <c r="G65" s="222">
        <f>IF($C65="","",N($E65)-N($F65))</f>
        <v/>
      </c>
      <c r="H65" s="13">
        <f>IF($C65="","",N($F65)*$F$56/12)</f>
        <v/>
      </c>
      <c r="I65" s="15">
        <f>IF($C65="","",IF($G65&gt;0,"✅ Rescatar","🔴 No compensa"))</f>
        <v/>
      </c>
      <c r="J65" s="209">
        <f>IF($C65="","",IF($G65&gt;0,"Ganas "&amp;TEXT($G65,"#,##0.00")&amp;" € al rescatarla, y cada mes que esperas te cuesta "&amp;TEXT($H65,"#,##0.00")&amp;" € de intereses.","Pagarías "&amp;TEXT(ABS($G65),"#,##0.00")&amp;" € más de lo que vale el oro. Solo tiene sentido por valor sentimental."))</f>
        <v/>
      </c>
      <c r="K65" s="403" t="n"/>
      <c r="L65" s="395" t="n"/>
      <c r="M65" s="1" t="n"/>
      <c r="N65" s="1" t="n"/>
      <c r="O65" s="1" t="n"/>
      <c r="P65" s="1" t="n"/>
      <c r="Q65" s="1" t="n"/>
      <c r="R65" s="1" t="n"/>
      <c r="S65" s="1" t="n"/>
      <c r="T65" s="1" t="n"/>
      <c r="U65" s="1" t="n"/>
      <c r="V65" s="1" t="n"/>
      <c r="W65" s="1" t="n"/>
      <c r="X65" s="1" t="n"/>
      <c r="Y65" s="1" t="n"/>
      <c r="Z65" s="1" t="n"/>
    </row>
    <row r="66" ht="19.5" customHeight="1" s="311">
      <c r="A66" s="1" t="n"/>
      <c r="B66" s="204" t="n">
        <v>8</v>
      </c>
      <c r="C66" s="289">
        <f>IF(Balance!$B$112="","",Balance!$B$112)</f>
        <v/>
      </c>
      <c r="D66" s="309">
        <f>IF($C66="","",Balance!$C$112)</f>
        <v/>
      </c>
      <c r="E66" s="13">
        <f>IF($C66="","",N(Balance!$E$112))</f>
        <v/>
      </c>
      <c r="F66" s="13">
        <f>IF($C66="","",N(Balance!$D$112))</f>
        <v/>
      </c>
      <c r="G66" s="222">
        <f>IF($C66="","",N($E66)-N($F66))</f>
        <v/>
      </c>
      <c r="H66" s="13">
        <f>IF($C66="","",N($F66)*$F$56/12)</f>
        <v/>
      </c>
      <c r="I66" s="15">
        <f>IF($C66="","",IF($G66&gt;0,"✅ Rescatar","🔴 No compensa"))</f>
        <v/>
      </c>
      <c r="J66" s="209">
        <f>IF($C66="","",IF($G66&gt;0,"Ganas "&amp;TEXT($G66,"#,##0.00")&amp;" € al rescatarla, y cada mes que esperas te cuesta "&amp;TEXT($H66,"#,##0.00")&amp;" € de intereses.","Pagarías "&amp;TEXT(ABS($G66),"#,##0.00")&amp;" € más de lo que vale el oro. Solo tiene sentido por valor sentimental."))</f>
        <v/>
      </c>
      <c r="K66" s="403" t="n"/>
      <c r="L66" s="395" t="n"/>
      <c r="M66" s="1" t="n"/>
      <c r="N66" s="1" t="n"/>
      <c r="O66" s="1" t="n"/>
      <c r="P66" s="1" t="n"/>
      <c r="Q66" s="1" t="n"/>
      <c r="R66" s="1" t="n"/>
      <c r="S66" s="1" t="n"/>
      <c r="T66" s="1" t="n"/>
      <c r="U66" s="1" t="n"/>
      <c r="V66" s="1" t="n"/>
      <c r="W66" s="1" t="n"/>
      <c r="X66" s="1" t="n"/>
      <c r="Y66" s="1" t="n"/>
      <c r="Z66" s="1" t="n"/>
    </row>
    <row r="67" ht="19.5" customHeight="1" s="311">
      <c r="A67" s="1" t="n"/>
      <c r="B67" s="204" t="n">
        <v>9</v>
      </c>
      <c r="C67" s="289">
        <f>IF(Balance!$B$113="","",Balance!$B$113)</f>
        <v/>
      </c>
      <c r="D67" s="309">
        <f>IF($C67="","",Balance!$C$113)</f>
        <v/>
      </c>
      <c r="E67" s="13">
        <f>IF($C67="","",N(Balance!$E$113))</f>
        <v/>
      </c>
      <c r="F67" s="13">
        <f>IF($C67="","",N(Balance!$D$113))</f>
        <v/>
      </c>
      <c r="G67" s="222">
        <f>IF($C67="","",N($E67)-N($F67))</f>
        <v/>
      </c>
      <c r="H67" s="13">
        <f>IF($C67="","",N($F67)*$F$56/12)</f>
        <v/>
      </c>
      <c r="I67" s="15">
        <f>IF($C67="","",IF($G67&gt;0,"✅ Rescatar","🔴 No compensa"))</f>
        <v/>
      </c>
      <c r="J67" s="209">
        <f>IF($C67="","",IF($G67&gt;0,"Ganas "&amp;TEXT($G67,"#,##0.00")&amp;" € al rescatarla, y cada mes que esperas te cuesta "&amp;TEXT($H67,"#,##0.00")&amp;" € de intereses.","Pagarías "&amp;TEXT(ABS($G67),"#,##0.00")&amp;" € más de lo que vale el oro. Solo tiene sentido por valor sentimental."))</f>
        <v/>
      </c>
      <c r="K67" s="403" t="n"/>
      <c r="L67" s="395" t="n"/>
      <c r="M67" s="1" t="n"/>
      <c r="N67" s="1" t="n"/>
      <c r="O67" s="1" t="n"/>
      <c r="P67" s="1" t="n"/>
      <c r="Q67" s="1" t="n"/>
      <c r="R67" s="1" t="n"/>
      <c r="S67" s="1" t="n"/>
      <c r="T67" s="1" t="n"/>
      <c r="U67" s="1" t="n"/>
      <c r="V67" s="1" t="n"/>
      <c r="W67" s="1" t="n"/>
      <c r="X67" s="1" t="n"/>
      <c r="Y67" s="1" t="n"/>
      <c r="Z67" s="1" t="n"/>
    </row>
    <row r="68" ht="19.5" customHeight="1" s="311">
      <c r="A68" s="1" t="n"/>
      <c r="B68" s="204" t="n">
        <v>10</v>
      </c>
      <c r="C68" s="289">
        <f>IF(Balance!$B$114="","",Balance!$B$114)</f>
        <v/>
      </c>
      <c r="D68" s="309">
        <f>IF($C68="","",Balance!$C$114)</f>
        <v/>
      </c>
      <c r="E68" s="13">
        <f>IF($C68="","",N(Balance!$E$114))</f>
        <v/>
      </c>
      <c r="F68" s="13">
        <f>IF($C68="","",N(Balance!$D$114))</f>
        <v/>
      </c>
      <c r="G68" s="222">
        <f>IF($C68="","",N($E68)-N($F68))</f>
        <v/>
      </c>
      <c r="H68" s="13">
        <f>IF($C68="","",N($F68)*$F$56/12)</f>
        <v/>
      </c>
      <c r="I68" s="15">
        <f>IF($C68="","",IF($G68&gt;0,"✅ Rescatar","🔴 No compensa"))</f>
        <v/>
      </c>
      <c r="J68" s="209">
        <f>IF($C68="","",IF($G68&gt;0,"Ganas "&amp;TEXT($G68,"#,##0.00")&amp;" € al rescatarla, y cada mes que esperas te cuesta "&amp;TEXT($H68,"#,##0.00")&amp;" € de intereses.","Pagarías "&amp;TEXT(ABS($G68),"#,##0.00")&amp;" € más de lo que vale el oro. Solo tiene sentido por valor sentimental."))</f>
        <v/>
      </c>
      <c r="K68" s="403" t="n"/>
      <c r="L68" s="395" t="n"/>
      <c r="M68" s="1" t="n"/>
      <c r="N68" s="1" t="n"/>
      <c r="O68" s="1" t="n"/>
      <c r="P68" s="1" t="n"/>
      <c r="Q68" s="1" t="n"/>
      <c r="R68" s="1" t="n"/>
      <c r="S68" s="1" t="n"/>
      <c r="T68" s="1" t="n"/>
      <c r="U68" s="1" t="n"/>
      <c r="V68" s="1" t="n"/>
      <c r="W68" s="1" t="n"/>
      <c r="X68" s="1" t="n"/>
      <c r="Y68" s="1" t="n"/>
      <c r="Z68" s="1" t="n"/>
    </row>
    <row r="69" ht="15.75" customHeight="1" s="311">
      <c r="A69" s="1" t="n"/>
      <c r="B69" s="53" t="n"/>
      <c r="C69" s="216" t="inlineStr">
        <is>
          <t>TOTAL</t>
        </is>
      </c>
      <c r="D69" s="310">
        <f>SUM(D$59:D$68)</f>
        <v/>
      </c>
      <c r="E69" s="47">
        <f>SUM(E$59:E$68)</f>
        <v/>
      </c>
      <c r="F69" s="47">
        <f>SUM(F$59:F$68)</f>
        <v/>
      </c>
      <c r="G69" s="47">
        <f>SUM(G$59:G$68)</f>
        <v/>
      </c>
      <c r="H69" s="47">
        <f>SUM(H$59:H$68)</f>
        <v/>
      </c>
      <c r="I69" s="195">
        <f>IF($G$69&gt;0,"✅ Rescatar todo","🔴 Solo algunas")</f>
        <v/>
      </c>
      <c r="J69" s="216">
        <f>IF($G$69&gt;0,"En conjunto el oro vale "&amp;TEXT($G$69,"#,##0.00")&amp;" € más que la deuda.","En conjunto pagarías "&amp;TEXT(ABS($G$69),"#,##0.00")&amp;" € más de lo que vale el oro. Rescata solo las piezas con margen positivo.")</f>
        <v/>
      </c>
      <c r="K69" s="403" t="n"/>
      <c r="L69" s="395" t="n"/>
      <c r="M69" s="1" t="n"/>
      <c r="N69" s="1" t="n"/>
      <c r="O69" s="1" t="n"/>
      <c r="P69" s="1" t="n"/>
      <c r="Q69" s="1" t="n"/>
      <c r="R69" s="1" t="n"/>
      <c r="S69" s="1" t="n"/>
      <c r="T69" s="1" t="n"/>
      <c r="U69" s="1" t="n"/>
      <c r="V69" s="1" t="n"/>
      <c r="W69" s="1" t="n"/>
      <c r="X69" s="1" t="n"/>
      <c r="Y69" s="1" t="n"/>
      <c r="Z69" s="1" t="n"/>
    </row>
    <row r="70" ht="15.75" customHeight="1" s="31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31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31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31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31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31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31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31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31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31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31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31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31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31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31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31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31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31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31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31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31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31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31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31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31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31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31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31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31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31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31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31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31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31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31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31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31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31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31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31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31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31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31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31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31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31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31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31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31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31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31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31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31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31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31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31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31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31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31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31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31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31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31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31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31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31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31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31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31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31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31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31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31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31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31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31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31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31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31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31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31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31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31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31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31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31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31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31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31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31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31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31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31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31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31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31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31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31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31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31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31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31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31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31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31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31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31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31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31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31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31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31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31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31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31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31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31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31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31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31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31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31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31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31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31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31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31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31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31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31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31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31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31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31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31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31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31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3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31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31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31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31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31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31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31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31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31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31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31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31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31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31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31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31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31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31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31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31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31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31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31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31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31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25">
    <mergeCell ref="B4:L4"/>
    <mergeCell ref="B54:L54"/>
    <mergeCell ref="B25:L25"/>
    <mergeCell ref="J65:L65"/>
    <mergeCell ref="E24:L24"/>
    <mergeCell ref="B56:C56"/>
    <mergeCell ref="D21:E21"/>
    <mergeCell ref="J63:L63"/>
    <mergeCell ref="J66:L66"/>
    <mergeCell ref="B2:L2"/>
    <mergeCell ref="B23:L23"/>
    <mergeCell ref="B1:L1"/>
    <mergeCell ref="B53:L53"/>
    <mergeCell ref="D51:I51"/>
    <mergeCell ref="J62:L62"/>
    <mergeCell ref="J58:L58"/>
    <mergeCell ref="J61:L61"/>
    <mergeCell ref="G56:L56"/>
    <mergeCell ref="J64:L64"/>
    <mergeCell ref="J67:L67"/>
    <mergeCell ref="B24:C24"/>
    <mergeCell ref="J59:L59"/>
    <mergeCell ref="J60:L60"/>
    <mergeCell ref="J69:L69"/>
    <mergeCell ref="J68:L68"/>
  </mergeCells>
  <conditionalFormatting sqref="I59:I68">
    <cfRule type="expression" priority="1" dxfId="12">
      <formula>ISNUMBER(SEARCH("✅",$I59))</formula>
    </cfRule>
    <cfRule type="expression" priority="2" dxfId="0">
      <formula>ISNUMBER(SEARCH("🔴",$I59))</formula>
    </cfRule>
  </conditionalFormatting>
  <dataValidations count="3">
    <dataValidation sqref="D24" showDropDown="0" showInputMessage="0" showErrorMessage="0" allowBlank="1" type="decimal">
      <formula1>1.0</formula1>
      <formula2>15.0</formula2>
    </dataValidation>
    <dataValidation sqref="E6:E20" showDropDown="0" showInputMessage="0" showErrorMessage="0" allowBlank="1" type="list">
      <formula1>Facturas!$R$6:$R$19</formula1>
    </dataValidation>
    <dataValidation sqref="H6:H20" showDropDown="0" showInputMessage="0" showErrorMessage="0" allowBlank="1" type="list">
      <formula1>Disponibilidad!$B$6:$B$18</formula1>
    </dataValidation>
  </dataValidations>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3" defaultRowHeight="15" customHeight="1"/>
  <cols>
    <col width="2.14" customWidth="1" style="311" min="1" max="1"/>
    <col width="8" customWidth="1" style="311" min="2" max="2"/>
    <col width="30" customWidth="1" style="311" min="3" max="3"/>
    <col width="14" customWidth="1" style="311" min="4" max="4"/>
    <col width="12" customWidth="1" style="311" min="5" max="5"/>
    <col width="14" customWidth="1" style="311" min="6" max="7"/>
    <col width="12" customWidth="1" style="311" min="8" max="9"/>
    <col width="14" customWidth="1" style="311" min="10" max="10"/>
    <col width="13" customWidth="1" style="311" min="11" max="17"/>
    <col width="15" customWidth="1" style="311" min="18" max="18"/>
  </cols>
  <sheetData>
    <row r="1" ht="30" customHeight="1" s="311">
      <c r="A1" s="1" t="n"/>
      <c r="B1" s="2" t="inlineStr">
        <is>
          <t>SIMULADOR DE SALIDA DE DEUDA</t>
        </is>
      </c>
      <c r="S1" s="1" t="n"/>
      <c r="T1" s="1" t="n"/>
      <c r="U1" s="1" t="n"/>
      <c r="V1" s="1" t="n"/>
      <c r="W1" s="1" t="n"/>
      <c r="X1" s="1" t="n"/>
      <c r="Y1" s="1" t="n"/>
      <c r="Z1" s="1" t="n"/>
    </row>
    <row r="2" ht="43.5" customHeight="1" s="311">
      <c r="A2" s="1" t="n"/>
      <c r="B2" s="3" t="inlineStr">
        <is>
          <t>Dos formas de salir de la deuda. AVALANCHA: atacas primero la de interés más alto — es la que menos dinero cuesta. BOLA DE NIEVE: atacas primero la más pequeña — cuesta algo más pero da victorias rápidas y mucha gente la termina precisamente por eso. La tercera columna es lo que pasa si no haces nada y solo pagas los mínimos. Rellena las celdas amarillas y compara.</t>
        </is>
      </c>
      <c r="S2" s="1" t="n"/>
      <c r="T2" s="1" t="n"/>
      <c r="U2" s="1" t="n"/>
      <c r="V2" s="1" t="n"/>
      <c r="W2" s="1" t="n"/>
      <c r="X2" s="1" t="n"/>
      <c r="Y2" s="1" t="n"/>
      <c r="Z2" s="1" t="n"/>
    </row>
    <row r="3">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24" customHeight="1" s="311">
      <c r="A4" s="1" t="n"/>
      <c r="B4" s="10" t="inlineStr">
        <is>
          <t>A.  TUS DEUDAS  (la hipoteca va aparte: no es la que hay que atacar)</t>
        </is>
      </c>
      <c r="S4" s="1" t="n"/>
      <c r="T4" s="1" t="n"/>
      <c r="U4" s="1" t="n"/>
      <c r="V4" s="1" t="n"/>
      <c r="W4" s="1" t="n"/>
      <c r="X4" s="1" t="n"/>
      <c r="Y4" s="1" t="n"/>
      <c r="Z4" s="1" t="n"/>
    </row>
    <row r="5" ht="31.5" customHeight="1" s="311">
      <c r="A5" s="1" t="n"/>
      <c r="B5" s="11" t="inlineStr">
        <is>
          <t>#</t>
        </is>
      </c>
      <c r="C5" s="11" t="inlineStr">
        <is>
          <t>Deuda</t>
        </is>
      </c>
      <c r="D5" s="11" t="inlineStr">
        <is>
          <t>Saldo (€)</t>
        </is>
      </c>
      <c r="E5" s="11" t="inlineStr">
        <is>
          <t>Tipo anual</t>
        </is>
      </c>
      <c r="F5" s="11" t="inlineStr">
        <is>
          <t>Cuota mínima
(€/mes)</t>
        </is>
      </c>
      <c r="G5" s="11" t="inlineStr">
        <is>
          <t>Intereses al mes
(€)</t>
        </is>
      </c>
      <c r="H5" s="11" t="inlineStr">
        <is>
          <t>Orden
avalancha</t>
        </is>
      </c>
      <c r="I5" s="11" t="inlineStr">
        <is>
          <t>Orden bola
de nieve</t>
        </is>
      </c>
      <c r="J5" s="11" t="inlineStr">
        <is>
          <t>Notas</t>
        </is>
      </c>
      <c r="K5" s="403" t="n"/>
      <c r="L5" s="403" t="n"/>
      <c r="M5" s="403" t="n"/>
      <c r="N5" s="403" t="n"/>
      <c r="O5" s="403" t="n"/>
      <c r="P5" s="403" t="n"/>
      <c r="Q5" s="403" t="n"/>
      <c r="R5" s="395" t="n"/>
      <c r="S5" s="1" t="n"/>
      <c r="T5" s="1" t="n"/>
      <c r="U5" s="1" t="n"/>
      <c r="V5" s="1" t="n"/>
      <c r="W5" s="1" t="n"/>
      <c r="X5" s="1" t="n"/>
      <c r="Y5" s="1" t="n"/>
      <c r="Z5" s="1" t="n"/>
    </row>
    <row r="6" ht="19.5" customHeight="1" s="311">
      <c r="A6" s="1" t="n"/>
      <c r="B6" s="204" t="n">
        <v>1</v>
      </c>
      <c r="C6" s="4" t="inlineStr">
        <is>
          <t>Tarjeta Bank of Ireland</t>
        </is>
      </c>
      <c r="D6" s="13">
        <f>Disponibilidad!$G$23</f>
        <v/>
      </c>
      <c r="E6" s="290" t="n">
        <v>0.228</v>
      </c>
      <c r="F6" s="12" t="n">
        <v>150</v>
      </c>
      <c r="G6" s="13">
        <f>N($D6)*N($E6)/12</f>
        <v/>
      </c>
      <c r="H6" s="16">
        <f>SUMPRODUCT(($E$6:$E$10&gt;$E6)*1)+SUMPRODUCT(($E$6:$E$10=$E6)*(ROW($E$6:$E$10)&lt;6)*1)+1</f>
        <v/>
      </c>
      <c r="I6" s="16">
        <f>SUMPRODUCT(($D$6:$D$10&lt;$D6)*1)+SUMPRODUCT(($D$6:$D$10=$D6)*(ROW($D$6:$D$10)&lt;6)*1)+1</f>
        <v/>
      </c>
      <c r="J6" s="209" t="inlineStr">
        <is>
          <t>Saldo dispuesto de la hoja Disponibilidad. Es la más cara: en avalancha va primero.</t>
        </is>
      </c>
      <c r="K6" s="403" t="n"/>
      <c r="L6" s="403" t="n"/>
      <c r="M6" s="403" t="n"/>
      <c r="N6" s="403" t="n"/>
      <c r="O6" s="403" t="n"/>
      <c r="P6" s="403" t="n"/>
      <c r="Q6" s="403" t="n"/>
      <c r="R6" s="395" t="n"/>
      <c r="S6" s="1" t="n"/>
      <c r="T6" s="1" t="n"/>
      <c r="U6" s="1" t="n"/>
      <c r="V6" s="1" t="n"/>
      <c r="W6" s="1" t="n"/>
      <c r="X6" s="1" t="n"/>
      <c r="Y6" s="1" t="n"/>
      <c r="Z6" s="1" t="n"/>
    </row>
    <row r="7" ht="19.5" customHeight="1" s="311">
      <c r="A7" s="1" t="n"/>
      <c r="B7" s="204" t="n">
        <v>2</v>
      </c>
      <c r="C7" s="4" t="inlineStr">
        <is>
          <t>Tarjeta Abanca</t>
        </is>
      </c>
      <c r="D7" s="13">
        <f>Disponibilidad!$G$25</f>
        <v/>
      </c>
      <c r="E7" s="290" t="n">
        <v>0.21</v>
      </c>
      <c r="F7" s="12" t="n">
        <v>120</v>
      </c>
      <c r="G7" s="13">
        <f>N($D7)*N($E7)/12</f>
        <v/>
      </c>
      <c r="H7" s="16">
        <f>SUMPRODUCT(($E$6:$E$10&gt;$E7)*1)+SUMPRODUCT(($E$6:$E$10=$E7)*(ROW($E$6:$E$10)&lt;7)*1)+1</f>
        <v/>
      </c>
      <c r="I7" s="16">
        <f>SUMPRODUCT(($D$6:$D$10&lt;$D7)*1)+SUMPRODUCT(($D$6:$D$10=$D7)*(ROW($D$6:$D$10)&lt;7)*1)+1</f>
        <v/>
      </c>
      <c r="J7" s="209" t="inlineStr">
        <is>
          <t>Saldo dispuesto de la hoja Disponibilidad.</t>
        </is>
      </c>
      <c r="K7" s="403" t="n"/>
      <c r="L7" s="403" t="n"/>
      <c r="M7" s="403" t="n"/>
      <c r="N7" s="403" t="n"/>
      <c r="O7" s="403" t="n"/>
      <c r="P7" s="403" t="n"/>
      <c r="Q7" s="403" t="n"/>
      <c r="R7" s="395" t="n"/>
      <c r="S7" s="1" t="n"/>
      <c r="T7" s="1" t="n"/>
      <c r="U7" s="1" t="n"/>
      <c r="V7" s="1" t="n"/>
      <c r="W7" s="1" t="n"/>
      <c r="X7" s="1" t="n"/>
      <c r="Y7" s="1" t="n"/>
      <c r="Z7" s="1" t="n"/>
    </row>
    <row r="8" ht="19.5" customHeight="1" s="311">
      <c r="A8" s="1" t="n"/>
      <c r="B8" s="204" t="n">
        <v>3</v>
      </c>
      <c r="C8" s="4" t="inlineStr">
        <is>
          <t>Tarjeta CaixaBank</t>
        </is>
      </c>
      <c r="D8" s="13">
        <f>Disponibilidad!$G$24</f>
        <v/>
      </c>
      <c r="E8" s="290" t="n">
        <v>0.21</v>
      </c>
      <c r="F8" s="12" t="n">
        <v>60</v>
      </c>
      <c r="G8" s="13">
        <f>N($D8)*N($E8)/12</f>
        <v/>
      </c>
      <c r="H8" s="16">
        <f>SUMPRODUCT(($E$6:$E$10&gt;$E8)*1)+SUMPRODUCT(($E$6:$E$10=$E8)*(ROW($E$6:$E$10)&lt;8)*1)+1</f>
        <v/>
      </c>
      <c r="I8" s="16">
        <f>SUMPRODUCT(($D$6:$D$10&lt;$D8)*1)+SUMPRODUCT(($D$6:$D$10=$D8)*(ROW($D$6:$D$10)&lt;8)*1)+1</f>
        <v/>
      </c>
      <c r="J8" s="209" t="inlineStr">
        <is>
          <t>Saldo dispuesto de la hoja Disponibilidad.</t>
        </is>
      </c>
      <c r="K8" s="403" t="n"/>
      <c r="L8" s="403" t="n"/>
      <c r="M8" s="403" t="n"/>
      <c r="N8" s="403" t="n"/>
      <c r="O8" s="403" t="n"/>
      <c r="P8" s="403" t="n"/>
      <c r="Q8" s="403" t="n"/>
      <c r="R8" s="395" t="n"/>
      <c r="S8" s="1" t="n"/>
      <c r="T8" s="1" t="n"/>
      <c r="U8" s="1" t="n"/>
      <c r="V8" s="1" t="n"/>
      <c r="W8" s="1" t="n"/>
      <c r="X8" s="1" t="n"/>
      <c r="Y8" s="1" t="n"/>
      <c r="Z8" s="1" t="n"/>
    </row>
    <row r="9" ht="19.5" customHeight="1" s="311">
      <c r="A9" s="1" t="n"/>
      <c r="B9" s="204" t="n">
        <v>4</v>
      </c>
      <c r="C9" s="4" t="inlineStr">
        <is>
          <t>Empeños (prendas de oro)</t>
        </is>
      </c>
      <c r="D9" s="13">
        <f>Balance!$E$28</f>
        <v/>
      </c>
      <c r="E9" s="290" t="n">
        <v>0.25</v>
      </c>
      <c r="F9" s="12" t="n">
        <v>100</v>
      </c>
      <c r="G9" s="13">
        <f>N($D9)*N($E9)/12</f>
        <v/>
      </c>
      <c r="H9" s="16">
        <f>SUMPRODUCT(($E$6:$E$10&gt;$E9)*1)+SUMPRODUCT(($E$6:$E$10=$E9)*(ROW($E$6:$E$10)&lt;9)*1)+1</f>
        <v/>
      </c>
      <c r="I9" s="16">
        <f>SUMPRODUCT(($D$6:$D$10&lt;$D9)*1)+SUMPRODUCT(($D$6:$D$10=$D9)*(ROW($D$6:$D$10)&lt;9)*1)+1</f>
        <v/>
      </c>
      <c r="J9" s="209" t="inlineStr">
        <is>
          <t>Capital de las prendas. El tipo es el supuesto de la hoja Ratios: cámbialo si conoces el real del contrato.</t>
        </is>
      </c>
      <c r="K9" s="403" t="n"/>
      <c r="L9" s="403" t="n"/>
      <c r="M9" s="403" t="n"/>
      <c r="N9" s="403" t="n"/>
      <c r="O9" s="403" t="n"/>
      <c r="P9" s="403" t="n"/>
      <c r="Q9" s="403" t="n"/>
      <c r="R9" s="395" t="n"/>
      <c r="S9" s="1" t="n"/>
      <c r="T9" s="1" t="n"/>
      <c r="U9" s="1" t="n"/>
      <c r="V9" s="1" t="n"/>
      <c r="W9" s="1" t="n"/>
      <c r="X9" s="1" t="n"/>
      <c r="Y9" s="1" t="n"/>
      <c r="Z9" s="1" t="n"/>
    </row>
    <row r="10" ht="19.5" customHeight="1" s="311">
      <c r="A10" s="1" t="n"/>
      <c r="B10" s="204" t="n">
        <v>5</v>
      </c>
      <c r="C10" s="4" t="inlineStr">
        <is>
          <t>Préstamos de particulares</t>
        </is>
      </c>
      <c r="D10" s="13">
        <f>Balance!$E$30</f>
        <v/>
      </c>
      <c r="E10" s="290" t="n">
        <v>0</v>
      </c>
      <c r="F10" s="12">
        <f>MAX(50,Acuerdos!$C$7)</f>
        <v/>
      </c>
      <c r="G10" s="13">
        <f>N($D10)*N($E10)/12</f>
        <v/>
      </c>
      <c r="H10" s="16">
        <f>SUMPRODUCT(($E$6:$E$10&gt;$E10)*1)+SUMPRODUCT(($E$6:$E$10=$E10)*(ROW($E$6:$E$10)&lt;10)*1)+1</f>
        <v/>
      </c>
      <c r="I10" s="16">
        <f>SUMPRODUCT(($D$6:$D$10&lt;$D10)*1)+SUMPRODUCT(($D$6:$D$10=$D10)*(ROW($D$6:$D$10)&lt;10)*1)+1</f>
        <v/>
      </c>
      <c r="J10" s="209" t="inlineStr">
        <is>
          <t>Sin intereses, pero hay que devolverlo. La cuota sale de la hoja Acuerdos; si aún no has pactado ninguna, se supone 50 €/mes.</t>
        </is>
      </c>
      <c r="K10" s="403" t="n"/>
      <c r="L10" s="403" t="n"/>
      <c r="M10" s="403" t="n"/>
      <c r="N10" s="403" t="n"/>
      <c r="O10" s="403" t="n"/>
      <c r="P10" s="403" t="n"/>
      <c r="Q10" s="403" t="n"/>
      <c r="R10" s="395" t="n"/>
      <c r="S10" s="1" t="n"/>
      <c r="T10" s="1" t="n"/>
      <c r="U10" s="1" t="n"/>
      <c r="V10" s="1" t="n"/>
      <c r="W10" s="1" t="n"/>
      <c r="X10" s="1" t="n"/>
      <c r="Y10" s="1" t="n"/>
      <c r="Z10" s="1" t="n"/>
    </row>
    <row r="11">
      <c r="A11" s="1" t="n"/>
      <c r="B11" s="53" t="n"/>
      <c r="C11" s="216" t="inlineStr">
        <is>
          <t>TOTAL DEUDA CARA</t>
        </is>
      </c>
      <c r="D11" s="47">
        <f>SUM(D$6:D$10)</f>
        <v/>
      </c>
      <c r="E11" s="53" t="n"/>
      <c r="F11" s="47">
        <f>SUM(F$6:F$10)</f>
        <v/>
      </c>
      <c r="G11" s="47">
        <f>SUM(G$6:G$10)</f>
        <v/>
      </c>
      <c r="H11" s="53" t="n"/>
      <c r="I11" s="53" t="n"/>
      <c r="J11" s="216">
        <f>IF($D$11=0,"","Pagas "&amp;TEXT($G$11,"#,##0.00")&amp;" € al mes solo en intereses de esta deuda: "&amp;TEXT($G$11*12,"#,##0")&amp;" € al año que no compran nada.")</f>
        <v/>
      </c>
      <c r="K11" s="403" t="n"/>
      <c r="L11" s="403" t="n"/>
      <c r="M11" s="403" t="n"/>
      <c r="N11" s="403" t="n"/>
      <c r="O11" s="403" t="n"/>
      <c r="P11" s="403" t="n"/>
      <c r="Q11" s="403" t="n"/>
      <c r="R11" s="395" t="n"/>
      <c r="S11" s="1" t="n"/>
      <c r="T11" s="1" t="n"/>
      <c r="U11" s="1" t="n"/>
      <c r="V11" s="1" t="n"/>
      <c r="W11" s="1" t="n"/>
      <c r="X11" s="1" t="n"/>
      <c r="Y11" s="1" t="n"/>
      <c r="Z11" s="1" t="n"/>
    </row>
    <row r="12">
      <c r="A12" s="1" t="n"/>
      <c r="B12" s="1" t="n"/>
      <c r="C12" s="223" t="inlineStr">
        <is>
          <t>Hipoteca (referencia, no entra en la simulación)</t>
        </is>
      </c>
      <c r="D12" s="293">
        <f>Balance!$C$92</f>
        <v/>
      </c>
      <c r="E12" s="294">
        <f>Resultados!$H$33</f>
        <v/>
      </c>
      <c r="F12" s="293">
        <f>Balance!$C$93</f>
        <v/>
      </c>
      <c r="G12" s="1" t="n"/>
      <c r="H12" s="1" t="n"/>
      <c r="I12" s="1" t="n"/>
      <c r="J12" s="223" t="inlineStr">
        <is>
          <t>Al 3% es la deuda más barata que tienes. Amortizarla antes que las tarjetas sería tirar dinero.</t>
        </is>
      </c>
      <c r="K12" s="403" t="n"/>
      <c r="L12" s="403" t="n"/>
      <c r="M12" s="403" t="n"/>
      <c r="N12" s="403" t="n"/>
      <c r="O12" s="403" t="n"/>
      <c r="P12" s="403" t="n"/>
      <c r="Q12" s="403" t="n"/>
      <c r="R12" s="395" t="n"/>
      <c r="S12" s="1" t="n"/>
      <c r="T12" s="1" t="n"/>
      <c r="U12" s="1" t="n"/>
      <c r="V12" s="1" t="n"/>
      <c r="W12" s="1" t="n"/>
      <c r="X12" s="1" t="n"/>
      <c r="Y12" s="1" t="n"/>
      <c r="Z12" s="1" t="n"/>
    </row>
    <row r="13">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4" customHeight="1" s="311">
      <c r="A14" s="1" t="n"/>
      <c r="B14" s="10" t="inlineStr">
        <is>
          <t>B.  PALANCAS  —  de dónde sale el dinero extra para amortizar</t>
        </is>
      </c>
      <c r="S14" s="1" t="n"/>
      <c r="T14" s="1" t="n"/>
      <c r="U14" s="1" t="n"/>
      <c r="V14" s="1" t="n"/>
      <c r="W14" s="1" t="n"/>
      <c r="X14" s="1" t="n"/>
      <c r="Y14" s="1" t="n"/>
      <c r="Z14" s="1" t="n"/>
    </row>
    <row r="15" ht="21.75" customHeight="1" s="311">
      <c r="A15" s="1" t="n"/>
      <c r="B15" s="11" t="inlineStr">
        <is>
          <t>#</t>
        </is>
      </c>
      <c r="C15" s="11" t="inlineStr">
        <is>
          <t>Palanca</t>
        </is>
      </c>
      <c r="D15" s="11" t="inlineStr">
        <is>
          <t>Importe (€/mes)</t>
        </is>
      </c>
      <c r="E15" s="11" t="inlineStr">
        <is>
          <t>¿Activa?</t>
        </is>
      </c>
      <c r="F15" s="11" t="inlineStr">
        <is>
          <t>Qué implica</t>
        </is>
      </c>
      <c r="G15" s="403" t="n"/>
      <c r="H15" s="403" t="n"/>
      <c r="I15" s="403" t="n"/>
      <c r="J15" s="403" t="n"/>
      <c r="K15" s="403" t="n"/>
      <c r="L15" s="403" t="n"/>
      <c r="M15" s="403" t="n"/>
      <c r="N15" s="403" t="n"/>
      <c r="O15" s="403" t="n"/>
      <c r="P15" s="403" t="n"/>
      <c r="Q15" s="403" t="n"/>
      <c r="R15" s="395" t="n"/>
      <c r="S15" s="1" t="n"/>
      <c r="T15" s="1" t="n"/>
      <c r="U15" s="1" t="n"/>
      <c r="V15" s="1" t="n"/>
      <c r="W15" s="1" t="n"/>
      <c r="X15" s="1" t="n"/>
      <c r="Y15" s="1" t="n"/>
      <c r="Z15" s="1" t="n"/>
    </row>
    <row r="16" ht="19.5" customHeight="1" s="311">
      <c r="A16" s="1" t="n"/>
      <c r="B16" s="204" t="n">
        <v>1</v>
      </c>
      <c r="C16" s="289" t="inlineStr">
        <is>
          <t>Superávit realmente libre</t>
        </is>
      </c>
      <c r="D16" s="12">
        <f>MAX(0,ROUND(Resultados!$F$43-Resultados!$F$49-$F$11,2))</f>
        <v/>
      </c>
      <c r="E16" s="208" t="inlineStr">
        <is>
          <t>Sí</t>
        </is>
      </c>
      <c r="F16" s="209" t="inlineStr">
        <is>
          <t>Resultado del mes MENOS la amortización de la hipoteca MENOS los mínimos de arriba. Si sale 0 es que hoy no sobra nada: por eso hay que activar palancas.</t>
        </is>
      </c>
      <c r="G16" s="403" t="n"/>
      <c r="H16" s="403" t="n"/>
      <c r="I16" s="403" t="n"/>
      <c r="J16" s="403" t="n"/>
      <c r="K16" s="403" t="n"/>
      <c r="L16" s="403" t="n"/>
      <c r="M16" s="403" t="n"/>
      <c r="N16" s="403" t="n"/>
      <c r="O16" s="403" t="n"/>
      <c r="P16" s="403" t="n"/>
      <c r="Q16" s="403" t="n"/>
      <c r="R16" s="395" t="n"/>
      <c r="S16" s="1" t="n"/>
      <c r="T16" s="1" t="n"/>
      <c r="U16" s="1" t="n"/>
      <c r="V16" s="1" t="n"/>
      <c r="W16" s="1" t="n"/>
      <c r="X16" s="1" t="n"/>
      <c r="Y16" s="1" t="n"/>
      <c r="Z16" s="1" t="n"/>
    </row>
    <row r="17" ht="19.5" customHeight="1" s="311">
      <c r="A17" s="1" t="n"/>
      <c r="B17" s="204" t="n">
        <v>2</v>
      </c>
      <c r="C17" s="4" t="inlineStr">
        <is>
          <t>Carencia de capital en la hipoteca (12 meses)</t>
        </is>
      </c>
      <c r="D17" s="12">
        <f>ROUND(Balance!$C$96/12,2)</f>
        <v/>
      </c>
      <c r="E17" s="208" t="inlineStr">
        <is>
          <t>Sí</t>
        </is>
      </c>
      <c r="F17" s="209" t="inlineStr">
        <is>
          <t>Pagas solo intereses durante un año. Es la palanca más grande y no cuesta dinero: solo pedirla. Alarga la hipoteca.</t>
        </is>
      </c>
      <c r="G17" s="403" t="n"/>
      <c r="H17" s="403" t="n"/>
      <c r="I17" s="403" t="n"/>
      <c r="J17" s="403" t="n"/>
      <c r="K17" s="403" t="n"/>
      <c r="L17" s="403" t="n"/>
      <c r="M17" s="403" t="n"/>
      <c r="N17" s="403" t="n"/>
      <c r="O17" s="403" t="n"/>
      <c r="P17" s="403" t="n"/>
      <c r="Q17" s="403" t="n"/>
      <c r="R17" s="395" t="n"/>
      <c r="S17" s="1" t="n"/>
      <c r="T17" s="1" t="n"/>
      <c r="U17" s="1" t="n"/>
      <c r="V17" s="1" t="n"/>
      <c r="W17" s="1" t="n"/>
      <c r="X17" s="1" t="n"/>
      <c r="Y17" s="1" t="n"/>
      <c r="Z17" s="1" t="n"/>
    </row>
    <row r="18" ht="19.5" customHeight="1" s="311">
      <c r="A18" s="1" t="n"/>
      <c r="B18" s="204" t="n">
        <v>3</v>
      </c>
      <c r="C18" s="206" t="inlineStr">
        <is>
          <t>Recorte de telefonía y datos</t>
        </is>
      </c>
      <c r="D18" s="12" t="n">
        <v>70</v>
      </c>
      <c r="E18" s="208" t="inlineStr">
        <is>
          <t>No</t>
        </is>
      </c>
      <c r="F18" s="209" t="inlineStr">
        <is>
          <t>Pasar de 90 € a una tarifa de 20 €. Es el único gasto del hogar con margen claro.</t>
        </is>
      </c>
      <c r="G18" s="403" t="n"/>
      <c r="H18" s="403" t="n"/>
      <c r="I18" s="403" t="n"/>
      <c r="J18" s="403" t="n"/>
      <c r="K18" s="403" t="n"/>
      <c r="L18" s="403" t="n"/>
      <c r="M18" s="403" t="n"/>
      <c r="N18" s="403" t="n"/>
      <c r="O18" s="403" t="n"/>
      <c r="P18" s="403" t="n"/>
      <c r="Q18" s="403" t="n"/>
      <c r="R18" s="395" t="n"/>
      <c r="S18" s="1" t="n"/>
      <c r="T18" s="1" t="n"/>
      <c r="U18" s="1" t="n"/>
      <c r="V18" s="1" t="n"/>
      <c r="W18" s="1" t="n"/>
      <c r="X18" s="1" t="n"/>
      <c r="Y18" s="1" t="n"/>
      <c r="Z18" s="1" t="n"/>
    </row>
    <row r="19" ht="19.5" customHeight="1" s="311">
      <c r="A19" s="1" t="n"/>
      <c r="B19" s="204" t="n">
        <v>4</v>
      </c>
      <c r="C19" s="206" t="inlineStr">
        <is>
          <t>Ingreso propio nuevo</t>
        </is>
      </c>
      <c r="D19" s="12" t="n">
        <v>0</v>
      </c>
      <c r="E19" s="208" t="inlineStr">
        <is>
          <t>No</t>
        </is>
      </c>
      <c r="F19" s="209" t="inlineStr">
        <is>
          <t>Escribe aquí lo que aportarías al mes si consigues ingreso. Es la palanca que de verdad cambia el resultado.</t>
        </is>
      </c>
      <c r="G19" s="403" t="n"/>
      <c r="H19" s="403" t="n"/>
      <c r="I19" s="403" t="n"/>
      <c r="J19" s="403" t="n"/>
      <c r="K19" s="403" t="n"/>
      <c r="L19" s="403" t="n"/>
      <c r="M19" s="403" t="n"/>
      <c r="N19" s="403" t="n"/>
      <c r="O19" s="403" t="n"/>
      <c r="P19" s="403" t="n"/>
      <c r="Q19" s="403" t="n"/>
      <c r="R19" s="395" t="n"/>
      <c r="S19" s="1" t="n"/>
      <c r="T19" s="1" t="n"/>
      <c r="U19" s="1" t="n"/>
      <c r="V19" s="1" t="n"/>
      <c r="W19" s="1" t="n"/>
      <c r="X19" s="1" t="n"/>
      <c r="Y19" s="1" t="n"/>
      <c r="Z19" s="1" t="n"/>
    </row>
    <row r="20" ht="19.5" customHeight="1" s="311">
      <c r="A20" s="1" t="n"/>
      <c r="B20" s="204" t="n">
        <v>5</v>
      </c>
      <c r="C20" s="206" t="inlineStr">
        <is>
          <t>Otra palanca</t>
        </is>
      </c>
      <c r="D20" s="12" t="n">
        <v>0</v>
      </c>
      <c r="E20" s="208" t="inlineStr">
        <is>
          <t>No</t>
        </is>
      </c>
      <c r="F20" s="209" t="n"/>
      <c r="G20" s="403" t="n"/>
      <c r="H20" s="403" t="n"/>
      <c r="I20" s="403" t="n"/>
      <c r="J20" s="403" t="n"/>
      <c r="K20" s="403" t="n"/>
      <c r="L20" s="403" t="n"/>
      <c r="M20" s="403" t="n"/>
      <c r="N20" s="403" t="n"/>
      <c r="O20" s="403" t="n"/>
      <c r="P20" s="403" t="n"/>
      <c r="Q20" s="403" t="n"/>
      <c r="R20" s="395" t="n"/>
      <c r="S20" s="1" t="n"/>
      <c r="T20" s="1" t="n"/>
      <c r="U20" s="1" t="n"/>
      <c r="V20" s="1" t="n"/>
      <c r="W20" s="1" t="n"/>
      <c r="X20" s="1" t="n"/>
      <c r="Y20" s="1" t="n"/>
      <c r="Z20" s="1" t="n"/>
    </row>
    <row r="21" ht="15.75" customHeight="1" s="311">
      <c r="A21" s="1" t="n"/>
      <c r="B21" s="1" t="n"/>
      <c r="C21" s="296" t="inlineStr">
        <is>
          <t>DINERO EXTRA DISPONIBLE AL MES</t>
        </is>
      </c>
      <c r="D21" s="297">
        <f>SUMIFS($D$16:$D$20,$E$16:$E$20,"Sí")</f>
        <v/>
      </c>
      <c r="E21" s="53" t="n"/>
      <c r="F21" s="216">
        <f>IF($D$21=0,"🔴 Sin dinero extra solo pagas mínimos y la deuda apenas baja. Activa alguna palanca.","Con "&amp;TEXT($D$21,"#,##0.00")&amp;" €/mes extra la simulación de abajo te dice cuánto tardas.")</f>
        <v/>
      </c>
      <c r="G21" s="403" t="n"/>
      <c r="H21" s="403" t="n"/>
      <c r="I21" s="403" t="n"/>
      <c r="J21" s="403" t="n"/>
      <c r="K21" s="403" t="n"/>
      <c r="L21" s="403" t="n"/>
      <c r="M21" s="403" t="n"/>
      <c r="N21" s="403" t="n"/>
      <c r="O21" s="403" t="n"/>
      <c r="P21" s="403" t="n"/>
      <c r="Q21" s="403" t="n"/>
      <c r="R21" s="395" t="n"/>
      <c r="S21" s="1" t="n"/>
      <c r="T21" s="1" t="n"/>
      <c r="U21" s="1" t="n"/>
      <c r="V21" s="1" t="n"/>
      <c r="W21" s="1" t="n"/>
      <c r="X21" s="1" t="n"/>
      <c r="Y21" s="1" t="n"/>
      <c r="Z21" s="1" t="n"/>
    </row>
    <row r="22" ht="15.75" customHeight="1" s="311">
      <c r="A22" s="1" t="n"/>
      <c r="B22" s="1" t="n"/>
      <c r="C22" s="4" t="inlineStr">
        <is>
          <t>Aportación extraordinaria de una sola vez (€)</t>
        </is>
      </c>
      <c r="D22" s="298" t="n">
        <v>0</v>
      </c>
      <c r="E22" s="1" t="n"/>
      <c r="F22" s="223" t="inlineStr">
        <is>
          <t>Por ejemplo, si vendieras el inmueble de República Dominicana (=Balance!$E$81). Se aplica en el mes 1.</t>
        </is>
      </c>
      <c r="G22" s="403" t="n"/>
      <c r="H22" s="403" t="n"/>
      <c r="I22" s="403" t="n"/>
      <c r="J22" s="403" t="n"/>
      <c r="K22" s="403" t="n"/>
      <c r="L22" s="403" t="n"/>
      <c r="M22" s="403" t="n"/>
      <c r="N22" s="403" t="n"/>
      <c r="O22" s="403" t="n"/>
      <c r="P22" s="403" t="n"/>
      <c r="Q22" s="403" t="n"/>
      <c r="R22" s="395" t="n"/>
      <c r="S22" s="1" t="n"/>
      <c r="T22" s="1" t="n"/>
      <c r="U22" s="1" t="n"/>
      <c r="V22" s="1" t="n"/>
      <c r="W22" s="1" t="n"/>
      <c r="X22" s="1" t="n"/>
      <c r="Y22" s="1" t="n"/>
      <c r="Z22" s="1" t="n"/>
    </row>
    <row r="23" ht="15.75" customHeight="1" s="31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31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24" customHeight="1" s="311">
      <c r="A25" s="1" t="n"/>
      <c r="B25" s="10" t="inlineStr">
        <is>
          <t>C1.  AVALANCHA  —  primero la de interés más alto</t>
        </is>
      </c>
      <c r="S25" s="1" t="n"/>
      <c r="T25" s="1" t="n"/>
      <c r="U25" s="1" t="n"/>
      <c r="V25" s="1" t="n"/>
      <c r="W25" s="1" t="n"/>
      <c r="X25" s="1" t="n"/>
      <c r="Y25" s="1" t="n"/>
      <c r="Z25" s="1" t="n"/>
    </row>
    <row r="26" ht="12" customHeight="1" s="311">
      <c r="A26" s="1" t="n"/>
      <c r="B26" s="1" t="n"/>
      <c r="C26" s="299" t="inlineStr">
        <is>
          <t>tipo anual →</t>
        </is>
      </c>
      <c r="D26" s="300">
        <f>$E$6</f>
        <v/>
      </c>
      <c r="E26" s="300">
        <f>$E$7</f>
        <v/>
      </c>
      <c r="F26" s="300">
        <f>$E$8</f>
        <v/>
      </c>
      <c r="G26" s="300">
        <f>$E$9</f>
        <v/>
      </c>
      <c r="H26" s="300">
        <f>$E$10</f>
        <v/>
      </c>
      <c r="I26" s="1" t="n"/>
      <c r="J26" s="1" t="n"/>
      <c r="K26" s="1" t="n"/>
      <c r="L26" s="1" t="n"/>
      <c r="M26" s="1" t="n"/>
      <c r="N26" s="1" t="n"/>
      <c r="O26" s="1" t="n"/>
      <c r="P26" s="1" t="n"/>
      <c r="Q26" s="1" t="n"/>
      <c r="R26" s="1" t="n"/>
      <c r="S26" s="1" t="n"/>
      <c r="T26" s="1" t="n"/>
      <c r="U26" s="1" t="n"/>
      <c r="V26" s="1" t="n"/>
      <c r="W26" s="1" t="n"/>
      <c r="X26" s="1" t="n"/>
      <c r="Y26" s="1" t="n"/>
      <c r="Z26" s="1" t="n"/>
    </row>
    <row r="27" ht="12" customHeight="1" s="311">
      <c r="A27" s="1" t="n"/>
      <c r="B27" s="1" t="n"/>
      <c r="C27" s="299" t="inlineStr">
        <is>
          <t>cuota mínima →</t>
        </is>
      </c>
      <c r="D27" s="301">
        <f>$F$6</f>
        <v/>
      </c>
      <c r="E27" s="301">
        <f>$F$7</f>
        <v/>
      </c>
      <c r="F27" s="301">
        <f>$F$8</f>
        <v/>
      </c>
      <c r="G27" s="301">
        <f>$F$9</f>
        <v/>
      </c>
      <c r="H27" s="301">
        <f>$F$10</f>
        <v/>
      </c>
      <c r="I27" s="1" t="n"/>
      <c r="J27" s="1" t="n"/>
      <c r="K27" s="1" t="n"/>
      <c r="L27" s="1" t="n"/>
      <c r="M27" s="1" t="n"/>
      <c r="N27" s="1" t="n"/>
      <c r="O27" s="1" t="n"/>
      <c r="P27" s="1" t="n"/>
      <c r="Q27" s="1" t="n"/>
      <c r="R27" s="1" t="n"/>
      <c r="S27" s="1" t="n"/>
      <c r="T27" s="1" t="n"/>
      <c r="U27" s="1" t="n"/>
      <c r="V27" s="1" t="n"/>
      <c r="W27" s="1" t="n"/>
      <c r="X27" s="1" t="n"/>
      <c r="Y27" s="1" t="n"/>
      <c r="Z27" s="1" t="n"/>
    </row>
    <row r="28" ht="12" customHeight="1" s="311">
      <c r="A28" s="1" t="n"/>
      <c r="B28" s="1" t="n"/>
      <c r="C28" s="299" t="inlineStr">
        <is>
          <t>orden de ataque →</t>
        </is>
      </c>
      <c r="D28" s="302">
        <f>$H$6</f>
        <v/>
      </c>
      <c r="E28" s="302">
        <f>$H$7</f>
        <v/>
      </c>
      <c r="F28" s="302">
        <f>$H$8</f>
        <v/>
      </c>
      <c r="G28" s="302">
        <f>$H$9</f>
        <v/>
      </c>
      <c r="H28" s="302">
        <f>$H$10</f>
        <v/>
      </c>
      <c r="I28" s="1" t="n"/>
      <c r="J28" s="1" t="n"/>
      <c r="K28" s="1" t="n"/>
      <c r="L28" s="1" t="n"/>
      <c r="M28" s="1" t="n"/>
      <c r="N28" s="1" t="n"/>
      <c r="O28" s="1" t="n"/>
      <c r="P28" s="1" t="n"/>
      <c r="Q28" s="1" t="n"/>
      <c r="R28" s="1" t="n"/>
      <c r="S28" s="1" t="n"/>
      <c r="T28" s="1" t="n"/>
      <c r="U28" s="1" t="n"/>
      <c r="V28" s="1" t="n"/>
      <c r="W28" s="1" t="n"/>
      <c r="X28" s="1" t="n"/>
      <c r="Y28" s="1" t="n"/>
      <c r="Z28" s="1" t="n"/>
    </row>
    <row r="29" ht="30" customHeight="1" s="311">
      <c r="A29" s="1" t="n"/>
      <c r="B29" s="11" t="inlineStr">
        <is>
          <t>Mes</t>
        </is>
      </c>
      <c r="C29" s="11" t="inlineStr">
        <is>
          <t>Fecha</t>
        </is>
      </c>
      <c r="D29" s="11" t="inlineStr">
        <is>
          <t>Saldo
1</t>
        </is>
      </c>
      <c r="E29" s="11" t="inlineStr">
        <is>
          <t>Saldo
2</t>
        </is>
      </c>
      <c r="F29" s="11" t="inlineStr">
        <is>
          <t>Saldo
3</t>
        </is>
      </c>
      <c r="G29" s="11" t="inlineStr">
        <is>
          <t>Saldo
4</t>
        </is>
      </c>
      <c r="H29" s="11" t="inlineStr">
        <is>
          <t>Saldo
5</t>
        </is>
      </c>
      <c r="I29" s="11" t="inlineStr">
        <is>
          <t>Objetivo</t>
        </is>
      </c>
      <c r="J29" s="11" t="inlineStr">
        <is>
          <t>Extra
disponible</t>
        </is>
      </c>
      <c r="K29" s="11" t="inlineStr">
        <is>
          <t>Pago
1</t>
        </is>
      </c>
      <c r="L29" s="11" t="inlineStr">
        <is>
          <t>Pago
2</t>
        </is>
      </c>
      <c r="M29" s="11" t="inlineStr">
        <is>
          <t>Pago
3</t>
        </is>
      </c>
      <c r="N29" s="11" t="inlineStr">
        <is>
          <t>Pago
4</t>
        </is>
      </c>
      <c r="O29" s="11" t="inlineStr">
        <is>
          <t>Pago
5</t>
        </is>
      </c>
      <c r="P29" s="11" t="inlineStr">
        <is>
          <t>Intereses
del mes</t>
        </is>
      </c>
      <c r="Q29" s="11" t="inlineStr">
        <is>
          <t>Pagado
total</t>
        </is>
      </c>
      <c r="R29" s="11" t="inlineStr">
        <is>
          <t>DEUDA TOTAL
(€)</t>
        </is>
      </c>
      <c r="S29" s="1" t="n"/>
      <c r="T29" s="1" t="n"/>
      <c r="U29" s="1" t="n"/>
      <c r="V29" s="1" t="n"/>
      <c r="W29" s="1" t="n"/>
      <c r="X29" s="1" t="n"/>
      <c r="Y29" s="1" t="n"/>
      <c r="Z29" s="1" t="n"/>
    </row>
    <row r="30" ht="15.75" customHeight="1" s="311">
      <c r="A30" s="1" t="n"/>
      <c r="B30" s="303" t="n">
        <v>1</v>
      </c>
      <c r="C30" s="304">
        <f>EDATE(TODAY(),0)</f>
        <v/>
      </c>
      <c r="D30" s="305">
        <f>$D$6</f>
        <v/>
      </c>
      <c r="E30" s="305">
        <f>$D$7</f>
        <v/>
      </c>
      <c r="F30" s="305">
        <f>$D$8</f>
        <v/>
      </c>
      <c r="G30" s="305">
        <f>$D$9</f>
        <v/>
      </c>
      <c r="H30" s="305">
        <f>$D$10</f>
        <v/>
      </c>
      <c r="I30" s="303">
        <f>IF(SUMPRODUCT(($D$28:$H$28=1)*($D30:$H30&gt;0))&gt;0,1,IF(SUMPRODUCT(($D$28:$H$28=2)*($D30:$H30&gt;0))&gt;0,2,IF(SUMPRODUCT(($D$28:$H$28=3)*($D30:$H30&gt;0))&gt;0,3,IF(SUMPRODUCT(($D$28:$H$28=4)*($D30:$H30&gt;0))&gt;0,4,IF(SUMPRODUCT(($D$28:$H$28=5)*($D30:$H30&gt;0))&gt;0,5,0)))))</f>
        <v/>
      </c>
      <c r="J30" s="305">
        <f>$D$21+SUMPRODUCT(($D30:$H30=0)*$D$27:$H$27)+$D$22</f>
        <v/>
      </c>
      <c r="K30" s="305">
        <f>IF(D30&lt;=0,0,MIN(ROUND(D30*(1+D$26/12),2),D$27+IF(D$28=$I30,$J30,0)))</f>
        <v/>
      </c>
      <c r="L30" s="305">
        <f>IF(E30&lt;=0,0,MIN(ROUND(E30*(1+E$26/12),2),E$27+IF(E$28=$I30,$J30,0)))</f>
        <v/>
      </c>
      <c r="M30" s="305">
        <f>IF(F30&lt;=0,0,MIN(ROUND(F30*(1+F$26/12),2),F$27+IF(F$28=$I30,$J30,0)))</f>
        <v/>
      </c>
      <c r="N30" s="305">
        <f>IF(G30&lt;=0,0,MIN(ROUND(G30*(1+G$26/12),2),G$27+IF(G$28=$I30,$J30,0)))</f>
        <v/>
      </c>
      <c r="O30" s="305">
        <f>IF(H30&lt;=0,0,MIN(ROUND(H30*(1+H$26/12),2),H$27+IF(H$28=$I30,$J30,0)))</f>
        <v/>
      </c>
      <c r="P30" s="305">
        <f>SUMPRODUCT($D30:$H30,$D$26:$H$26)/12</f>
        <v/>
      </c>
      <c r="Q30" s="305">
        <f>SUM($K30:$O30)</f>
        <v/>
      </c>
      <c r="R30" s="306">
        <f>SUM($D30:$H30)</f>
        <v/>
      </c>
      <c r="S30" s="1" t="n"/>
      <c r="T30" s="1" t="n"/>
      <c r="U30" s="1" t="n"/>
      <c r="V30" s="1" t="n"/>
      <c r="W30" s="1" t="n"/>
      <c r="X30" s="1" t="n"/>
      <c r="Y30" s="1" t="n"/>
      <c r="Z30" s="1" t="n"/>
    </row>
    <row r="31" ht="15.75" customHeight="1" s="311">
      <c r="A31" s="1" t="n"/>
      <c r="B31" s="303" t="n">
        <v>2</v>
      </c>
      <c r="C31" s="304">
        <f>EDATE(TODAY(),1)</f>
        <v/>
      </c>
      <c r="D31" s="305">
        <f>MAX(0,ROUND(D30*(1+D$26/12)-K30,2))</f>
        <v/>
      </c>
      <c r="E31" s="305">
        <f>MAX(0,ROUND(E30*(1+E$26/12)-L30,2))</f>
        <v/>
      </c>
      <c r="F31" s="305">
        <f>MAX(0,ROUND(F30*(1+F$26/12)-M30,2))</f>
        <v/>
      </c>
      <c r="G31" s="305">
        <f>MAX(0,ROUND(G30*(1+G$26/12)-N30,2))</f>
        <v/>
      </c>
      <c r="H31" s="305">
        <f>MAX(0,ROUND(H30*(1+H$26/12)-O30,2))</f>
        <v/>
      </c>
      <c r="I31" s="303">
        <f>IF(SUMPRODUCT(($D$28:$H$28=1)*($D31:$H31&gt;0))&gt;0,1,IF(SUMPRODUCT(($D$28:$H$28=2)*($D31:$H31&gt;0))&gt;0,2,IF(SUMPRODUCT(($D$28:$H$28=3)*($D31:$H31&gt;0))&gt;0,3,IF(SUMPRODUCT(($D$28:$H$28=4)*($D31:$H31&gt;0))&gt;0,4,IF(SUMPRODUCT(($D$28:$H$28=5)*($D31:$H31&gt;0))&gt;0,5,0)))))</f>
        <v/>
      </c>
      <c r="J31" s="305">
        <f>$D$21+SUMPRODUCT(($D31:$H31=0)*$D$27:$H$27)</f>
        <v/>
      </c>
      <c r="K31" s="305">
        <f>IF(D31&lt;=0,0,MIN(ROUND(D31*(1+D$26/12),2),D$27+IF(D$28=$I31,$J31,0)))</f>
        <v/>
      </c>
      <c r="L31" s="305">
        <f>IF(E31&lt;=0,0,MIN(ROUND(E31*(1+E$26/12),2),E$27+IF(E$28=$I31,$J31,0)))</f>
        <v/>
      </c>
      <c r="M31" s="305">
        <f>IF(F31&lt;=0,0,MIN(ROUND(F31*(1+F$26/12),2),F$27+IF(F$28=$I31,$J31,0)))</f>
        <v/>
      </c>
      <c r="N31" s="305">
        <f>IF(G31&lt;=0,0,MIN(ROUND(G31*(1+G$26/12),2),G$27+IF(G$28=$I31,$J31,0)))</f>
        <v/>
      </c>
      <c r="O31" s="305">
        <f>IF(H31&lt;=0,0,MIN(ROUND(H31*(1+H$26/12),2),H$27+IF(H$28=$I31,$J31,0)))</f>
        <v/>
      </c>
      <c r="P31" s="305">
        <f>SUMPRODUCT($D31:$H31,$D$26:$H$26)/12</f>
        <v/>
      </c>
      <c r="Q31" s="305">
        <f>SUM($K31:$O31)</f>
        <v/>
      </c>
      <c r="R31" s="306">
        <f>SUM($D31:$H31)</f>
        <v/>
      </c>
      <c r="S31" s="1" t="n"/>
      <c r="T31" s="1" t="n"/>
      <c r="U31" s="1" t="n"/>
      <c r="V31" s="1" t="n"/>
      <c r="W31" s="1" t="n"/>
      <c r="X31" s="1" t="n"/>
      <c r="Y31" s="1" t="n"/>
      <c r="Z31" s="1" t="n"/>
    </row>
    <row r="32" ht="15.75" customHeight="1" s="311">
      <c r="A32" s="1" t="n"/>
      <c r="B32" s="303" t="n">
        <v>3</v>
      </c>
      <c r="C32" s="304">
        <f>EDATE(TODAY(),2)</f>
        <v/>
      </c>
      <c r="D32" s="305">
        <f>MAX(0,ROUND(D31*(1+D$26/12)-K31,2))</f>
        <v/>
      </c>
      <c r="E32" s="305">
        <f>MAX(0,ROUND(E31*(1+E$26/12)-L31,2))</f>
        <v/>
      </c>
      <c r="F32" s="305">
        <f>MAX(0,ROUND(F31*(1+F$26/12)-M31,2))</f>
        <v/>
      </c>
      <c r="G32" s="305">
        <f>MAX(0,ROUND(G31*(1+G$26/12)-N31,2))</f>
        <v/>
      </c>
      <c r="H32" s="305">
        <f>MAX(0,ROUND(H31*(1+H$26/12)-O31,2))</f>
        <v/>
      </c>
      <c r="I32" s="303">
        <f>IF(SUMPRODUCT(($D$28:$H$28=1)*($D32:$H32&gt;0))&gt;0,1,IF(SUMPRODUCT(($D$28:$H$28=2)*($D32:$H32&gt;0))&gt;0,2,IF(SUMPRODUCT(($D$28:$H$28=3)*($D32:$H32&gt;0))&gt;0,3,IF(SUMPRODUCT(($D$28:$H$28=4)*($D32:$H32&gt;0))&gt;0,4,IF(SUMPRODUCT(($D$28:$H$28=5)*($D32:$H32&gt;0))&gt;0,5,0)))))</f>
        <v/>
      </c>
      <c r="J32" s="305">
        <f>$D$21+SUMPRODUCT(($D32:$H32=0)*$D$27:$H$27)</f>
        <v/>
      </c>
      <c r="K32" s="305">
        <f>IF(D32&lt;=0,0,MIN(ROUND(D32*(1+D$26/12),2),D$27+IF(D$28=$I32,$J32,0)))</f>
        <v/>
      </c>
      <c r="L32" s="305">
        <f>IF(E32&lt;=0,0,MIN(ROUND(E32*(1+E$26/12),2),E$27+IF(E$28=$I32,$J32,0)))</f>
        <v/>
      </c>
      <c r="M32" s="305">
        <f>IF(F32&lt;=0,0,MIN(ROUND(F32*(1+F$26/12),2),F$27+IF(F$28=$I32,$J32,0)))</f>
        <v/>
      </c>
      <c r="N32" s="305">
        <f>IF(G32&lt;=0,0,MIN(ROUND(G32*(1+G$26/12),2),G$27+IF(G$28=$I32,$J32,0)))</f>
        <v/>
      </c>
      <c r="O32" s="305">
        <f>IF(H32&lt;=0,0,MIN(ROUND(H32*(1+H$26/12),2),H$27+IF(H$28=$I32,$J32,0)))</f>
        <v/>
      </c>
      <c r="P32" s="305">
        <f>SUMPRODUCT($D32:$H32,$D$26:$H$26)/12</f>
        <v/>
      </c>
      <c r="Q32" s="305">
        <f>SUM($K32:$O32)</f>
        <v/>
      </c>
      <c r="R32" s="306">
        <f>SUM($D32:$H32)</f>
        <v/>
      </c>
      <c r="S32" s="1" t="n"/>
      <c r="T32" s="1" t="n"/>
      <c r="U32" s="1" t="n"/>
      <c r="V32" s="1" t="n"/>
      <c r="W32" s="1" t="n"/>
      <c r="X32" s="1" t="n"/>
      <c r="Y32" s="1" t="n"/>
      <c r="Z32" s="1" t="n"/>
    </row>
    <row r="33" ht="15.75" customHeight="1" s="311">
      <c r="A33" s="1" t="n"/>
      <c r="B33" s="303" t="n">
        <v>4</v>
      </c>
      <c r="C33" s="304">
        <f>EDATE(TODAY(),3)</f>
        <v/>
      </c>
      <c r="D33" s="305">
        <f>MAX(0,ROUND(D32*(1+D$26/12)-K32,2))</f>
        <v/>
      </c>
      <c r="E33" s="305">
        <f>MAX(0,ROUND(E32*(1+E$26/12)-L32,2))</f>
        <v/>
      </c>
      <c r="F33" s="305">
        <f>MAX(0,ROUND(F32*(1+F$26/12)-M32,2))</f>
        <v/>
      </c>
      <c r="G33" s="305">
        <f>MAX(0,ROUND(G32*(1+G$26/12)-N32,2))</f>
        <v/>
      </c>
      <c r="H33" s="305">
        <f>MAX(0,ROUND(H32*(1+H$26/12)-O32,2))</f>
        <v/>
      </c>
      <c r="I33" s="303">
        <f>IF(SUMPRODUCT(($D$28:$H$28=1)*($D33:$H33&gt;0))&gt;0,1,IF(SUMPRODUCT(($D$28:$H$28=2)*($D33:$H33&gt;0))&gt;0,2,IF(SUMPRODUCT(($D$28:$H$28=3)*($D33:$H33&gt;0))&gt;0,3,IF(SUMPRODUCT(($D$28:$H$28=4)*($D33:$H33&gt;0))&gt;0,4,IF(SUMPRODUCT(($D$28:$H$28=5)*($D33:$H33&gt;0))&gt;0,5,0)))))</f>
        <v/>
      </c>
      <c r="J33" s="305">
        <f>$D$21+SUMPRODUCT(($D33:$H33=0)*$D$27:$H$27)</f>
        <v/>
      </c>
      <c r="K33" s="305">
        <f>IF(D33&lt;=0,0,MIN(ROUND(D33*(1+D$26/12),2),D$27+IF(D$28=$I33,$J33,0)))</f>
        <v/>
      </c>
      <c r="L33" s="305">
        <f>IF(E33&lt;=0,0,MIN(ROUND(E33*(1+E$26/12),2),E$27+IF(E$28=$I33,$J33,0)))</f>
        <v/>
      </c>
      <c r="M33" s="305">
        <f>IF(F33&lt;=0,0,MIN(ROUND(F33*(1+F$26/12),2),F$27+IF(F$28=$I33,$J33,0)))</f>
        <v/>
      </c>
      <c r="N33" s="305">
        <f>IF(G33&lt;=0,0,MIN(ROUND(G33*(1+G$26/12),2),G$27+IF(G$28=$I33,$J33,0)))</f>
        <v/>
      </c>
      <c r="O33" s="305">
        <f>IF(H33&lt;=0,0,MIN(ROUND(H33*(1+H$26/12),2),H$27+IF(H$28=$I33,$J33,0)))</f>
        <v/>
      </c>
      <c r="P33" s="305">
        <f>SUMPRODUCT($D33:$H33,$D$26:$H$26)/12</f>
        <v/>
      </c>
      <c r="Q33" s="305">
        <f>SUM($K33:$O33)</f>
        <v/>
      </c>
      <c r="R33" s="306">
        <f>SUM($D33:$H33)</f>
        <v/>
      </c>
      <c r="S33" s="1" t="n"/>
      <c r="T33" s="1" t="n"/>
      <c r="U33" s="1" t="n"/>
      <c r="V33" s="1" t="n"/>
      <c r="W33" s="1" t="n"/>
      <c r="X33" s="1" t="n"/>
      <c r="Y33" s="1" t="n"/>
      <c r="Z33" s="1" t="n"/>
    </row>
    <row r="34" ht="15.75" customHeight="1" s="311">
      <c r="A34" s="1" t="n"/>
      <c r="B34" s="303" t="n">
        <v>5</v>
      </c>
      <c r="C34" s="304">
        <f>EDATE(TODAY(),4)</f>
        <v/>
      </c>
      <c r="D34" s="305">
        <f>MAX(0,ROUND(D33*(1+D$26/12)-K33,2))</f>
        <v/>
      </c>
      <c r="E34" s="305">
        <f>MAX(0,ROUND(E33*(1+E$26/12)-L33,2))</f>
        <v/>
      </c>
      <c r="F34" s="305">
        <f>MAX(0,ROUND(F33*(1+F$26/12)-M33,2))</f>
        <v/>
      </c>
      <c r="G34" s="305">
        <f>MAX(0,ROUND(G33*(1+G$26/12)-N33,2))</f>
        <v/>
      </c>
      <c r="H34" s="305">
        <f>MAX(0,ROUND(H33*(1+H$26/12)-O33,2))</f>
        <v/>
      </c>
      <c r="I34" s="303">
        <f>IF(SUMPRODUCT(($D$28:$H$28=1)*($D34:$H34&gt;0))&gt;0,1,IF(SUMPRODUCT(($D$28:$H$28=2)*($D34:$H34&gt;0))&gt;0,2,IF(SUMPRODUCT(($D$28:$H$28=3)*($D34:$H34&gt;0))&gt;0,3,IF(SUMPRODUCT(($D$28:$H$28=4)*($D34:$H34&gt;0))&gt;0,4,IF(SUMPRODUCT(($D$28:$H$28=5)*($D34:$H34&gt;0))&gt;0,5,0)))))</f>
        <v/>
      </c>
      <c r="J34" s="305">
        <f>$D$21+SUMPRODUCT(($D34:$H34=0)*$D$27:$H$27)</f>
        <v/>
      </c>
      <c r="K34" s="305">
        <f>IF(D34&lt;=0,0,MIN(ROUND(D34*(1+D$26/12),2),D$27+IF(D$28=$I34,$J34,0)))</f>
        <v/>
      </c>
      <c r="L34" s="305">
        <f>IF(E34&lt;=0,0,MIN(ROUND(E34*(1+E$26/12),2),E$27+IF(E$28=$I34,$J34,0)))</f>
        <v/>
      </c>
      <c r="M34" s="305">
        <f>IF(F34&lt;=0,0,MIN(ROUND(F34*(1+F$26/12),2),F$27+IF(F$28=$I34,$J34,0)))</f>
        <v/>
      </c>
      <c r="N34" s="305">
        <f>IF(G34&lt;=0,0,MIN(ROUND(G34*(1+G$26/12),2),G$27+IF(G$28=$I34,$J34,0)))</f>
        <v/>
      </c>
      <c r="O34" s="305">
        <f>IF(H34&lt;=0,0,MIN(ROUND(H34*(1+H$26/12),2),H$27+IF(H$28=$I34,$J34,0)))</f>
        <v/>
      </c>
      <c r="P34" s="305">
        <f>SUMPRODUCT($D34:$H34,$D$26:$H$26)/12</f>
        <v/>
      </c>
      <c r="Q34" s="305">
        <f>SUM($K34:$O34)</f>
        <v/>
      </c>
      <c r="R34" s="306">
        <f>SUM($D34:$H34)</f>
        <v/>
      </c>
      <c r="S34" s="1" t="n"/>
      <c r="T34" s="1" t="n"/>
      <c r="U34" s="1" t="n"/>
      <c r="V34" s="1" t="n"/>
      <c r="W34" s="1" t="n"/>
      <c r="X34" s="1" t="n"/>
      <c r="Y34" s="1" t="n"/>
      <c r="Z34" s="1" t="n"/>
    </row>
    <row r="35" ht="15.75" customHeight="1" s="311">
      <c r="A35" s="1" t="n"/>
      <c r="B35" s="303" t="n">
        <v>6</v>
      </c>
      <c r="C35" s="304">
        <f>EDATE(TODAY(),5)</f>
        <v/>
      </c>
      <c r="D35" s="305">
        <f>MAX(0,ROUND(D34*(1+D$26/12)-K34,2))</f>
        <v/>
      </c>
      <c r="E35" s="305">
        <f>MAX(0,ROUND(E34*(1+E$26/12)-L34,2))</f>
        <v/>
      </c>
      <c r="F35" s="305">
        <f>MAX(0,ROUND(F34*(1+F$26/12)-M34,2))</f>
        <v/>
      </c>
      <c r="G35" s="305">
        <f>MAX(0,ROUND(G34*(1+G$26/12)-N34,2))</f>
        <v/>
      </c>
      <c r="H35" s="305">
        <f>MAX(0,ROUND(H34*(1+H$26/12)-O34,2))</f>
        <v/>
      </c>
      <c r="I35" s="303">
        <f>IF(SUMPRODUCT(($D$28:$H$28=1)*($D35:$H35&gt;0))&gt;0,1,IF(SUMPRODUCT(($D$28:$H$28=2)*($D35:$H35&gt;0))&gt;0,2,IF(SUMPRODUCT(($D$28:$H$28=3)*($D35:$H35&gt;0))&gt;0,3,IF(SUMPRODUCT(($D$28:$H$28=4)*($D35:$H35&gt;0))&gt;0,4,IF(SUMPRODUCT(($D$28:$H$28=5)*($D35:$H35&gt;0))&gt;0,5,0)))))</f>
        <v/>
      </c>
      <c r="J35" s="305">
        <f>$D$21+SUMPRODUCT(($D35:$H35=0)*$D$27:$H$27)</f>
        <v/>
      </c>
      <c r="K35" s="305">
        <f>IF(D35&lt;=0,0,MIN(ROUND(D35*(1+D$26/12),2),D$27+IF(D$28=$I35,$J35,0)))</f>
        <v/>
      </c>
      <c r="L35" s="305">
        <f>IF(E35&lt;=0,0,MIN(ROUND(E35*(1+E$26/12),2),E$27+IF(E$28=$I35,$J35,0)))</f>
        <v/>
      </c>
      <c r="M35" s="305">
        <f>IF(F35&lt;=0,0,MIN(ROUND(F35*(1+F$26/12),2),F$27+IF(F$28=$I35,$J35,0)))</f>
        <v/>
      </c>
      <c r="N35" s="305">
        <f>IF(G35&lt;=0,0,MIN(ROUND(G35*(1+G$26/12),2),G$27+IF(G$28=$I35,$J35,0)))</f>
        <v/>
      </c>
      <c r="O35" s="305">
        <f>IF(H35&lt;=0,0,MIN(ROUND(H35*(1+H$26/12),2),H$27+IF(H$28=$I35,$J35,0)))</f>
        <v/>
      </c>
      <c r="P35" s="305">
        <f>SUMPRODUCT($D35:$H35,$D$26:$H$26)/12</f>
        <v/>
      </c>
      <c r="Q35" s="305">
        <f>SUM($K35:$O35)</f>
        <v/>
      </c>
      <c r="R35" s="306">
        <f>SUM($D35:$H35)</f>
        <v/>
      </c>
      <c r="S35" s="1" t="n"/>
      <c r="T35" s="1" t="n"/>
      <c r="U35" s="1" t="n"/>
      <c r="V35" s="1" t="n"/>
      <c r="W35" s="1" t="n"/>
      <c r="X35" s="1" t="n"/>
      <c r="Y35" s="1" t="n"/>
      <c r="Z35" s="1" t="n"/>
    </row>
    <row r="36" ht="15.75" customHeight="1" s="311">
      <c r="A36" s="1" t="n"/>
      <c r="B36" s="303" t="n">
        <v>7</v>
      </c>
      <c r="C36" s="304">
        <f>EDATE(TODAY(),6)</f>
        <v/>
      </c>
      <c r="D36" s="305">
        <f>MAX(0,ROUND(D35*(1+D$26/12)-K35,2))</f>
        <v/>
      </c>
      <c r="E36" s="305">
        <f>MAX(0,ROUND(E35*(1+E$26/12)-L35,2))</f>
        <v/>
      </c>
      <c r="F36" s="305">
        <f>MAX(0,ROUND(F35*(1+F$26/12)-M35,2))</f>
        <v/>
      </c>
      <c r="G36" s="305">
        <f>MAX(0,ROUND(G35*(1+G$26/12)-N35,2))</f>
        <v/>
      </c>
      <c r="H36" s="305">
        <f>MAX(0,ROUND(H35*(1+H$26/12)-O35,2))</f>
        <v/>
      </c>
      <c r="I36" s="303">
        <f>IF(SUMPRODUCT(($D$28:$H$28=1)*($D36:$H36&gt;0))&gt;0,1,IF(SUMPRODUCT(($D$28:$H$28=2)*($D36:$H36&gt;0))&gt;0,2,IF(SUMPRODUCT(($D$28:$H$28=3)*($D36:$H36&gt;0))&gt;0,3,IF(SUMPRODUCT(($D$28:$H$28=4)*($D36:$H36&gt;0))&gt;0,4,IF(SUMPRODUCT(($D$28:$H$28=5)*($D36:$H36&gt;0))&gt;0,5,0)))))</f>
        <v/>
      </c>
      <c r="J36" s="305">
        <f>$D$21+SUMPRODUCT(($D36:$H36=0)*$D$27:$H$27)</f>
        <v/>
      </c>
      <c r="K36" s="305">
        <f>IF(D36&lt;=0,0,MIN(ROUND(D36*(1+D$26/12),2),D$27+IF(D$28=$I36,$J36,0)))</f>
        <v/>
      </c>
      <c r="L36" s="305">
        <f>IF(E36&lt;=0,0,MIN(ROUND(E36*(1+E$26/12),2),E$27+IF(E$28=$I36,$J36,0)))</f>
        <v/>
      </c>
      <c r="M36" s="305">
        <f>IF(F36&lt;=0,0,MIN(ROUND(F36*(1+F$26/12),2),F$27+IF(F$28=$I36,$J36,0)))</f>
        <v/>
      </c>
      <c r="N36" s="305">
        <f>IF(G36&lt;=0,0,MIN(ROUND(G36*(1+G$26/12),2),G$27+IF(G$28=$I36,$J36,0)))</f>
        <v/>
      </c>
      <c r="O36" s="305">
        <f>IF(H36&lt;=0,0,MIN(ROUND(H36*(1+H$26/12),2),H$27+IF(H$28=$I36,$J36,0)))</f>
        <v/>
      </c>
      <c r="P36" s="305">
        <f>SUMPRODUCT($D36:$H36,$D$26:$H$26)/12</f>
        <v/>
      </c>
      <c r="Q36" s="305">
        <f>SUM($K36:$O36)</f>
        <v/>
      </c>
      <c r="R36" s="306">
        <f>SUM($D36:$H36)</f>
        <v/>
      </c>
      <c r="S36" s="1" t="n"/>
      <c r="T36" s="1" t="n"/>
      <c r="U36" s="1" t="n"/>
      <c r="V36" s="1" t="n"/>
      <c r="W36" s="1" t="n"/>
      <c r="X36" s="1" t="n"/>
      <c r="Y36" s="1" t="n"/>
      <c r="Z36" s="1" t="n"/>
    </row>
    <row r="37" ht="15.75" customHeight="1" s="311">
      <c r="A37" s="1" t="n"/>
      <c r="B37" s="303" t="n">
        <v>8</v>
      </c>
      <c r="C37" s="304">
        <f>EDATE(TODAY(),7)</f>
        <v/>
      </c>
      <c r="D37" s="305">
        <f>MAX(0,ROUND(D36*(1+D$26/12)-K36,2))</f>
        <v/>
      </c>
      <c r="E37" s="305">
        <f>MAX(0,ROUND(E36*(1+E$26/12)-L36,2))</f>
        <v/>
      </c>
      <c r="F37" s="305">
        <f>MAX(0,ROUND(F36*(1+F$26/12)-M36,2))</f>
        <v/>
      </c>
      <c r="G37" s="305">
        <f>MAX(0,ROUND(G36*(1+G$26/12)-N36,2))</f>
        <v/>
      </c>
      <c r="H37" s="305">
        <f>MAX(0,ROUND(H36*(1+H$26/12)-O36,2))</f>
        <v/>
      </c>
      <c r="I37" s="303">
        <f>IF(SUMPRODUCT(($D$28:$H$28=1)*($D37:$H37&gt;0))&gt;0,1,IF(SUMPRODUCT(($D$28:$H$28=2)*($D37:$H37&gt;0))&gt;0,2,IF(SUMPRODUCT(($D$28:$H$28=3)*($D37:$H37&gt;0))&gt;0,3,IF(SUMPRODUCT(($D$28:$H$28=4)*($D37:$H37&gt;0))&gt;0,4,IF(SUMPRODUCT(($D$28:$H$28=5)*($D37:$H37&gt;0))&gt;0,5,0)))))</f>
        <v/>
      </c>
      <c r="J37" s="305">
        <f>$D$21+SUMPRODUCT(($D37:$H37=0)*$D$27:$H$27)</f>
        <v/>
      </c>
      <c r="K37" s="305">
        <f>IF(D37&lt;=0,0,MIN(ROUND(D37*(1+D$26/12),2),D$27+IF(D$28=$I37,$J37,0)))</f>
        <v/>
      </c>
      <c r="L37" s="305">
        <f>IF(E37&lt;=0,0,MIN(ROUND(E37*(1+E$26/12),2),E$27+IF(E$28=$I37,$J37,0)))</f>
        <v/>
      </c>
      <c r="M37" s="305">
        <f>IF(F37&lt;=0,0,MIN(ROUND(F37*(1+F$26/12),2),F$27+IF(F$28=$I37,$J37,0)))</f>
        <v/>
      </c>
      <c r="N37" s="305">
        <f>IF(G37&lt;=0,0,MIN(ROUND(G37*(1+G$26/12),2),G$27+IF(G$28=$I37,$J37,0)))</f>
        <v/>
      </c>
      <c r="O37" s="305">
        <f>IF(H37&lt;=0,0,MIN(ROUND(H37*(1+H$26/12),2),H$27+IF(H$28=$I37,$J37,0)))</f>
        <v/>
      </c>
      <c r="P37" s="305">
        <f>SUMPRODUCT($D37:$H37,$D$26:$H$26)/12</f>
        <v/>
      </c>
      <c r="Q37" s="305">
        <f>SUM($K37:$O37)</f>
        <v/>
      </c>
      <c r="R37" s="306">
        <f>SUM($D37:$H37)</f>
        <v/>
      </c>
      <c r="S37" s="1" t="n"/>
      <c r="T37" s="1" t="n"/>
      <c r="U37" s="1" t="n"/>
      <c r="V37" s="1" t="n"/>
      <c r="W37" s="1" t="n"/>
      <c r="X37" s="1" t="n"/>
      <c r="Y37" s="1" t="n"/>
      <c r="Z37" s="1" t="n"/>
    </row>
    <row r="38" ht="15.75" customHeight="1" s="311">
      <c r="A38" s="1" t="n"/>
      <c r="B38" s="303" t="n">
        <v>9</v>
      </c>
      <c r="C38" s="304">
        <f>EDATE(TODAY(),8)</f>
        <v/>
      </c>
      <c r="D38" s="305">
        <f>MAX(0,ROUND(D37*(1+D$26/12)-K37,2))</f>
        <v/>
      </c>
      <c r="E38" s="305">
        <f>MAX(0,ROUND(E37*(1+E$26/12)-L37,2))</f>
        <v/>
      </c>
      <c r="F38" s="305">
        <f>MAX(0,ROUND(F37*(1+F$26/12)-M37,2))</f>
        <v/>
      </c>
      <c r="G38" s="305">
        <f>MAX(0,ROUND(G37*(1+G$26/12)-N37,2))</f>
        <v/>
      </c>
      <c r="H38" s="305">
        <f>MAX(0,ROUND(H37*(1+H$26/12)-O37,2))</f>
        <v/>
      </c>
      <c r="I38" s="303">
        <f>IF(SUMPRODUCT(($D$28:$H$28=1)*($D38:$H38&gt;0))&gt;0,1,IF(SUMPRODUCT(($D$28:$H$28=2)*($D38:$H38&gt;0))&gt;0,2,IF(SUMPRODUCT(($D$28:$H$28=3)*($D38:$H38&gt;0))&gt;0,3,IF(SUMPRODUCT(($D$28:$H$28=4)*($D38:$H38&gt;0))&gt;0,4,IF(SUMPRODUCT(($D$28:$H$28=5)*($D38:$H38&gt;0))&gt;0,5,0)))))</f>
        <v/>
      </c>
      <c r="J38" s="305">
        <f>$D$21+SUMPRODUCT(($D38:$H38=0)*$D$27:$H$27)</f>
        <v/>
      </c>
      <c r="K38" s="305">
        <f>IF(D38&lt;=0,0,MIN(ROUND(D38*(1+D$26/12),2),D$27+IF(D$28=$I38,$J38,0)))</f>
        <v/>
      </c>
      <c r="L38" s="305">
        <f>IF(E38&lt;=0,0,MIN(ROUND(E38*(1+E$26/12),2),E$27+IF(E$28=$I38,$J38,0)))</f>
        <v/>
      </c>
      <c r="M38" s="305">
        <f>IF(F38&lt;=0,0,MIN(ROUND(F38*(1+F$26/12),2),F$27+IF(F$28=$I38,$J38,0)))</f>
        <v/>
      </c>
      <c r="N38" s="305">
        <f>IF(G38&lt;=0,0,MIN(ROUND(G38*(1+G$26/12),2),G$27+IF(G$28=$I38,$J38,0)))</f>
        <v/>
      </c>
      <c r="O38" s="305">
        <f>IF(H38&lt;=0,0,MIN(ROUND(H38*(1+H$26/12),2),H$27+IF(H$28=$I38,$J38,0)))</f>
        <v/>
      </c>
      <c r="P38" s="305">
        <f>SUMPRODUCT($D38:$H38,$D$26:$H$26)/12</f>
        <v/>
      </c>
      <c r="Q38" s="305">
        <f>SUM($K38:$O38)</f>
        <v/>
      </c>
      <c r="R38" s="306">
        <f>SUM($D38:$H38)</f>
        <v/>
      </c>
      <c r="S38" s="1" t="n"/>
      <c r="T38" s="1" t="n"/>
      <c r="U38" s="1" t="n"/>
      <c r="V38" s="1" t="n"/>
      <c r="W38" s="1" t="n"/>
      <c r="X38" s="1" t="n"/>
      <c r="Y38" s="1" t="n"/>
      <c r="Z38" s="1" t="n"/>
    </row>
    <row r="39" ht="15.75" customHeight="1" s="311">
      <c r="A39" s="1" t="n"/>
      <c r="B39" s="303" t="n">
        <v>10</v>
      </c>
      <c r="C39" s="304">
        <f>EDATE(TODAY(),9)</f>
        <v/>
      </c>
      <c r="D39" s="305">
        <f>MAX(0,ROUND(D38*(1+D$26/12)-K38,2))</f>
        <v/>
      </c>
      <c r="E39" s="305">
        <f>MAX(0,ROUND(E38*(1+E$26/12)-L38,2))</f>
        <v/>
      </c>
      <c r="F39" s="305">
        <f>MAX(0,ROUND(F38*(1+F$26/12)-M38,2))</f>
        <v/>
      </c>
      <c r="G39" s="305">
        <f>MAX(0,ROUND(G38*(1+G$26/12)-N38,2))</f>
        <v/>
      </c>
      <c r="H39" s="305">
        <f>MAX(0,ROUND(H38*(1+H$26/12)-O38,2))</f>
        <v/>
      </c>
      <c r="I39" s="303">
        <f>IF(SUMPRODUCT(($D$28:$H$28=1)*($D39:$H39&gt;0))&gt;0,1,IF(SUMPRODUCT(($D$28:$H$28=2)*($D39:$H39&gt;0))&gt;0,2,IF(SUMPRODUCT(($D$28:$H$28=3)*($D39:$H39&gt;0))&gt;0,3,IF(SUMPRODUCT(($D$28:$H$28=4)*($D39:$H39&gt;0))&gt;0,4,IF(SUMPRODUCT(($D$28:$H$28=5)*($D39:$H39&gt;0))&gt;0,5,0)))))</f>
        <v/>
      </c>
      <c r="J39" s="305">
        <f>$D$21+SUMPRODUCT(($D39:$H39=0)*$D$27:$H$27)</f>
        <v/>
      </c>
      <c r="K39" s="305">
        <f>IF(D39&lt;=0,0,MIN(ROUND(D39*(1+D$26/12),2),D$27+IF(D$28=$I39,$J39,0)))</f>
        <v/>
      </c>
      <c r="L39" s="305">
        <f>IF(E39&lt;=0,0,MIN(ROUND(E39*(1+E$26/12),2),E$27+IF(E$28=$I39,$J39,0)))</f>
        <v/>
      </c>
      <c r="M39" s="305">
        <f>IF(F39&lt;=0,0,MIN(ROUND(F39*(1+F$26/12),2),F$27+IF(F$28=$I39,$J39,0)))</f>
        <v/>
      </c>
      <c r="N39" s="305">
        <f>IF(G39&lt;=0,0,MIN(ROUND(G39*(1+G$26/12),2),G$27+IF(G$28=$I39,$J39,0)))</f>
        <v/>
      </c>
      <c r="O39" s="305">
        <f>IF(H39&lt;=0,0,MIN(ROUND(H39*(1+H$26/12),2),H$27+IF(H$28=$I39,$J39,0)))</f>
        <v/>
      </c>
      <c r="P39" s="305">
        <f>SUMPRODUCT($D39:$H39,$D$26:$H$26)/12</f>
        <v/>
      </c>
      <c r="Q39" s="305">
        <f>SUM($K39:$O39)</f>
        <v/>
      </c>
      <c r="R39" s="306">
        <f>SUM($D39:$H39)</f>
        <v/>
      </c>
      <c r="S39" s="1" t="n"/>
      <c r="T39" s="1" t="n"/>
      <c r="U39" s="1" t="n"/>
      <c r="V39" s="1" t="n"/>
      <c r="W39" s="1" t="n"/>
      <c r="X39" s="1" t="n"/>
      <c r="Y39" s="1" t="n"/>
      <c r="Z39" s="1" t="n"/>
    </row>
    <row r="40" ht="15.75" customHeight="1" s="311">
      <c r="A40" s="1" t="n"/>
      <c r="B40" s="303" t="n">
        <v>11</v>
      </c>
      <c r="C40" s="304">
        <f>EDATE(TODAY(),10)</f>
        <v/>
      </c>
      <c r="D40" s="305">
        <f>MAX(0,ROUND(D39*(1+D$26/12)-K39,2))</f>
        <v/>
      </c>
      <c r="E40" s="305">
        <f>MAX(0,ROUND(E39*(1+E$26/12)-L39,2))</f>
        <v/>
      </c>
      <c r="F40" s="305">
        <f>MAX(0,ROUND(F39*(1+F$26/12)-M39,2))</f>
        <v/>
      </c>
      <c r="G40" s="305">
        <f>MAX(0,ROUND(G39*(1+G$26/12)-N39,2))</f>
        <v/>
      </c>
      <c r="H40" s="305">
        <f>MAX(0,ROUND(H39*(1+H$26/12)-O39,2))</f>
        <v/>
      </c>
      <c r="I40" s="303">
        <f>IF(SUMPRODUCT(($D$28:$H$28=1)*($D40:$H40&gt;0))&gt;0,1,IF(SUMPRODUCT(($D$28:$H$28=2)*($D40:$H40&gt;0))&gt;0,2,IF(SUMPRODUCT(($D$28:$H$28=3)*($D40:$H40&gt;0))&gt;0,3,IF(SUMPRODUCT(($D$28:$H$28=4)*($D40:$H40&gt;0))&gt;0,4,IF(SUMPRODUCT(($D$28:$H$28=5)*($D40:$H40&gt;0))&gt;0,5,0)))))</f>
        <v/>
      </c>
      <c r="J40" s="305">
        <f>$D$21+SUMPRODUCT(($D40:$H40=0)*$D$27:$H$27)</f>
        <v/>
      </c>
      <c r="K40" s="305">
        <f>IF(D40&lt;=0,0,MIN(ROUND(D40*(1+D$26/12),2),D$27+IF(D$28=$I40,$J40,0)))</f>
        <v/>
      </c>
      <c r="L40" s="305">
        <f>IF(E40&lt;=0,0,MIN(ROUND(E40*(1+E$26/12),2),E$27+IF(E$28=$I40,$J40,0)))</f>
        <v/>
      </c>
      <c r="M40" s="305">
        <f>IF(F40&lt;=0,0,MIN(ROUND(F40*(1+F$26/12),2),F$27+IF(F$28=$I40,$J40,0)))</f>
        <v/>
      </c>
      <c r="N40" s="305">
        <f>IF(G40&lt;=0,0,MIN(ROUND(G40*(1+G$26/12),2),G$27+IF(G$28=$I40,$J40,0)))</f>
        <v/>
      </c>
      <c r="O40" s="305">
        <f>IF(H40&lt;=0,0,MIN(ROUND(H40*(1+H$26/12),2),H$27+IF(H$28=$I40,$J40,0)))</f>
        <v/>
      </c>
      <c r="P40" s="305">
        <f>SUMPRODUCT($D40:$H40,$D$26:$H$26)/12</f>
        <v/>
      </c>
      <c r="Q40" s="305">
        <f>SUM($K40:$O40)</f>
        <v/>
      </c>
      <c r="R40" s="306">
        <f>SUM($D40:$H40)</f>
        <v/>
      </c>
      <c r="S40" s="1" t="n"/>
      <c r="T40" s="1" t="n"/>
      <c r="U40" s="1" t="n"/>
      <c r="V40" s="1" t="n"/>
      <c r="W40" s="1" t="n"/>
      <c r="X40" s="1" t="n"/>
      <c r="Y40" s="1" t="n"/>
      <c r="Z40" s="1" t="n"/>
    </row>
    <row r="41" ht="15.75" customHeight="1" s="311">
      <c r="A41" s="1" t="n"/>
      <c r="B41" s="303" t="n">
        <v>12</v>
      </c>
      <c r="C41" s="304">
        <f>EDATE(TODAY(),11)</f>
        <v/>
      </c>
      <c r="D41" s="305">
        <f>MAX(0,ROUND(D40*(1+D$26/12)-K40,2))</f>
        <v/>
      </c>
      <c r="E41" s="305">
        <f>MAX(0,ROUND(E40*(1+E$26/12)-L40,2))</f>
        <v/>
      </c>
      <c r="F41" s="305">
        <f>MAX(0,ROUND(F40*(1+F$26/12)-M40,2))</f>
        <v/>
      </c>
      <c r="G41" s="305">
        <f>MAX(0,ROUND(G40*(1+G$26/12)-N40,2))</f>
        <v/>
      </c>
      <c r="H41" s="305">
        <f>MAX(0,ROUND(H40*(1+H$26/12)-O40,2))</f>
        <v/>
      </c>
      <c r="I41" s="303">
        <f>IF(SUMPRODUCT(($D$28:$H$28=1)*($D41:$H41&gt;0))&gt;0,1,IF(SUMPRODUCT(($D$28:$H$28=2)*($D41:$H41&gt;0))&gt;0,2,IF(SUMPRODUCT(($D$28:$H$28=3)*($D41:$H41&gt;0))&gt;0,3,IF(SUMPRODUCT(($D$28:$H$28=4)*($D41:$H41&gt;0))&gt;0,4,IF(SUMPRODUCT(($D$28:$H$28=5)*($D41:$H41&gt;0))&gt;0,5,0)))))</f>
        <v/>
      </c>
      <c r="J41" s="305">
        <f>$D$21+SUMPRODUCT(($D41:$H41=0)*$D$27:$H$27)</f>
        <v/>
      </c>
      <c r="K41" s="305">
        <f>IF(D41&lt;=0,0,MIN(ROUND(D41*(1+D$26/12),2),D$27+IF(D$28=$I41,$J41,0)))</f>
        <v/>
      </c>
      <c r="L41" s="305">
        <f>IF(E41&lt;=0,0,MIN(ROUND(E41*(1+E$26/12),2),E$27+IF(E$28=$I41,$J41,0)))</f>
        <v/>
      </c>
      <c r="M41" s="305">
        <f>IF(F41&lt;=0,0,MIN(ROUND(F41*(1+F$26/12),2),F$27+IF(F$28=$I41,$J41,0)))</f>
        <v/>
      </c>
      <c r="N41" s="305">
        <f>IF(G41&lt;=0,0,MIN(ROUND(G41*(1+G$26/12),2),G$27+IF(G$28=$I41,$J41,0)))</f>
        <v/>
      </c>
      <c r="O41" s="305">
        <f>IF(H41&lt;=0,0,MIN(ROUND(H41*(1+H$26/12),2),H$27+IF(H$28=$I41,$J41,0)))</f>
        <v/>
      </c>
      <c r="P41" s="305">
        <f>SUMPRODUCT($D41:$H41,$D$26:$H$26)/12</f>
        <v/>
      </c>
      <c r="Q41" s="305">
        <f>SUM($K41:$O41)</f>
        <v/>
      </c>
      <c r="R41" s="306">
        <f>SUM($D41:$H41)</f>
        <v/>
      </c>
      <c r="S41" s="1" t="n"/>
      <c r="T41" s="1" t="n"/>
      <c r="U41" s="1" t="n"/>
      <c r="V41" s="1" t="n"/>
      <c r="W41" s="1" t="n"/>
      <c r="X41" s="1" t="n"/>
      <c r="Y41" s="1" t="n"/>
      <c r="Z41" s="1" t="n"/>
    </row>
    <row r="42" ht="15.75" customHeight="1" s="311">
      <c r="A42" s="1" t="n"/>
      <c r="B42" s="303" t="n">
        <v>13</v>
      </c>
      <c r="C42" s="304">
        <f>EDATE(TODAY(),12)</f>
        <v/>
      </c>
      <c r="D42" s="305">
        <f>MAX(0,ROUND(D41*(1+D$26/12)-K41,2))</f>
        <v/>
      </c>
      <c r="E42" s="305">
        <f>MAX(0,ROUND(E41*(1+E$26/12)-L41,2))</f>
        <v/>
      </c>
      <c r="F42" s="305">
        <f>MAX(0,ROUND(F41*(1+F$26/12)-M41,2))</f>
        <v/>
      </c>
      <c r="G42" s="305">
        <f>MAX(0,ROUND(G41*(1+G$26/12)-N41,2))</f>
        <v/>
      </c>
      <c r="H42" s="305">
        <f>MAX(0,ROUND(H41*(1+H$26/12)-O41,2))</f>
        <v/>
      </c>
      <c r="I42" s="303">
        <f>IF(SUMPRODUCT(($D$28:$H$28=1)*($D42:$H42&gt;0))&gt;0,1,IF(SUMPRODUCT(($D$28:$H$28=2)*($D42:$H42&gt;0))&gt;0,2,IF(SUMPRODUCT(($D$28:$H$28=3)*($D42:$H42&gt;0))&gt;0,3,IF(SUMPRODUCT(($D$28:$H$28=4)*($D42:$H42&gt;0))&gt;0,4,IF(SUMPRODUCT(($D$28:$H$28=5)*($D42:$H42&gt;0))&gt;0,5,0)))))</f>
        <v/>
      </c>
      <c r="J42" s="305">
        <f>$D$21+SUMPRODUCT(($D42:$H42=0)*$D$27:$H$27)</f>
        <v/>
      </c>
      <c r="K42" s="305">
        <f>IF(D42&lt;=0,0,MIN(ROUND(D42*(1+D$26/12),2),D$27+IF(D$28=$I42,$J42,0)))</f>
        <v/>
      </c>
      <c r="L42" s="305">
        <f>IF(E42&lt;=0,0,MIN(ROUND(E42*(1+E$26/12),2),E$27+IF(E$28=$I42,$J42,0)))</f>
        <v/>
      </c>
      <c r="M42" s="305">
        <f>IF(F42&lt;=0,0,MIN(ROUND(F42*(1+F$26/12),2),F$27+IF(F$28=$I42,$J42,0)))</f>
        <v/>
      </c>
      <c r="N42" s="305">
        <f>IF(G42&lt;=0,0,MIN(ROUND(G42*(1+G$26/12),2),G$27+IF(G$28=$I42,$J42,0)))</f>
        <v/>
      </c>
      <c r="O42" s="305">
        <f>IF(H42&lt;=0,0,MIN(ROUND(H42*(1+H$26/12),2),H$27+IF(H$28=$I42,$J42,0)))</f>
        <v/>
      </c>
      <c r="P42" s="305">
        <f>SUMPRODUCT($D42:$H42,$D$26:$H$26)/12</f>
        <v/>
      </c>
      <c r="Q42" s="305">
        <f>SUM($K42:$O42)</f>
        <v/>
      </c>
      <c r="R42" s="306">
        <f>SUM($D42:$H42)</f>
        <v/>
      </c>
      <c r="S42" s="1" t="n"/>
      <c r="T42" s="1" t="n"/>
      <c r="U42" s="1" t="n"/>
      <c r="V42" s="1" t="n"/>
      <c r="W42" s="1" t="n"/>
      <c r="X42" s="1" t="n"/>
      <c r="Y42" s="1" t="n"/>
      <c r="Z42" s="1" t="n"/>
    </row>
    <row r="43" ht="15.75" customHeight="1" s="311">
      <c r="A43" s="1" t="n"/>
      <c r="B43" s="303" t="n">
        <v>14</v>
      </c>
      <c r="C43" s="304">
        <f>EDATE(TODAY(),13)</f>
        <v/>
      </c>
      <c r="D43" s="305">
        <f>MAX(0,ROUND(D42*(1+D$26/12)-K42,2))</f>
        <v/>
      </c>
      <c r="E43" s="305">
        <f>MAX(0,ROUND(E42*(1+E$26/12)-L42,2))</f>
        <v/>
      </c>
      <c r="F43" s="305">
        <f>MAX(0,ROUND(F42*(1+F$26/12)-M42,2))</f>
        <v/>
      </c>
      <c r="G43" s="305">
        <f>MAX(0,ROUND(G42*(1+G$26/12)-N42,2))</f>
        <v/>
      </c>
      <c r="H43" s="305">
        <f>MAX(0,ROUND(H42*(1+H$26/12)-O42,2))</f>
        <v/>
      </c>
      <c r="I43" s="303">
        <f>IF(SUMPRODUCT(($D$28:$H$28=1)*($D43:$H43&gt;0))&gt;0,1,IF(SUMPRODUCT(($D$28:$H$28=2)*($D43:$H43&gt;0))&gt;0,2,IF(SUMPRODUCT(($D$28:$H$28=3)*($D43:$H43&gt;0))&gt;0,3,IF(SUMPRODUCT(($D$28:$H$28=4)*($D43:$H43&gt;0))&gt;0,4,IF(SUMPRODUCT(($D$28:$H$28=5)*($D43:$H43&gt;0))&gt;0,5,0)))))</f>
        <v/>
      </c>
      <c r="J43" s="305">
        <f>$D$21+SUMPRODUCT(($D43:$H43=0)*$D$27:$H$27)</f>
        <v/>
      </c>
      <c r="K43" s="305">
        <f>IF(D43&lt;=0,0,MIN(ROUND(D43*(1+D$26/12),2),D$27+IF(D$28=$I43,$J43,0)))</f>
        <v/>
      </c>
      <c r="L43" s="305">
        <f>IF(E43&lt;=0,0,MIN(ROUND(E43*(1+E$26/12),2),E$27+IF(E$28=$I43,$J43,0)))</f>
        <v/>
      </c>
      <c r="M43" s="305">
        <f>IF(F43&lt;=0,0,MIN(ROUND(F43*(1+F$26/12),2),F$27+IF(F$28=$I43,$J43,0)))</f>
        <v/>
      </c>
      <c r="N43" s="305">
        <f>IF(G43&lt;=0,0,MIN(ROUND(G43*(1+G$26/12),2),G$27+IF(G$28=$I43,$J43,0)))</f>
        <v/>
      </c>
      <c r="O43" s="305">
        <f>IF(H43&lt;=0,0,MIN(ROUND(H43*(1+H$26/12),2),H$27+IF(H$28=$I43,$J43,0)))</f>
        <v/>
      </c>
      <c r="P43" s="305">
        <f>SUMPRODUCT($D43:$H43,$D$26:$H$26)/12</f>
        <v/>
      </c>
      <c r="Q43" s="305">
        <f>SUM($K43:$O43)</f>
        <v/>
      </c>
      <c r="R43" s="306">
        <f>SUM($D43:$H43)</f>
        <v/>
      </c>
      <c r="S43" s="1" t="n"/>
      <c r="T43" s="1" t="n"/>
      <c r="U43" s="1" t="n"/>
      <c r="V43" s="1" t="n"/>
      <c r="W43" s="1" t="n"/>
      <c r="X43" s="1" t="n"/>
      <c r="Y43" s="1" t="n"/>
      <c r="Z43" s="1" t="n"/>
    </row>
    <row r="44" ht="15.75" customHeight="1" s="311">
      <c r="A44" s="1" t="n"/>
      <c r="B44" s="303" t="n">
        <v>15</v>
      </c>
      <c r="C44" s="304">
        <f>EDATE(TODAY(),14)</f>
        <v/>
      </c>
      <c r="D44" s="305">
        <f>MAX(0,ROUND(D43*(1+D$26/12)-K43,2))</f>
        <v/>
      </c>
      <c r="E44" s="305">
        <f>MAX(0,ROUND(E43*(1+E$26/12)-L43,2))</f>
        <v/>
      </c>
      <c r="F44" s="305">
        <f>MAX(0,ROUND(F43*(1+F$26/12)-M43,2))</f>
        <v/>
      </c>
      <c r="G44" s="305">
        <f>MAX(0,ROUND(G43*(1+G$26/12)-N43,2))</f>
        <v/>
      </c>
      <c r="H44" s="305">
        <f>MAX(0,ROUND(H43*(1+H$26/12)-O43,2))</f>
        <v/>
      </c>
      <c r="I44" s="303">
        <f>IF(SUMPRODUCT(($D$28:$H$28=1)*($D44:$H44&gt;0))&gt;0,1,IF(SUMPRODUCT(($D$28:$H$28=2)*($D44:$H44&gt;0))&gt;0,2,IF(SUMPRODUCT(($D$28:$H$28=3)*($D44:$H44&gt;0))&gt;0,3,IF(SUMPRODUCT(($D$28:$H$28=4)*($D44:$H44&gt;0))&gt;0,4,IF(SUMPRODUCT(($D$28:$H$28=5)*($D44:$H44&gt;0))&gt;0,5,0)))))</f>
        <v/>
      </c>
      <c r="J44" s="305">
        <f>$D$21+SUMPRODUCT(($D44:$H44=0)*$D$27:$H$27)</f>
        <v/>
      </c>
      <c r="K44" s="305">
        <f>IF(D44&lt;=0,0,MIN(ROUND(D44*(1+D$26/12),2),D$27+IF(D$28=$I44,$J44,0)))</f>
        <v/>
      </c>
      <c r="L44" s="305">
        <f>IF(E44&lt;=0,0,MIN(ROUND(E44*(1+E$26/12),2),E$27+IF(E$28=$I44,$J44,0)))</f>
        <v/>
      </c>
      <c r="M44" s="305">
        <f>IF(F44&lt;=0,0,MIN(ROUND(F44*(1+F$26/12),2),F$27+IF(F$28=$I44,$J44,0)))</f>
        <v/>
      </c>
      <c r="N44" s="305">
        <f>IF(G44&lt;=0,0,MIN(ROUND(G44*(1+G$26/12),2),G$27+IF(G$28=$I44,$J44,0)))</f>
        <v/>
      </c>
      <c r="O44" s="305">
        <f>IF(H44&lt;=0,0,MIN(ROUND(H44*(1+H$26/12),2),H$27+IF(H$28=$I44,$J44,0)))</f>
        <v/>
      </c>
      <c r="P44" s="305">
        <f>SUMPRODUCT($D44:$H44,$D$26:$H$26)/12</f>
        <v/>
      </c>
      <c r="Q44" s="305">
        <f>SUM($K44:$O44)</f>
        <v/>
      </c>
      <c r="R44" s="306">
        <f>SUM($D44:$H44)</f>
        <v/>
      </c>
      <c r="S44" s="1" t="n"/>
      <c r="T44" s="1" t="n"/>
      <c r="U44" s="1" t="n"/>
      <c r="V44" s="1" t="n"/>
      <c r="W44" s="1" t="n"/>
      <c r="X44" s="1" t="n"/>
      <c r="Y44" s="1" t="n"/>
      <c r="Z44" s="1" t="n"/>
    </row>
    <row r="45" ht="15.75" customHeight="1" s="311">
      <c r="A45" s="1" t="n"/>
      <c r="B45" s="303" t="n">
        <v>16</v>
      </c>
      <c r="C45" s="304">
        <f>EDATE(TODAY(),15)</f>
        <v/>
      </c>
      <c r="D45" s="305">
        <f>MAX(0,ROUND(D44*(1+D$26/12)-K44,2))</f>
        <v/>
      </c>
      <c r="E45" s="305">
        <f>MAX(0,ROUND(E44*(1+E$26/12)-L44,2))</f>
        <v/>
      </c>
      <c r="F45" s="305">
        <f>MAX(0,ROUND(F44*(1+F$26/12)-M44,2))</f>
        <v/>
      </c>
      <c r="G45" s="305">
        <f>MAX(0,ROUND(G44*(1+G$26/12)-N44,2))</f>
        <v/>
      </c>
      <c r="H45" s="305">
        <f>MAX(0,ROUND(H44*(1+H$26/12)-O44,2))</f>
        <v/>
      </c>
      <c r="I45" s="303">
        <f>IF(SUMPRODUCT(($D$28:$H$28=1)*($D45:$H45&gt;0))&gt;0,1,IF(SUMPRODUCT(($D$28:$H$28=2)*($D45:$H45&gt;0))&gt;0,2,IF(SUMPRODUCT(($D$28:$H$28=3)*($D45:$H45&gt;0))&gt;0,3,IF(SUMPRODUCT(($D$28:$H$28=4)*($D45:$H45&gt;0))&gt;0,4,IF(SUMPRODUCT(($D$28:$H$28=5)*($D45:$H45&gt;0))&gt;0,5,0)))))</f>
        <v/>
      </c>
      <c r="J45" s="305">
        <f>$D$21+SUMPRODUCT(($D45:$H45=0)*$D$27:$H$27)</f>
        <v/>
      </c>
      <c r="K45" s="305">
        <f>IF(D45&lt;=0,0,MIN(ROUND(D45*(1+D$26/12),2),D$27+IF(D$28=$I45,$J45,0)))</f>
        <v/>
      </c>
      <c r="L45" s="305">
        <f>IF(E45&lt;=0,0,MIN(ROUND(E45*(1+E$26/12),2),E$27+IF(E$28=$I45,$J45,0)))</f>
        <v/>
      </c>
      <c r="M45" s="305">
        <f>IF(F45&lt;=0,0,MIN(ROUND(F45*(1+F$26/12),2),F$27+IF(F$28=$I45,$J45,0)))</f>
        <v/>
      </c>
      <c r="N45" s="305">
        <f>IF(G45&lt;=0,0,MIN(ROUND(G45*(1+G$26/12),2),G$27+IF(G$28=$I45,$J45,0)))</f>
        <v/>
      </c>
      <c r="O45" s="305">
        <f>IF(H45&lt;=0,0,MIN(ROUND(H45*(1+H$26/12),2),H$27+IF(H$28=$I45,$J45,0)))</f>
        <v/>
      </c>
      <c r="P45" s="305">
        <f>SUMPRODUCT($D45:$H45,$D$26:$H$26)/12</f>
        <v/>
      </c>
      <c r="Q45" s="305">
        <f>SUM($K45:$O45)</f>
        <v/>
      </c>
      <c r="R45" s="306">
        <f>SUM($D45:$H45)</f>
        <v/>
      </c>
      <c r="S45" s="1" t="n"/>
      <c r="T45" s="1" t="n"/>
      <c r="U45" s="1" t="n"/>
      <c r="V45" s="1" t="n"/>
      <c r="W45" s="1" t="n"/>
      <c r="X45" s="1" t="n"/>
      <c r="Y45" s="1" t="n"/>
      <c r="Z45" s="1" t="n"/>
    </row>
    <row r="46" ht="15.75" customHeight="1" s="311">
      <c r="A46" s="1" t="n"/>
      <c r="B46" s="303" t="n">
        <v>17</v>
      </c>
      <c r="C46" s="304">
        <f>EDATE(TODAY(),16)</f>
        <v/>
      </c>
      <c r="D46" s="305">
        <f>MAX(0,ROUND(D45*(1+D$26/12)-K45,2))</f>
        <v/>
      </c>
      <c r="E46" s="305">
        <f>MAX(0,ROUND(E45*(1+E$26/12)-L45,2))</f>
        <v/>
      </c>
      <c r="F46" s="305">
        <f>MAX(0,ROUND(F45*(1+F$26/12)-M45,2))</f>
        <v/>
      </c>
      <c r="G46" s="305">
        <f>MAX(0,ROUND(G45*(1+G$26/12)-N45,2))</f>
        <v/>
      </c>
      <c r="H46" s="305">
        <f>MAX(0,ROUND(H45*(1+H$26/12)-O45,2))</f>
        <v/>
      </c>
      <c r="I46" s="303">
        <f>IF(SUMPRODUCT(($D$28:$H$28=1)*($D46:$H46&gt;0))&gt;0,1,IF(SUMPRODUCT(($D$28:$H$28=2)*($D46:$H46&gt;0))&gt;0,2,IF(SUMPRODUCT(($D$28:$H$28=3)*($D46:$H46&gt;0))&gt;0,3,IF(SUMPRODUCT(($D$28:$H$28=4)*($D46:$H46&gt;0))&gt;0,4,IF(SUMPRODUCT(($D$28:$H$28=5)*($D46:$H46&gt;0))&gt;0,5,0)))))</f>
        <v/>
      </c>
      <c r="J46" s="305">
        <f>$D$21+SUMPRODUCT(($D46:$H46=0)*$D$27:$H$27)</f>
        <v/>
      </c>
      <c r="K46" s="305">
        <f>IF(D46&lt;=0,0,MIN(ROUND(D46*(1+D$26/12),2),D$27+IF(D$28=$I46,$J46,0)))</f>
        <v/>
      </c>
      <c r="L46" s="305">
        <f>IF(E46&lt;=0,0,MIN(ROUND(E46*(1+E$26/12),2),E$27+IF(E$28=$I46,$J46,0)))</f>
        <v/>
      </c>
      <c r="M46" s="305">
        <f>IF(F46&lt;=0,0,MIN(ROUND(F46*(1+F$26/12),2),F$27+IF(F$28=$I46,$J46,0)))</f>
        <v/>
      </c>
      <c r="N46" s="305">
        <f>IF(G46&lt;=0,0,MIN(ROUND(G46*(1+G$26/12),2),G$27+IF(G$28=$I46,$J46,0)))</f>
        <v/>
      </c>
      <c r="O46" s="305">
        <f>IF(H46&lt;=0,0,MIN(ROUND(H46*(1+H$26/12),2),H$27+IF(H$28=$I46,$J46,0)))</f>
        <v/>
      </c>
      <c r="P46" s="305">
        <f>SUMPRODUCT($D46:$H46,$D$26:$H$26)/12</f>
        <v/>
      </c>
      <c r="Q46" s="305">
        <f>SUM($K46:$O46)</f>
        <v/>
      </c>
      <c r="R46" s="306">
        <f>SUM($D46:$H46)</f>
        <v/>
      </c>
      <c r="S46" s="1" t="n"/>
      <c r="T46" s="1" t="n"/>
      <c r="U46" s="1" t="n"/>
      <c r="V46" s="1" t="n"/>
      <c r="W46" s="1" t="n"/>
      <c r="X46" s="1" t="n"/>
      <c r="Y46" s="1" t="n"/>
      <c r="Z46" s="1" t="n"/>
    </row>
    <row r="47" ht="15.75" customHeight="1" s="311">
      <c r="A47" s="1" t="n"/>
      <c r="B47" s="303" t="n">
        <v>18</v>
      </c>
      <c r="C47" s="304">
        <f>EDATE(TODAY(),17)</f>
        <v/>
      </c>
      <c r="D47" s="305">
        <f>MAX(0,ROUND(D46*(1+D$26/12)-K46,2))</f>
        <v/>
      </c>
      <c r="E47" s="305">
        <f>MAX(0,ROUND(E46*(1+E$26/12)-L46,2))</f>
        <v/>
      </c>
      <c r="F47" s="305">
        <f>MAX(0,ROUND(F46*(1+F$26/12)-M46,2))</f>
        <v/>
      </c>
      <c r="G47" s="305">
        <f>MAX(0,ROUND(G46*(1+G$26/12)-N46,2))</f>
        <v/>
      </c>
      <c r="H47" s="305">
        <f>MAX(0,ROUND(H46*(1+H$26/12)-O46,2))</f>
        <v/>
      </c>
      <c r="I47" s="303">
        <f>IF(SUMPRODUCT(($D$28:$H$28=1)*($D47:$H47&gt;0))&gt;0,1,IF(SUMPRODUCT(($D$28:$H$28=2)*($D47:$H47&gt;0))&gt;0,2,IF(SUMPRODUCT(($D$28:$H$28=3)*($D47:$H47&gt;0))&gt;0,3,IF(SUMPRODUCT(($D$28:$H$28=4)*($D47:$H47&gt;0))&gt;0,4,IF(SUMPRODUCT(($D$28:$H$28=5)*($D47:$H47&gt;0))&gt;0,5,0)))))</f>
        <v/>
      </c>
      <c r="J47" s="305">
        <f>$D$21+SUMPRODUCT(($D47:$H47=0)*$D$27:$H$27)</f>
        <v/>
      </c>
      <c r="K47" s="305">
        <f>IF(D47&lt;=0,0,MIN(ROUND(D47*(1+D$26/12),2),D$27+IF(D$28=$I47,$J47,0)))</f>
        <v/>
      </c>
      <c r="L47" s="305">
        <f>IF(E47&lt;=0,0,MIN(ROUND(E47*(1+E$26/12),2),E$27+IF(E$28=$I47,$J47,0)))</f>
        <v/>
      </c>
      <c r="M47" s="305">
        <f>IF(F47&lt;=0,0,MIN(ROUND(F47*(1+F$26/12),2),F$27+IF(F$28=$I47,$J47,0)))</f>
        <v/>
      </c>
      <c r="N47" s="305">
        <f>IF(G47&lt;=0,0,MIN(ROUND(G47*(1+G$26/12),2),G$27+IF(G$28=$I47,$J47,0)))</f>
        <v/>
      </c>
      <c r="O47" s="305">
        <f>IF(H47&lt;=0,0,MIN(ROUND(H47*(1+H$26/12),2),H$27+IF(H$28=$I47,$J47,0)))</f>
        <v/>
      </c>
      <c r="P47" s="305">
        <f>SUMPRODUCT($D47:$H47,$D$26:$H$26)/12</f>
        <v/>
      </c>
      <c r="Q47" s="305">
        <f>SUM($K47:$O47)</f>
        <v/>
      </c>
      <c r="R47" s="306">
        <f>SUM($D47:$H47)</f>
        <v/>
      </c>
      <c r="S47" s="1" t="n"/>
      <c r="T47" s="1" t="n"/>
      <c r="U47" s="1" t="n"/>
      <c r="V47" s="1" t="n"/>
      <c r="W47" s="1" t="n"/>
      <c r="X47" s="1" t="n"/>
      <c r="Y47" s="1" t="n"/>
      <c r="Z47" s="1" t="n"/>
    </row>
    <row r="48" ht="15.75" customHeight="1" s="311">
      <c r="A48" s="1" t="n"/>
      <c r="B48" s="303" t="n">
        <v>19</v>
      </c>
      <c r="C48" s="304">
        <f>EDATE(TODAY(),18)</f>
        <v/>
      </c>
      <c r="D48" s="305">
        <f>MAX(0,ROUND(D47*(1+D$26/12)-K47,2))</f>
        <v/>
      </c>
      <c r="E48" s="305">
        <f>MAX(0,ROUND(E47*(1+E$26/12)-L47,2))</f>
        <v/>
      </c>
      <c r="F48" s="305">
        <f>MAX(0,ROUND(F47*(1+F$26/12)-M47,2))</f>
        <v/>
      </c>
      <c r="G48" s="305">
        <f>MAX(0,ROUND(G47*(1+G$26/12)-N47,2))</f>
        <v/>
      </c>
      <c r="H48" s="305">
        <f>MAX(0,ROUND(H47*(1+H$26/12)-O47,2))</f>
        <v/>
      </c>
      <c r="I48" s="303">
        <f>IF(SUMPRODUCT(($D$28:$H$28=1)*($D48:$H48&gt;0))&gt;0,1,IF(SUMPRODUCT(($D$28:$H$28=2)*($D48:$H48&gt;0))&gt;0,2,IF(SUMPRODUCT(($D$28:$H$28=3)*($D48:$H48&gt;0))&gt;0,3,IF(SUMPRODUCT(($D$28:$H$28=4)*($D48:$H48&gt;0))&gt;0,4,IF(SUMPRODUCT(($D$28:$H$28=5)*($D48:$H48&gt;0))&gt;0,5,0)))))</f>
        <v/>
      </c>
      <c r="J48" s="305">
        <f>$D$21+SUMPRODUCT(($D48:$H48=0)*$D$27:$H$27)</f>
        <v/>
      </c>
      <c r="K48" s="305">
        <f>IF(D48&lt;=0,0,MIN(ROUND(D48*(1+D$26/12),2),D$27+IF(D$28=$I48,$J48,0)))</f>
        <v/>
      </c>
      <c r="L48" s="305">
        <f>IF(E48&lt;=0,0,MIN(ROUND(E48*(1+E$26/12),2),E$27+IF(E$28=$I48,$J48,0)))</f>
        <v/>
      </c>
      <c r="M48" s="305">
        <f>IF(F48&lt;=0,0,MIN(ROUND(F48*(1+F$26/12),2),F$27+IF(F$28=$I48,$J48,0)))</f>
        <v/>
      </c>
      <c r="N48" s="305">
        <f>IF(G48&lt;=0,0,MIN(ROUND(G48*(1+G$26/12),2),G$27+IF(G$28=$I48,$J48,0)))</f>
        <v/>
      </c>
      <c r="O48" s="305">
        <f>IF(H48&lt;=0,0,MIN(ROUND(H48*(1+H$26/12),2),H$27+IF(H$28=$I48,$J48,0)))</f>
        <v/>
      </c>
      <c r="P48" s="305">
        <f>SUMPRODUCT($D48:$H48,$D$26:$H$26)/12</f>
        <v/>
      </c>
      <c r="Q48" s="305">
        <f>SUM($K48:$O48)</f>
        <v/>
      </c>
      <c r="R48" s="306">
        <f>SUM($D48:$H48)</f>
        <v/>
      </c>
      <c r="S48" s="1" t="n"/>
      <c r="T48" s="1" t="n"/>
      <c r="U48" s="1" t="n"/>
      <c r="V48" s="1" t="n"/>
      <c r="W48" s="1" t="n"/>
      <c r="X48" s="1" t="n"/>
      <c r="Y48" s="1" t="n"/>
      <c r="Z48" s="1" t="n"/>
    </row>
    <row r="49" ht="15.75" customHeight="1" s="311">
      <c r="A49" s="1" t="n"/>
      <c r="B49" s="303" t="n">
        <v>20</v>
      </c>
      <c r="C49" s="304">
        <f>EDATE(TODAY(),19)</f>
        <v/>
      </c>
      <c r="D49" s="305">
        <f>MAX(0,ROUND(D48*(1+D$26/12)-K48,2))</f>
        <v/>
      </c>
      <c r="E49" s="305">
        <f>MAX(0,ROUND(E48*(1+E$26/12)-L48,2))</f>
        <v/>
      </c>
      <c r="F49" s="305">
        <f>MAX(0,ROUND(F48*(1+F$26/12)-M48,2))</f>
        <v/>
      </c>
      <c r="G49" s="305">
        <f>MAX(0,ROUND(G48*(1+G$26/12)-N48,2))</f>
        <v/>
      </c>
      <c r="H49" s="305">
        <f>MAX(0,ROUND(H48*(1+H$26/12)-O48,2))</f>
        <v/>
      </c>
      <c r="I49" s="303">
        <f>IF(SUMPRODUCT(($D$28:$H$28=1)*($D49:$H49&gt;0))&gt;0,1,IF(SUMPRODUCT(($D$28:$H$28=2)*($D49:$H49&gt;0))&gt;0,2,IF(SUMPRODUCT(($D$28:$H$28=3)*($D49:$H49&gt;0))&gt;0,3,IF(SUMPRODUCT(($D$28:$H$28=4)*($D49:$H49&gt;0))&gt;0,4,IF(SUMPRODUCT(($D$28:$H$28=5)*($D49:$H49&gt;0))&gt;0,5,0)))))</f>
        <v/>
      </c>
      <c r="J49" s="305">
        <f>$D$21+SUMPRODUCT(($D49:$H49=0)*$D$27:$H$27)</f>
        <v/>
      </c>
      <c r="K49" s="305">
        <f>IF(D49&lt;=0,0,MIN(ROUND(D49*(1+D$26/12),2),D$27+IF(D$28=$I49,$J49,0)))</f>
        <v/>
      </c>
      <c r="L49" s="305">
        <f>IF(E49&lt;=0,0,MIN(ROUND(E49*(1+E$26/12),2),E$27+IF(E$28=$I49,$J49,0)))</f>
        <v/>
      </c>
      <c r="M49" s="305">
        <f>IF(F49&lt;=0,0,MIN(ROUND(F49*(1+F$26/12),2),F$27+IF(F$28=$I49,$J49,0)))</f>
        <v/>
      </c>
      <c r="N49" s="305">
        <f>IF(G49&lt;=0,0,MIN(ROUND(G49*(1+G$26/12),2),G$27+IF(G$28=$I49,$J49,0)))</f>
        <v/>
      </c>
      <c r="O49" s="305">
        <f>IF(H49&lt;=0,0,MIN(ROUND(H49*(1+H$26/12),2),H$27+IF(H$28=$I49,$J49,0)))</f>
        <v/>
      </c>
      <c r="P49" s="305">
        <f>SUMPRODUCT($D49:$H49,$D$26:$H$26)/12</f>
        <v/>
      </c>
      <c r="Q49" s="305">
        <f>SUM($K49:$O49)</f>
        <v/>
      </c>
      <c r="R49" s="306">
        <f>SUM($D49:$H49)</f>
        <v/>
      </c>
      <c r="S49" s="1" t="n"/>
      <c r="T49" s="1" t="n"/>
      <c r="U49" s="1" t="n"/>
      <c r="V49" s="1" t="n"/>
      <c r="W49" s="1" t="n"/>
      <c r="X49" s="1" t="n"/>
      <c r="Y49" s="1" t="n"/>
      <c r="Z49" s="1" t="n"/>
    </row>
    <row r="50" ht="15.75" customHeight="1" s="311">
      <c r="A50" s="1" t="n"/>
      <c r="B50" s="303" t="n">
        <v>21</v>
      </c>
      <c r="C50" s="304">
        <f>EDATE(TODAY(),20)</f>
        <v/>
      </c>
      <c r="D50" s="305">
        <f>MAX(0,ROUND(D49*(1+D$26/12)-K49,2))</f>
        <v/>
      </c>
      <c r="E50" s="305">
        <f>MAX(0,ROUND(E49*(1+E$26/12)-L49,2))</f>
        <v/>
      </c>
      <c r="F50" s="305">
        <f>MAX(0,ROUND(F49*(1+F$26/12)-M49,2))</f>
        <v/>
      </c>
      <c r="G50" s="305">
        <f>MAX(0,ROUND(G49*(1+G$26/12)-N49,2))</f>
        <v/>
      </c>
      <c r="H50" s="305">
        <f>MAX(0,ROUND(H49*(1+H$26/12)-O49,2))</f>
        <v/>
      </c>
      <c r="I50" s="303">
        <f>IF(SUMPRODUCT(($D$28:$H$28=1)*($D50:$H50&gt;0))&gt;0,1,IF(SUMPRODUCT(($D$28:$H$28=2)*($D50:$H50&gt;0))&gt;0,2,IF(SUMPRODUCT(($D$28:$H$28=3)*($D50:$H50&gt;0))&gt;0,3,IF(SUMPRODUCT(($D$28:$H$28=4)*($D50:$H50&gt;0))&gt;0,4,IF(SUMPRODUCT(($D$28:$H$28=5)*($D50:$H50&gt;0))&gt;0,5,0)))))</f>
        <v/>
      </c>
      <c r="J50" s="305">
        <f>$D$21+SUMPRODUCT(($D50:$H50=0)*$D$27:$H$27)</f>
        <v/>
      </c>
      <c r="K50" s="305">
        <f>IF(D50&lt;=0,0,MIN(ROUND(D50*(1+D$26/12),2),D$27+IF(D$28=$I50,$J50,0)))</f>
        <v/>
      </c>
      <c r="L50" s="305">
        <f>IF(E50&lt;=0,0,MIN(ROUND(E50*(1+E$26/12),2),E$27+IF(E$28=$I50,$J50,0)))</f>
        <v/>
      </c>
      <c r="M50" s="305">
        <f>IF(F50&lt;=0,0,MIN(ROUND(F50*(1+F$26/12),2),F$27+IF(F$28=$I50,$J50,0)))</f>
        <v/>
      </c>
      <c r="N50" s="305">
        <f>IF(G50&lt;=0,0,MIN(ROUND(G50*(1+G$26/12),2),G$27+IF(G$28=$I50,$J50,0)))</f>
        <v/>
      </c>
      <c r="O50" s="305">
        <f>IF(H50&lt;=0,0,MIN(ROUND(H50*(1+H$26/12),2),H$27+IF(H$28=$I50,$J50,0)))</f>
        <v/>
      </c>
      <c r="P50" s="305">
        <f>SUMPRODUCT($D50:$H50,$D$26:$H$26)/12</f>
        <v/>
      </c>
      <c r="Q50" s="305">
        <f>SUM($K50:$O50)</f>
        <v/>
      </c>
      <c r="R50" s="306">
        <f>SUM($D50:$H50)</f>
        <v/>
      </c>
      <c r="S50" s="1" t="n"/>
      <c r="T50" s="1" t="n"/>
      <c r="U50" s="1" t="n"/>
      <c r="V50" s="1" t="n"/>
      <c r="W50" s="1" t="n"/>
      <c r="X50" s="1" t="n"/>
      <c r="Y50" s="1" t="n"/>
      <c r="Z50" s="1" t="n"/>
    </row>
    <row r="51" ht="15.75" customHeight="1" s="311">
      <c r="A51" s="1" t="n"/>
      <c r="B51" s="303" t="n">
        <v>22</v>
      </c>
      <c r="C51" s="304">
        <f>EDATE(TODAY(),21)</f>
        <v/>
      </c>
      <c r="D51" s="305">
        <f>MAX(0,ROUND(D50*(1+D$26/12)-K50,2))</f>
        <v/>
      </c>
      <c r="E51" s="305">
        <f>MAX(0,ROUND(E50*(1+E$26/12)-L50,2))</f>
        <v/>
      </c>
      <c r="F51" s="305">
        <f>MAX(0,ROUND(F50*(1+F$26/12)-M50,2))</f>
        <v/>
      </c>
      <c r="G51" s="305">
        <f>MAX(0,ROUND(G50*(1+G$26/12)-N50,2))</f>
        <v/>
      </c>
      <c r="H51" s="305">
        <f>MAX(0,ROUND(H50*(1+H$26/12)-O50,2))</f>
        <v/>
      </c>
      <c r="I51" s="303">
        <f>IF(SUMPRODUCT(($D$28:$H$28=1)*($D51:$H51&gt;0))&gt;0,1,IF(SUMPRODUCT(($D$28:$H$28=2)*($D51:$H51&gt;0))&gt;0,2,IF(SUMPRODUCT(($D$28:$H$28=3)*($D51:$H51&gt;0))&gt;0,3,IF(SUMPRODUCT(($D$28:$H$28=4)*($D51:$H51&gt;0))&gt;0,4,IF(SUMPRODUCT(($D$28:$H$28=5)*($D51:$H51&gt;0))&gt;0,5,0)))))</f>
        <v/>
      </c>
      <c r="J51" s="305">
        <f>$D$21+SUMPRODUCT(($D51:$H51=0)*$D$27:$H$27)</f>
        <v/>
      </c>
      <c r="K51" s="305">
        <f>IF(D51&lt;=0,0,MIN(ROUND(D51*(1+D$26/12),2),D$27+IF(D$28=$I51,$J51,0)))</f>
        <v/>
      </c>
      <c r="L51" s="305">
        <f>IF(E51&lt;=0,0,MIN(ROUND(E51*(1+E$26/12),2),E$27+IF(E$28=$I51,$J51,0)))</f>
        <v/>
      </c>
      <c r="M51" s="305">
        <f>IF(F51&lt;=0,0,MIN(ROUND(F51*(1+F$26/12),2),F$27+IF(F$28=$I51,$J51,0)))</f>
        <v/>
      </c>
      <c r="N51" s="305">
        <f>IF(G51&lt;=0,0,MIN(ROUND(G51*(1+G$26/12),2),G$27+IF(G$28=$I51,$J51,0)))</f>
        <v/>
      </c>
      <c r="O51" s="305">
        <f>IF(H51&lt;=0,0,MIN(ROUND(H51*(1+H$26/12),2),H$27+IF(H$28=$I51,$J51,0)))</f>
        <v/>
      </c>
      <c r="P51" s="305">
        <f>SUMPRODUCT($D51:$H51,$D$26:$H$26)/12</f>
        <v/>
      </c>
      <c r="Q51" s="305">
        <f>SUM($K51:$O51)</f>
        <v/>
      </c>
      <c r="R51" s="306">
        <f>SUM($D51:$H51)</f>
        <v/>
      </c>
      <c r="S51" s="1" t="n"/>
      <c r="T51" s="1" t="n"/>
      <c r="U51" s="1" t="n"/>
      <c r="V51" s="1" t="n"/>
      <c r="W51" s="1" t="n"/>
      <c r="X51" s="1" t="n"/>
      <c r="Y51" s="1" t="n"/>
      <c r="Z51" s="1" t="n"/>
    </row>
    <row r="52" ht="15.75" customHeight="1" s="311">
      <c r="A52" s="1" t="n"/>
      <c r="B52" s="303" t="n">
        <v>23</v>
      </c>
      <c r="C52" s="304">
        <f>EDATE(TODAY(),22)</f>
        <v/>
      </c>
      <c r="D52" s="305">
        <f>MAX(0,ROUND(D51*(1+D$26/12)-K51,2))</f>
        <v/>
      </c>
      <c r="E52" s="305">
        <f>MAX(0,ROUND(E51*(1+E$26/12)-L51,2))</f>
        <v/>
      </c>
      <c r="F52" s="305">
        <f>MAX(0,ROUND(F51*(1+F$26/12)-M51,2))</f>
        <v/>
      </c>
      <c r="G52" s="305">
        <f>MAX(0,ROUND(G51*(1+G$26/12)-N51,2))</f>
        <v/>
      </c>
      <c r="H52" s="305">
        <f>MAX(0,ROUND(H51*(1+H$26/12)-O51,2))</f>
        <v/>
      </c>
      <c r="I52" s="303">
        <f>IF(SUMPRODUCT(($D$28:$H$28=1)*($D52:$H52&gt;0))&gt;0,1,IF(SUMPRODUCT(($D$28:$H$28=2)*($D52:$H52&gt;0))&gt;0,2,IF(SUMPRODUCT(($D$28:$H$28=3)*($D52:$H52&gt;0))&gt;0,3,IF(SUMPRODUCT(($D$28:$H$28=4)*($D52:$H52&gt;0))&gt;0,4,IF(SUMPRODUCT(($D$28:$H$28=5)*($D52:$H52&gt;0))&gt;0,5,0)))))</f>
        <v/>
      </c>
      <c r="J52" s="305">
        <f>$D$21+SUMPRODUCT(($D52:$H52=0)*$D$27:$H$27)</f>
        <v/>
      </c>
      <c r="K52" s="305">
        <f>IF(D52&lt;=0,0,MIN(ROUND(D52*(1+D$26/12),2),D$27+IF(D$28=$I52,$J52,0)))</f>
        <v/>
      </c>
      <c r="L52" s="305">
        <f>IF(E52&lt;=0,0,MIN(ROUND(E52*(1+E$26/12),2),E$27+IF(E$28=$I52,$J52,0)))</f>
        <v/>
      </c>
      <c r="M52" s="305">
        <f>IF(F52&lt;=0,0,MIN(ROUND(F52*(1+F$26/12),2),F$27+IF(F$28=$I52,$J52,0)))</f>
        <v/>
      </c>
      <c r="N52" s="305">
        <f>IF(G52&lt;=0,0,MIN(ROUND(G52*(1+G$26/12),2),G$27+IF(G$28=$I52,$J52,0)))</f>
        <v/>
      </c>
      <c r="O52" s="305">
        <f>IF(H52&lt;=0,0,MIN(ROUND(H52*(1+H$26/12),2),H$27+IF(H$28=$I52,$J52,0)))</f>
        <v/>
      </c>
      <c r="P52" s="305">
        <f>SUMPRODUCT($D52:$H52,$D$26:$H$26)/12</f>
        <v/>
      </c>
      <c r="Q52" s="305">
        <f>SUM($K52:$O52)</f>
        <v/>
      </c>
      <c r="R52" s="306">
        <f>SUM($D52:$H52)</f>
        <v/>
      </c>
      <c r="S52" s="1" t="n"/>
      <c r="T52" s="1" t="n"/>
      <c r="U52" s="1" t="n"/>
      <c r="V52" s="1" t="n"/>
      <c r="W52" s="1" t="n"/>
      <c r="X52" s="1" t="n"/>
      <c r="Y52" s="1" t="n"/>
      <c r="Z52" s="1" t="n"/>
    </row>
    <row r="53" ht="15.75" customHeight="1" s="311">
      <c r="A53" s="1" t="n"/>
      <c r="B53" s="303" t="n">
        <v>24</v>
      </c>
      <c r="C53" s="304">
        <f>EDATE(TODAY(),23)</f>
        <v/>
      </c>
      <c r="D53" s="305">
        <f>MAX(0,ROUND(D52*(1+D$26/12)-K52,2))</f>
        <v/>
      </c>
      <c r="E53" s="305">
        <f>MAX(0,ROUND(E52*(1+E$26/12)-L52,2))</f>
        <v/>
      </c>
      <c r="F53" s="305">
        <f>MAX(0,ROUND(F52*(1+F$26/12)-M52,2))</f>
        <v/>
      </c>
      <c r="G53" s="305">
        <f>MAX(0,ROUND(G52*(1+G$26/12)-N52,2))</f>
        <v/>
      </c>
      <c r="H53" s="305">
        <f>MAX(0,ROUND(H52*(1+H$26/12)-O52,2))</f>
        <v/>
      </c>
      <c r="I53" s="303">
        <f>IF(SUMPRODUCT(($D$28:$H$28=1)*($D53:$H53&gt;0))&gt;0,1,IF(SUMPRODUCT(($D$28:$H$28=2)*($D53:$H53&gt;0))&gt;0,2,IF(SUMPRODUCT(($D$28:$H$28=3)*($D53:$H53&gt;0))&gt;0,3,IF(SUMPRODUCT(($D$28:$H$28=4)*($D53:$H53&gt;0))&gt;0,4,IF(SUMPRODUCT(($D$28:$H$28=5)*($D53:$H53&gt;0))&gt;0,5,0)))))</f>
        <v/>
      </c>
      <c r="J53" s="305">
        <f>$D$21+SUMPRODUCT(($D53:$H53=0)*$D$27:$H$27)</f>
        <v/>
      </c>
      <c r="K53" s="305">
        <f>IF(D53&lt;=0,0,MIN(ROUND(D53*(1+D$26/12),2),D$27+IF(D$28=$I53,$J53,0)))</f>
        <v/>
      </c>
      <c r="L53" s="305">
        <f>IF(E53&lt;=0,0,MIN(ROUND(E53*(1+E$26/12),2),E$27+IF(E$28=$I53,$J53,0)))</f>
        <v/>
      </c>
      <c r="M53" s="305">
        <f>IF(F53&lt;=0,0,MIN(ROUND(F53*(1+F$26/12),2),F$27+IF(F$28=$I53,$J53,0)))</f>
        <v/>
      </c>
      <c r="N53" s="305">
        <f>IF(G53&lt;=0,0,MIN(ROUND(G53*(1+G$26/12),2),G$27+IF(G$28=$I53,$J53,0)))</f>
        <v/>
      </c>
      <c r="O53" s="305">
        <f>IF(H53&lt;=0,0,MIN(ROUND(H53*(1+H$26/12),2),H$27+IF(H$28=$I53,$J53,0)))</f>
        <v/>
      </c>
      <c r="P53" s="305">
        <f>SUMPRODUCT($D53:$H53,$D$26:$H$26)/12</f>
        <v/>
      </c>
      <c r="Q53" s="305">
        <f>SUM($K53:$O53)</f>
        <v/>
      </c>
      <c r="R53" s="306">
        <f>SUM($D53:$H53)</f>
        <v/>
      </c>
      <c r="S53" s="1" t="n"/>
      <c r="T53" s="1" t="n"/>
      <c r="U53" s="1" t="n"/>
      <c r="V53" s="1" t="n"/>
      <c r="W53" s="1" t="n"/>
      <c r="X53" s="1" t="n"/>
      <c r="Y53" s="1" t="n"/>
      <c r="Z53" s="1" t="n"/>
    </row>
    <row r="54" ht="15.75" customHeight="1" s="311">
      <c r="A54" s="1" t="n"/>
      <c r="B54" s="303" t="n">
        <v>25</v>
      </c>
      <c r="C54" s="304">
        <f>EDATE(TODAY(),24)</f>
        <v/>
      </c>
      <c r="D54" s="305">
        <f>MAX(0,ROUND(D53*(1+D$26/12)-K53,2))</f>
        <v/>
      </c>
      <c r="E54" s="305">
        <f>MAX(0,ROUND(E53*(1+E$26/12)-L53,2))</f>
        <v/>
      </c>
      <c r="F54" s="305">
        <f>MAX(0,ROUND(F53*(1+F$26/12)-M53,2))</f>
        <v/>
      </c>
      <c r="G54" s="305">
        <f>MAX(0,ROUND(G53*(1+G$26/12)-N53,2))</f>
        <v/>
      </c>
      <c r="H54" s="305">
        <f>MAX(0,ROUND(H53*(1+H$26/12)-O53,2))</f>
        <v/>
      </c>
      <c r="I54" s="303">
        <f>IF(SUMPRODUCT(($D$28:$H$28=1)*($D54:$H54&gt;0))&gt;0,1,IF(SUMPRODUCT(($D$28:$H$28=2)*($D54:$H54&gt;0))&gt;0,2,IF(SUMPRODUCT(($D$28:$H$28=3)*($D54:$H54&gt;0))&gt;0,3,IF(SUMPRODUCT(($D$28:$H$28=4)*($D54:$H54&gt;0))&gt;0,4,IF(SUMPRODUCT(($D$28:$H$28=5)*($D54:$H54&gt;0))&gt;0,5,0)))))</f>
        <v/>
      </c>
      <c r="J54" s="305">
        <f>$D$21+SUMPRODUCT(($D54:$H54=0)*$D$27:$H$27)</f>
        <v/>
      </c>
      <c r="K54" s="305">
        <f>IF(D54&lt;=0,0,MIN(ROUND(D54*(1+D$26/12),2),D$27+IF(D$28=$I54,$J54,0)))</f>
        <v/>
      </c>
      <c r="L54" s="305">
        <f>IF(E54&lt;=0,0,MIN(ROUND(E54*(1+E$26/12),2),E$27+IF(E$28=$I54,$J54,0)))</f>
        <v/>
      </c>
      <c r="M54" s="305">
        <f>IF(F54&lt;=0,0,MIN(ROUND(F54*(1+F$26/12),2),F$27+IF(F$28=$I54,$J54,0)))</f>
        <v/>
      </c>
      <c r="N54" s="305">
        <f>IF(G54&lt;=0,0,MIN(ROUND(G54*(1+G$26/12),2),G$27+IF(G$28=$I54,$J54,0)))</f>
        <v/>
      </c>
      <c r="O54" s="305">
        <f>IF(H54&lt;=0,0,MIN(ROUND(H54*(1+H$26/12),2),H$27+IF(H$28=$I54,$J54,0)))</f>
        <v/>
      </c>
      <c r="P54" s="305">
        <f>SUMPRODUCT($D54:$H54,$D$26:$H$26)/12</f>
        <v/>
      </c>
      <c r="Q54" s="305">
        <f>SUM($K54:$O54)</f>
        <v/>
      </c>
      <c r="R54" s="306">
        <f>SUM($D54:$H54)</f>
        <v/>
      </c>
      <c r="S54" s="1" t="n"/>
      <c r="T54" s="1" t="n"/>
      <c r="U54" s="1" t="n"/>
      <c r="V54" s="1" t="n"/>
      <c r="W54" s="1" t="n"/>
      <c r="X54" s="1" t="n"/>
      <c r="Y54" s="1" t="n"/>
      <c r="Z54" s="1" t="n"/>
    </row>
    <row r="55" ht="15.75" customHeight="1" s="311">
      <c r="A55" s="1" t="n"/>
      <c r="B55" s="303" t="n">
        <v>26</v>
      </c>
      <c r="C55" s="304">
        <f>EDATE(TODAY(),25)</f>
        <v/>
      </c>
      <c r="D55" s="305">
        <f>MAX(0,ROUND(D54*(1+D$26/12)-K54,2))</f>
        <v/>
      </c>
      <c r="E55" s="305">
        <f>MAX(0,ROUND(E54*(1+E$26/12)-L54,2))</f>
        <v/>
      </c>
      <c r="F55" s="305">
        <f>MAX(0,ROUND(F54*(1+F$26/12)-M54,2))</f>
        <v/>
      </c>
      <c r="G55" s="305">
        <f>MAX(0,ROUND(G54*(1+G$26/12)-N54,2))</f>
        <v/>
      </c>
      <c r="H55" s="305">
        <f>MAX(0,ROUND(H54*(1+H$26/12)-O54,2))</f>
        <v/>
      </c>
      <c r="I55" s="303">
        <f>IF(SUMPRODUCT(($D$28:$H$28=1)*($D55:$H55&gt;0))&gt;0,1,IF(SUMPRODUCT(($D$28:$H$28=2)*($D55:$H55&gt;0))&gt;0,2,IF(SUMPRODUCT(($D$28:$H$28=3)*($D55:$H55&gt;0))&gt;0,3,IF(SUMPRODUCT(($D$28:$H$28=4)*($D55:$H55&gt;0))&gt;0,4,IF(SUMPRODUCT(($D$28:$H$28=5)*($D55:$H55&gt;0))&gt;0,5,0)))))</f>
        <v/>
      </c>
      <c r="J55" s="305">
        <f>$D$21+SUMPRODUCT(($D55:$H55=0)*$D$27:$H$27)</f>
        <v/>
      </c>
      <c r="K55" s="305">
        <f>IF(D55&lt;=0,0,MIN(ROUND(D55*(1+D$26/12),2),D$27+IF(D$28=$I55,$J55,0)))</f>
        <v/>
      </c>
      <c r="L55" s="305">
        <f>IF(E55&lt;=0,0,MIN(ROUND(E55*(1+E$26/12),2),E$27+IF(E$28=$I55,$J55,0)))</f>
        <v/>
      </c>
      <c r="M55" s="305">
        <f>IF(F55&lt;=0,0,MIN(ROUND(F55*(1+F$26/12),2),F$27+IF(F$28=$I55,$J55,0)))</f>
        <v/>
      </c>
      <c r="N55" s="305">
        <f>IF(G55&lt;=0,0,MIN(ROUND(G55*(1+G$26/12),2),G$27+IF(G$28=$I55,$J55,0)))</f>
        <v/>
      </c>
      <c r="O55" s="305">
        <f>IF(H55&lt;=0,0,MIN(ROUND(H55*(1+H$26/12),2),H$27+IF(H$28=$I55,$J55,0)))</f>
        <v/>
      </c>
      <c r="P55" s="305">
        <f>SUMPRODUCT($D55:$H55,$D$26:$H$26)/12</f>
        <v/>
      </c>
      <c r="Q55" s="305">
        <f>SUM($K55:$O55)</f>
        <v/>
      </c>
      <c r="R55" s="306">
        <f>SUM($D55:$H55)</f>
        <v/>
      </c>
      <c r="S55" s="1" t="n"/>
      <c r="T55" s="1" t="n"/>
      <c r="U55" s="1" t="n"/>
      <c r="V55" s="1" t="n"/>
      <c r="W55" s="1" t="n"/>
      <c r="X55" s="1" t="n"/>
      <c r="Y55" s="1" t="n"/>
      <c r="Z55" s="1" t="n"/>
    </row>
    <row r="56" ht="15.75" customHeight="1" s="311">
      <c r="A56" s="1" t="n"/>
      <c r="B56" s="303" t="n">
        <v>27</v>
      </c>
      <c r="C56" s="304">
        <f>EDATE(TODAY(),26)</f>
        <v/>
      </c>
      <c r="D56" s="305">
        <f>MAX(0,ROUND(D55*(1+D$26/12)-K55,2))</f>
        <v/>
      </c>
      <c r="E56" s="305">
        <f>MAX(0,ROUND(E55*(1+E$26/12)-L55,2))</f>
        <v/>
      </c>
      <c r="F56" s="305">
        <f>MAX(0,ROUND(F55*(1+F$26/12)-M55,2))</f>
        <v/>
      </c>
      <c r="G56" s="305">
        <f>MAX(0,ROUND(G55*(1+G$26/12)-N55,2))</f>
        <v/>
      </c>
      <c r="H56" s="305">
        <f>MAX(0,ROUND(H55*(1+H$26/12)-O55,2))</f>
        <v/>
      </c>
      <c r="I56" s="303">
        <f>IF(SUMPRODUCT(($D$28:$H$28=1)*($D56:$H56&gt;0))&gt;0,1,IF(SUMPRODUCT(($D$28:$H$28=2)*($D56:$H56&gt;0))&gt;0,2,IF(SUMPRODUCT(($D$28:$H$28=3)*($D56:$H56&gt;0))&gt;0,3,IF(SUMPRODUCT(($D$28:$H$28=4)*($D56:$H56&gt;0))&gt;0,4,IF(SUMPRODUCT(($D$28:$H$28=5)*($D56:$H56&gt;0))&gt;0,5,0)))))</f>
        <v/>
      </c>
      <c r="J56" s="305">
        <f>$D$21+SUMPRODUCT(($D56:$H56=0)*$D$27:$H$27)</f>
        <v/>
      </c>
      <c r="K56" s="305">
        <f>IF(D56&lt;=0,0,MIN(ROUND(D56*(1+D$26/12),2),D$27+IF(D$28=$I56,$J56,0)))</f>
        <v/>
      </c>
      <c r="L56" s="305">
        <f>IF(E56&lt;=0,0,MIN(ROUND(E56*(1+E$26/12),2),E$27+IF(E$28=$I56,$J56,0)))</f>
        <v/>
      </c>
      <c r="M56" s="305">
        <f>IF(F56&lt;=0,0,MIN(ROUND(F56*(1+F$26/12),2),F$27+IF(F$28=$I56,$J56,0)))</f>
        <v/>
      </c>
      <c r="N56" s="305">
        <f>IF(G56&lt;=0,0,MIN(ROUND(G56*(1+G$26/12),2),G$27+IF(G$28=$I56,$J56,0)))</f>
        <v/>
      </c>
      <c r="O56" s="305">
        <f>IF(H56&lt;=0,0,MIN(ROUND(H56*(1+H$26/12),2),H$27+IF(H$28=$I56,$J56,0)))</f>
        <v/>
      </c>
      <c r="P56" s="305">
        <f>SUMPRODUCT($D56:$H56,$D$26:$H$26)/12</f>
        <v/>
      </c>
      <c r="Q56" s="305">
        <f>SUM($K56:$O56)</f>
        <v/>
      </c>
      <c r="R56" s="306">
        <f>SUM($D56:$H56)</f>
        <v/>
      </c>
      <c r="S56" s="1" t="n"/>
      <c r="T56" s="1" t="n"/>
      <c r="U56" s="1" t="n"/>
      <c r="V56" s="1" t="n"/>
      <c r="W56" s="1" t="n"/>
      <c r="X56" s="1" t="n"/>
      <c r="Y56" s="1" t="n"/>
      <c r="Z56" s="1" t="n"/>
    </row>
    <row r="57" ht="15.75" customHeight="1" s="311">
      <c r="A57" s="1" t="n"/>
      <c r="B57" s="303" t="n">
        <v>28</v>
      </c>
      <c r="C57" s="304">
        <f>EDATE(TODAY(),27)</f>
        <v/>
      </c>
      <c r="D57" s="305">
        <f>MAX(0,ROUND(D56*(1+D$26/12)-K56,2))</f>
        <v/>
      </c>
      <c r="E57" s="305">
        <f>MAX(0,ROUND(E56*(1+E$26/12)-L56,2))</f>
        <v/>
      </c>
      <c r="F57" s="305">
        <f>MAX(0,ROUND(F56*(1+F$26/12)-M56,2))</f>
        <v/>
      </c>
      <c r="G57" s="305">
        <f>MAX(0,ROUND(G56*(1+G$26/12)-N56,2))</f>
        <v/>
      </c>
      <c r="H57" s="305">
        <f>MAX(0,ROUND(H56*(1+H$26/12)-O56,2))</f>
        <v/>
      </c>
      <c r="I57" s="303">
        <f>IF(SUMPRODUCT(($D$28:$H$28=1)*($D57:$H57&gt;0))&gt;0,1,IF(SUMPRODUCT(($D$28:$H$28=2)*($D57:$H57&gt;0))&gt;0,2,IF(SUMPRODUCT(($D$28:$H$28=3)*($D57:$H57&gt;0))&gt;0,3,IF(SUMPRODUCT(($D$28:$H$28=4)*($D57:$H57&gt;0))&gt;0,4,IF(SUMPRODUCT(($D$28:$H$28=5)*($D57:$H57&gt;0))&gt;0,5,0)))))</f>
        <v/>
      </c>
      <c r="J57" s="305">
        <f>$D$21+SUMPRODUCT(($D57:$H57=0)*$D$27:$H$27)</f>
        <v/>
      </c>
      <c r="K57" s="305">
        <f>IF(D57&lt;=0,0,MIN(ROUND(D57*(1+D$26/12),2),D$27+IF(D$28=$I57,$J57,0)))</f>
        <v/>
      </c>
      <c r="L57" s="305">
        <f>IF(E57&lt;=0,0,MIN(ROUND(E57*(1+E$26/12),2),E$27+IF(E$28=$I57,$J57,0)))</f>
        <v/>
      </c>
      <c r="M57" s="305">
        <f>IF(F57&lt;=0,0,MIN(ROUND(F57*(1+F$26/12),2),F$27+IF(F$28=$I57,$J57,0)))</f>
        <v/>
      </c>
      <c r="N57" s="305">
        <f>IF(G57&lt;=0,0,MIN(ROUND(G57*(1+G$26/12),2),G$27+IF(G$28=$I57,$J57,0)))</f>
        <v/>
      </c>
      <c r="O57" s="305">
        <f>IF(H57&lt;=0,0,MIN(ROUND(H57*(1+H$26/12),2),H$27+IF(H$28=$I57,$J57,0)))</f>
        <v/>
      </c>
      <c r="P57" s="305">
        <f>SUMPRODUCT($D57:$H57,$D$26:$H$26)/12</f>
        <v/>
      </c>
      <c r="Q57" s="305">
        <f>SUM($K57:$O57)</f>
        <v/>
      </c>
      <c r="R57" s="306">
        <f>SUM($D57:$H57)</f>
        <v/>
      </c>
      <c r="S57" s="1" t="n"/>
      <c r="T57" s="1" t="n"/>
      <c r="U57" s="1" t="n"/>
      <c r="V57" s="1" t="n"/>
      <c r="W57" s="1" t="n"/>
      <c r="X57" s="1" t="n"/>
      <c r="Y57" s="1" t="n"/>
      <c r="Z57" s="1" t="n"/>
    </row>
    <row r="58" ht="15.75" customHeight="1" s="311">
      <c r="A58" s="1" t="n"/>
      <c r="B58" s="303" t="n">
        <v>29</v>
      </c>
      <c r="C58" s="304">
        <f>EDATE(TODAY(),28)</f>
        <v/>
      </c>
      <c r="D58" s="305">
        <f>MAX(0,ROUND(D57*(1+D$26/12)-K57,2))</f>
        <v/>
      </c>
      <c r="E58" s="305">
        <f>MAX(0,ROUND(E57*(1+E$26/12)-L57,2))</f>
        <v/>
      </c>
      <c r="F58" s="305">
        <f>MAX(0,ROUND(F57*(1+F$26/12)-M57,2))</f>
        <v/>
      </c>
      <c r="G58" s="305">
        <f>MAX(0,ROUND(G57*(1+G$26/12)-N57,2))</f>
        <v/>
      </c>
      <c r="H58" s="305">
        <f>MAX(0,ROUND(H57*(1+H$26/12)-O57,2))</f>
        <v/>
      </c>
      <c r="I58" s="303">
        <f>IF(SUMPRODUCT(($D$28:$H$28=1)*($D58:$H58&gt;0))&gt;0,1,IF(SUMPRODUCT(($D$28:$H$28=2)*($D58:$H58&gt;0))&gt;0,2,IF(SUMPRODUCT(($D$28:$H$28=3)*($D58:$H58&gt;0))&gt;0,3,IF(SUMPRODUCT(($D$28:$H$28=4)*($D58:$H58&gt;0))&gt;0,4,IF(SUMPRODUCT(($D$28:$H$28=5)*($D58:$H58&gt;0))&gt;0,5,0)))))</f>
        <v/>
      </c>
      <c r="J58" s="305">
        <f>$D$21+SUMPRODUCT(($D58:$H58=0)*$D$27:$H$27)</f>
        <v/>
      </c>
      <c r="K58" s="305">
        <f>IF(D58&lt;=0,0,MIN(ROUND(D58*(1+D$26/12),2),D$27+IF(D$28=$I58,$J58,0)))</f>
        <v/>
      </c>
      <c r="L58" s="305">
        <f>IF(E58&lt;=0,0,MIN(ROUND(E58*(1+E$26/12),2),E$27+IF(E$28=$I58,$J58,0)))</f>
        <v/>
      </c>
      <c r="M58" s="305">
        <f>IF(F58&lt;=0,0,MIN(ROUND(F58*(1+F$26/12),2),F$27+IF(F$28=$I58,$J58,0)))</f>
        <v/>
      </c>
      <c r="N58" s="305">
        <f>IF(G58&lt;=0,0,MIN(ROUND(G58*(1+G$26/12),2),G$27+IF(G$28=$I58,$J58,0)))</f>
        <v/>
      </c>
      <c r="O58" s="305">
        <f>IF(H58&lt;=0,0,MIN(ROUND(H58*(1+H$26/12),2),H$27+IF(H$28=$I58,$J58,0)))</f>
        <v/>
      </c>
      <c r="P58" s="305">
        <f>SUMPRODUCT($D58:$H58,$D$26:$H$26)/12</f>
        <v/>
      </c>
      <c r="Q58" s="305">
        <f>SUM($K58:$O58)</f>
        <v/>
      </c>
      <c r="R58" s="306">
        <f>SUM($D58:$H58)</f>
        <v/>
      </c>
      <c r="S58" s="1" t="n"/>
      <c r="T58" s="1" t="n"/>
      <c r="U58" s="1" t="n"/>
      <c r="V58" s="1" t="n"/>
      <c r="W58" s="1" t="n"/>
      <c r="X58" s="1" t="n"/>
      <c r="Y58" s="1" t="n"/>
      <c r="Z58" s="1" t="n"/>
    </row>
    <row r="59" ht="15.75" customHeight="1" s="311">
      <c r="A59" s="1" t="n"/>
      <c r="B59" s="303" t="n">
        <v>30</v>
      </c>
      <c r="C59" s="304">
        <f>EDATE(TODAY(),29)</f>
        <v/>
      </c>
      <c r="D59" s="305">
        <f>MAX(0,ROUND(D58*(1+D$26/12)-K58,2))</f>
        <v/>
      </c>
      <c r="E59" s="305">
        <f>MAX(0,ROUND(E58*(1+E$26/12)-L58,2))</f>
        <v/>
      </c>
      <c r="F59" s="305">
        <f>MAX(0,ROUND(F58*(1+F$26/12)-M58,2))</f>
        <v/>
      </c>
      <c r="G59" s="305">
        <f>MAX(0,ROUND(G58*(1+G$26/12)-N58,2))</f>
        <v/>
      </c>
      <c r="H59" s="305">
        <f>MAX(0,ROUND(H58*(1+H$26/12)-O58,2))</f>
        <v/>
      </c>
      <c r="I59" s="303">
        <f>IF(SUMPRODUCT(($D$28:$H$28=1)*($D59:$H59&gt;0))&gt;0,1,IF(SUMPRODUCT(($D$28:$H$28=2)*($D59:$H59&gt;0))&gt;0,2,IF(SUMPRODUCT(($D$28:$H$28=3)*($D59:$H59&gt;0))&gt;0,3,IF(SUMPRODUCT(($D$28:$H$28=4)*($D59:$H59&gt;0))&gt;0,4,IF(SUMPRODUCT(($D$28:$H$28=5)*($D59:$H59&gt;0))&gt;0,5,0)))))</f>
        <v/>
      </c>
      <c r="J59" s="305">
        <f>$D$21+SUMPRODUCT(($D59:$H59=0)*$D$27:$H$27)</f>
        <v/>
      </c>
      <c r="K59" s="305">
        <f>IF(D59&lt;=0,0,MIN(ROUND(D59*(1+D$26/12),2),D$27+IF(D$28=$I59,$J59,0)))</f>
        <v/>
      </c>
      <c r="L59" s="305">
        <f>IF(E59&lt;=0,0,MIN(ROUND(E59*(1+E$26/12),2),E$27+IF(E$28=$I59,$J59,0)))</f>
        <v/>
      </c>
      <c r="M59" s="305">
        <f>IF(F59&lt;=0,0,MIN(ROUND(F59*(1+F$26/12),2),F$27+IF(F$28=$I59,$J59,0)))</f>
        <v/>
      </c>
      <c r="N59" s="305">
        <f>IF(G59&lt;=0,0,MIN(ROUND(G59*(1+G$26/12),2),G$27+IF(G$28=$I59,$J59,0)))</f>
        <v/>
      </c>
      <c r="O59" s="305">
        <f>IF(H59&lt;=0,0,MIN(ROUND(H59*(1+H$26/12),2),H$27+IF(H$28=$I59,$J59,0)))</f>
        <v/>
      </c>
      <c r="P59" s="305">
        <f>SUMPRODUCT($D59:$H59,$D$26:$H$26)/12</f>
        <v/>
      </c>
      <c r="Q59" s="305">
        <f>SUM($K59:$O59)</f>
        <v/>
      </c>
      <c r="R59" s="306">
        <f>SUM($D59:$H59)</f>
        <v/>
      </c>
      <c r="S59" s="1" t="n"/>
      <c r="T59" s="1" t="n"/>
      <c r="U59" s="1" t="n"/>
      <c r="V59" s="1" t="n"/>
      <c r="W59" s="1" t="n"/>
      <c r="X59" s="1" t="n"/>
      <c r="Y59" s="1" t="n"/>
      <c r="Z59" s="1" t="n"/>
    </row>
    <row r="60" ht="15.75" customHeight="1" s="311">
      <c r="A60" s="1" t="n"/>
      <c r="B60" s="303" t="n">
        <v>31</v>
      </c>
      <c r="C60" s="304">
        <f>EDATE(TODAY(),30)</f>
        <v/>
      </c>
      <c r="D60" s="305">
        <f>MAX(0,ROUND(D59*(1+D$26/12)-K59,2))</f>
        <v/>
      </c>
      <c r="E60" s="305">
        <f>MAX(0,ROUND(E59*(1+E$26/12)-L59,2))</f>
        <v/>
      </c>
      <c r="F60" s="305">
        <f>MAX(0,ROUND(F59*(1+F$26/12)-M59,2))</f>
        <v/>
      </c>
      <c r="G60" s="305">
        <f>MAX(0,ROUND(G59*(1+G$26/12)-N59,2))</f>
        <v/>
      </c>
      <c r="H60" s="305">
        <f>MAX(0,ROUND(H59*(1+H$26/12)-O59,2))</f>
        <v/>
      </c>
      <c r="I60" s="303">
        <f>IF(SUMPRODUCT(($D$28:$H$28=1)*($D60:$H60&gt;0))&gt;0,1,IF(SUMPRODUCT(($D$28:$H$28=2)*($D60:$H60&gt;0))&gt;0,2,IF(SUMPRODUCT(($D$28:$H$28=3)*($D60:$H60&gt;0))&gt;0,3,IF(SUMPRODUCT(($D$28:$H$28=4)*($D60:$H60&gt;0))&gt;0,4,IF(SUMPRODUCT(($D$28:$H$28=5)*($D60:$H60&gt;0))&gt;0,5,0)))))</f>
        <v/>
      </c>
      <c r="J60" s="305">
        <f>$D$21+SUMPRODUCT(($D60:$H60=0)*$D$27:$H$27)</f>
        <v/>
      </c>
      <c r="K60" s="305">
        <f>IF(D60&lt;=0,0,MIN(ROUND(D60*(1+D$26/12),2),D$27+IF(D$28=$I60,$J60,0)))</f>
        <v/>
      </c>
      <c r="L60" s="305">
        <f>IF(E60&lt;=0,0,MIN(ROUND(E60*(1+E$26/12),2),E$27+IF(E$28=$I60,$J60,0)))</f>
        <v/>
      </c>
      <c r="M60" s="305">
        <f>IF(F60&lt;=0,0,MIN(ROUND(F60*(1+F$26/12),2),F$27+IF(F$28=$I60,$J60,0)))</f>
        <v/>
      </c>
      <c r="N60" s="305">
        <f>IF(G60&lt;=0,0,MIN(ROUND(G60*(1+G$26/12),2),G$27+IF(G$28=$I60,$J60,0)))</f>
        <v/>
      </c>
      <c r="O60" s="305">
        <f>IF(H60&lt;=0,0,MIN(ROUND(H60*(1+H$26/12),2),H$27+IF(H$28=$I60,$J60,0)))</f>
        <v/>
      </c>
      <c r="P60" s="305">
        <f>SUMPRODUCT($D60:$H60,$D$26:$H$26)/12</f>
        <v/>
      </c>
      <c r="Q60" s="305">
        <f>SUM($K60:$O60)</f>
        <v/>
      </c>
      <c r="R60" s="306">
        <f>SUM($D60:$H60)</f>
        <v/>
      </c>
      <c r="S60" s="1" t="n"/>
      <c r="T60" s="1" t="n"/>
      <c r="U60" s="1" t="n"/>
      <c r="V60" s="1" t="n"/>
      <c r="W60" s="1" t="n"/>
      <c r="X60" s="1" t="n"/>
      <c r="Y60" s="1" t="n"/>
      <c r="Z60" s="1" t="n"/>
    </row>
    <row r="61" ht="15.75" customHeight="1" s="311">
      <c r="A61" s="1" t="n"/>
      <c r="B61" s="303" t="n">
        <v>32</v>
      </c>
      <c r="C61" s="304">
        <f>EDATE(TODAY(),31)</f>
        <v/>
      </c>
      <c r="D61" s="305">
        <f>MAX(0,ROUND(D60*(1+D$26/12)-K60,2))</f>
        <v/>
      </c>
      <c r="E61" s="305">
        <f>MAX(0,ROUND(E60*(1+E$26/12)-L60,2))</f>
        <v/>
      </c>
      <c r="F61" s="305">
        <f>MAX(0,ROUND(F60*(1+F$26/12)-M60,2))</f>
        <v/>
      </c>
      <c r="G61" s="305">
        <f>MAX(0,ROUND(G60*(1+G$26/12)-N60,2))</f>
        <v/>
      </c>
      <c r="H61" s="305">
        <f>MAX(0,ROUND(H60*(1+H$26/12)-O60,2))</f>
        <v/>
      </c>
      <c r="I61" s="303">
        <f>IF(SUMPRODUCT(($D$28:$H$28=1)*($D61:$H61&gt;0))&gt;0,1,IF(SUMPRODUCT(($D$28:$H$28=2)*($D61:$H61&gt;0))&gt;0,2,IF(SUMPRODUCT(($D$28:$H$28=3)*($D61:$H61&gt;0))&gt;0,3,IF(SUMPRODUCT(($D$28:$H$28=4)*($D61:$H61&gt;0))&gt;0,4,IF(SUMPRODUCT(($D$28:$H$28=5)*($D61:$H61&gt;0))&gt;0,5,0)))))</f>
        <v/>
      </c>
      <c r="J61" s="305">
        <f>$D$21+SUMPRODUCT(($D61:$H61=0)*$D$27:$H$27)</f>
        <v/>
      </c>
      <c r="K61" s="305">
        <f>IF(D61&lt;=0,0,MIN(ROUND(D61*(1+D$26/12),2),D$27+IF(D$28=$I61,$J61,0)))</f>
        <v/>
      </c>
      <c r="L61" s="305">
        <f>IF(E61&lt;=0,0,MIN(ROUND(E61*(1+E$26/12),2),E$27+IF(E$28=$I61,$J61,0)))</f>
        <v/>
      </c>
      <c r="M61" s="305">
        <f>IF(F61&lt;=0,0,MIN(ROUND(F61*(1+F$26/12),2),F$27+IF(F$28=$I61,$J61,0)))</f>
        <v/>
      </c>
      <c r="N61" s="305">
        <f>IF(G61&lt;=0,0,MIN(ROUND(G61*(1+G$26/12),2),G$27+IF(G$28=$I61,$J61,0)))</f>
        <v/>
      </c>
      <c r="O61" s="305">
        <f>IF(H61&lt;=0,0,MIN(ROUND(H61*(1+H$26/12),2),H$27+IF(H$28=$I61,$J61,0)))</f>
        <v/>
      </c>
      <c r="P61" s="305">
        <f>SUMPRODUCT($D61:$H61,$D$26:$H$26)/12</f>
        <v/>
      </c>
      <c r="Q61" s="305">
        <f>SUM($K61:$O61)</f>
        <v/>
      </c>
      <c r="R61" s="306">
        <f>SUM($D61:$H61)</f>
        <v/>
      </c>
      <c r="S61" s="1" t="n"/>
      <c r="T61" s="1" t="n"/>
      <c r="U61" s="1" t="n"/>
      <c r="V61" s="1" t="n"/>
      <c r="W61" s="1" t="n"/>
      <c r="X61" s="1" t="n"/>
      <c r="Y61" s="1" t="n"/>
      <c r="Z61" s="1" t="n"/>
    </row>
    <row r="62" ht="15.75" customHeight="1" s="311">
      <c r="A62" s="1" t="n"/>
      <c r="B62" s="303" t="n">
        <v>33</v>
      </c>
      <c r="C62" s="304">
        <f>EDATE(TODAY(),32)</f>
        <v/>
      </c>
      <c r="D62" s="305">
        <f>MAX(0,ROUND(D61*(1+D$26/12)-K61,2))</f>
        <v/>
      </c>
      <c r="E62" s="305">
        <f>MAX(0,ROUND(E61*(1+E$26/12)-L61,2))</f>
        <v/>
      </c>
      <c r="F62" s="305">
        <f>MAX(0,ROUND(F61*(1+F$26/12)-M61,2))</f>
        <v/>
      </c>
      <c r="G62" s="305">
        <f>MAX(0,ROUND(G61*(1+G$26/12)-N61,2))</f>
        <v/>
      </c>
      <c r="H62" s="305">
        <f>MAX(0,ROUND(H61*(1+H$26/12)-O61,2))</f>
        <v/>
      </c>
      <c r="I62" s="303">
        <f>IF(SUMPRODUCT(($D$28:$H$28=1)*($D62:$H62&gt;0))&gt;0,1,IF(SUMPRODUCT(($D$28:$H$28=2)*($D62:$H62&gt;0))&gt;0,2,IF(SUMPRODUCT(($D$28:$H$28=3)*($D62:$H62&gt;0))&gt;0,3,IF(SUMPRODUCT(($D$28:$H$28=4)*($D62:$H62&gt;0))&gt;0,4,IF(SUMPRODUCT(($D$28:$H$28=5)*($D62:$H62&gt;0))&gt;0,5,0)))))</f>
        <v/>
      </c>
      <c r="J62" s="305">
        <f>$D$21+SUMPRODUCT(($D62:$H62=0)*$D$27:$H$27)</f>
        <v/>
      </c>
      <c r="K62" s="305">
        <f>IF(D62&lt;=0,0,MIN(ROUND(D62*(1+D$26/12),2),D$27+IF(D$28=$I62,$J62,0)))</f>
        <v/>
      </c>
      <c r="L62" s="305">
        <f>IF(E62&lt;=0,0,MIN(ROUND(E62*(1+E$26/12),2),E$27+IF(E$28=$I62,$J62,0)))</f>
        <v/>
      </c>
      <c r="M62" s="305">
        <f>IF(F62&lt;=0,0,MIN(ROUND(F62*(1+F$26/12),2),F$27+IF(F$28=$I62,$J62,0)))</f>
        <v/>
      </c>
      <c r="N62" s="305">
        <f>IF(G62&lt;=0,0,MIN(ROUND(G62*(1+G$26/12),2),G$27+IF(G$28=$I62,$J62,0)))</f>
        <v/>
      </c>
      <c r="O62" s="305">
        <f>IF(H62&lt;=0,0,MIN(ROUND(H62*(1+H$26/12),2),H$27+IF(H$28=$I62,$J62,0)))</f>
        <v/>
      </c>
      <c r="P62" s="305">
        <f>SUMPRODUCT($D62:$H62,$D$26:$H$26)/12</f>
        <v/>
      </c>
      <c r="Q62" s="305">
        <f>SUM($K62:$O62)</f>
        <v/>
      </c>
      <c r="R62" s="306">
        <f>SUM($D62:$H62)</f>
        <v/>
      </c>
      <c r="S62" s="1" t="n"/>
      <c r="T62" s="1" t="n"/>
      <c r="U62" s="1" t="n"/>
      <c r="V62" s="1" t="n"/>
      <c r="W62" s="1" t="n"/>
      <c r="X62" s="1" t="n"/>
      <c r="Y62" s="1" t="n"/>
      <c r="Z62" s="1" t="n"/>
    </row>
    <row r="63" ht="15.75" customHeight="1" s="311">
      <c r="A63" s="1" t="n"/>
      <c r="B63" s="303" t="n">
        <v>34</v>
      </c>
      <c r="C63" s="304">
        <f>EDATE(TODAY(),33)</f>
        <v/>
      </c>
      <c r="D63" s="305">
        <f>MAX(0,ROUND(D62*(1+D$26/12)-K62,2))</f>
        <v/>
      </c>
      <c r="E63" s="305">
        <f>MAX(0,ROUND(E62*(1+E$26/12)-L62,2))</f>
        <v/>
      </c>
      <c r="F63" s="305">
        <f>MAX(0,ROUND(F62*(1+F$26/12)-M62,2))</f>
        <v/>
      </c>
      <c r="G63" s="305">
        <f>MAX(0,ROUND(G62*(1+G$26/12)-N62,2))</f>
        <v/>
      </c>
      <c r="H63" s="305">
        <f>MAX(0,ROUND(H62*(1+H$26/12)-O62,2))</f>
        <v/>
      </c>
      <c r="I63" s="303">
        <f>IF(SUMPRODUCT(($D$28:$H$28=1)*($D63:$H63&gt;0))&gt;0,1,IF(SUMPRODUCT(($D$28:$H$28=2)*($D63:$H63&gt;0))&gt;0,2,IF(SUMPRODUCT(($D$28:$H$28=3)*($D63:$H63&gt;0))&gt;0,3,IF(SUMPRODUCT(($D$28:$H$28=4)*($D63:$H63&gt;0))&gt;0,4,IF(SUMPRODUCT(($D$28:$H$28=5)*($D63:$H63&gt;0))&gt;0,5,0)))))</f>
        <v/>
      </c>
      <c r="J63" s="305">
        <f>$D$21+SUMPRODUCT(($D63:$H63=0)*$D$27:$H$27)</f>
        <v/>
      </c>
      <c r="K63" s="305">
        <f>IF(D63&lt;=0,0,MIN(ROUND(D63*(1+D$26/12),2),D$27+IF(D$28=$I63,$J63,0)))</f>
        <v/>
      </c>
      <c r="L63" s="305">
        <f>IF(E63&lt;=0,0,MIN(ROUND(E63*(1+E$26/12),2),E$27+IF(E$28=$I63,$J63,0)))</f>
        <v/>
      </c>
      <c r="M63" s="305">
        <f>IF(F63&lt;=0,0,MIN(ROUND(F63*(1+F$26/12),2),F$27+IF(F$28=$I63,$J63,0)))</f>
        <v/>
      </c>
      <c r="N63" s="305">
        <f>IF(G63&lt;=0,0,MIN(ROUND(G63*(1+G$26/12),2),G$27+IF(G$28=$I63,$J63,0)))</f>
        <v/>
      </c>
      <c r="O63" s="305">
        <f>IF(H63&lt;=0,0,MIN(ROUND(H63*(1+H$26/12),2),H$27+IF(H$28=$I63,$J63,0)))</f>
        <v/>
      </c>
      <c r="P63" s="305">
        <f>SUMPRODUCT($D63:$H63,$D$26:$H$26)/12</f>
        <v/>
      </c>
      <c r="Q63" s="305">
        <f>SUM($K63:$O63)</f>
        <v/>
      </c>
      <c r="R63" s="306">
        <f>SUM($D63:$H63)</f>
        <v/>
      </c>
      <c r="S63" s="1" t="n"/>
      <c r="T63" s="1" t="n"/>
      <c r="U63" s="1" t="n"/>
      <c r="V63" s="1" t="n"/>
      <c r="W63" s="1" t="n"/>
      <c r="X63" s="1" t="n"/>
      <c r="Y63" s="1" t="n"/>
      <c r="Z63" s="1" t="n"/>
    </row>
    <row r="64" ht="15.75" customHeight="1" s="311">
      <c r="A64" s="1" t="n"/>
      <c r="B64" s="303" t="n">
        <v>35</v>
      </c>
      <c r="C64" s="304">
        <f>EDATE(TODAY(),34)</f>
        <v/>
      </c>
      <c r="D64" s="305">
        <f>MAX(0,ROUND(D63*(1+D$26/12)-K63,2))</f>
        <v/>
      </c>
      <c r="E64" s="305">
        <f>MAX(0,ROUND(E63*(1+E$26/12)-L63,2))</f>
        <v/>
      </c>
      <c r="F64" s="305">
        <f>MAX(0,ROUND(F63*(1+F$26/12)-M63,2))</f>
        <v/>
      </c>
      <c r="G64" s="305">
        <f>MAX(0,ROUND(G63*(1+G$26/12)-N63,2))</f>
        <v/>
      </c>
      <c r="H64" s="305">
        <f>MAX(0,ROUND(H63*(1+H$26/12)-O63,2))</f>
        <v/>
      </c>
      <c r="I64" s="303">
        <f>IF(SUMPRODUCT(($D$28:$H$28=1)*($D64:$H64&gt;0))&gt;0,1,IF(SUMPRODUCT(($D$28:$H$28=2)*($D64:$H64&gt;0))&gt;0,2,IF(SUMPRODUCT(($D$28:$H$28=3)*($D64:$H64&gt;0))&gt;0,3,IF(SUMPRODUCT(($D$28:$H$28=4)*($D64:$H64&gt;0))&gt;0,4,IF(SUMPRODUCT(($D$28:$H$28=5)*($D64:$H64&gt;0))&gt;0,5,0)))))</f>
        <v/>
      </c>
      <c r="J64" s="305">
        <f>$D$21+SUMPRODUCT(($D64:$H64=0)*$D$27:$H$27)</f>
        <v/>
      </c>
      <c r="K64" s="305">
        <f>IF(D64&lt;=0,0,MIN(ROUND(D64*(1+D$26/12),2),D$27+IF(D$28=$I64,$J64,0)))</f>
        <v/>
      </c>
      <c r="L64" s="305">
        <f>IF(E64&lt;=0,0,MIN(ROUND(E64*(1+E$26/12),2),E$27+IF(E$28=$I64,$J64,0)))</f>
        <v/>
      </c>
      <c r="M64" s="305">
        <f>IF(F64&lt;=0,0,MIN(ROUND(F64*(1+F$26/12),2),F$27+IF(F$28=$I64,$J64,0)))</f>
        <v/>
      </c>
      <c r="N64" s="305">
        <f>IF(G64&lt;=0,0,MIN(ROUND(G64*(1+G$26/12),2),G$27+IF(G$28=$I64,$J64,0)))</f>
        <v/>
      </c>
      <c r="O64" s="305">
        <f>IF(H64&lt;=0,0,MIN(ROUND(H64*(1+H$26/12),2),H$27+IF(H$28=$I64,$J64,0)))</f>
        <v/>
      </c>
      <c r="P64" s="305">
        <f>SUMPRODUCT($D64:$H64,$D$26:$H$26)/12</f>
        <v/>
      </c>
      <c r="Q64" s="305">
        <f>SUM($K64:$O64)</f>
        <v/>
      </c>
      <c r="R64" s="306">
        <f>SUM($D64:$H64)</f>
        <v/>
      </c>
      <c r="S64" s="1" t="n"/>
      <c r="T64" s="1" t="n"/>
      <c r="U64" s="1" t="n"/>
      <c r="V64" s="1" t="n"/>
      <c r="W64" s="1" t="n"/>
      <c r="X64" s="1" t="n"/>
      <c r="Y64" s="1" t="n"/>
      <c r="Z64" s="1" t="n"/>
    </row>
    <row r="65" ht="15.75" customHeight="1" s="311">
      <c r="A65" s="1" t="n"/>
      <c r="B65" s="303" t="n">
        <v>36</v>
      </c>
      <c r="C65" s="304">
        <f>EDATE(TODAY(),35)</f>
        <v/>
      </c>
      <c r="D65" s="305">
        <f>MAX(0,ROUND(D64*(1+D$26/12)-K64,2))</f>
        <v/>
      </c>
      <c r="E65" s="305">
        <f>MAX(0,ROUND(E64*(1+E$26/12)-L64,2))</f>
        <v/>
      </c>
      <c r="F65" s="305">
        <f>MAX(0,ROUND(F64*(1+F$26/12)-M64,2))</f>
        <v/>
      </c>
      <c r="G65" s="305">
        <f>MAX(0,ROUND(G64*(1+G$26/12)-N64,2))</f>
        <v/>
      </c>
      <c r="H65" s="305">
        <f>MAX(0,ROUND(H64*(1+H$26/12)-O64,2))</f>
        <v/>
      </c>
      <c r="I65" s="303">
        <f>IF(SUMPRODUCT(($D$28:$H$28=1)*($D65:$H65&gt;0))&gt;0,1,IF(SUMPRODUCT(($D$28:$H$28=2)*($D65:$H65&gt;0))&gt;0,2,IF(SUMPRODUCT(($D$28:$H$28=3)*($D65:$H65&gt;0))&gt;0,3,IF(SUMPRODUCT(($D$28:$H$28=4)*($D65:$H65&gt;0))&gt;0,4,IF(SUMPRODUCT(($D$28:$H$28=5)*($D65:$H65&gt;0))&gt;0,5,0)))))</f>
        <v/>
      </c>
      <c r="J65" s="305">
        <f>$D$21+SUMPRODUCT(($D65:$H65=0)*$D$27:$H$27)</f>
        <v/>
      </c>
      <c r="K65" s="305">
        <f>IF(D65&lt;=0,0,MIN(ROUND(D65*(1+D$26/12),2),D$27+IF(D$28=$I65,$J65,0)))</f>
        <v/>
      </c>
      <c r="L65" s="305">
        <f>IF(E65&lt;=0,0,MIN(ROUND(E65*(1+E$26/12),2),E$27+IF(E$28=$I65,$J65,0)))</f>
        <v/>
      </c>
      <c r="M65" s="305">
        <f>IF(F65&lt;=0,0,MIN(ROUND(F65*(1+F$26/12),2),F$27+IF(F$28=$I65,$J65,0)))</f>
        <v/>
      </c>
      <c r="N65" s="305">
        <f>IF(G65&lt;=0,0,MIN(ROUND(G65*(1+G$26/12),2),G$27+IF(G$28=$I65,$J65,0)))</f>
        <v/>
      </c>
      <c r="O65" s="305">
        <f>IF(H65&lt;=0,0,MIN(ROUND(H65*(1+H$26/12),2),H$27+IF(H$28=$I65,$J65,0)))</f>
        <v/>
      </c>
      <c r="P65" s="305">
        <f>SUMPRODUCT($D65:$H65,$D$26:$H$26)/12</f>
        <v/>
      </c>
      <c r="Q65" s="305">
        <f>SUM($K65:$O65)</f>
        <v/>
      </c>
      <c r="R65" s="306">
        <f>SUM($D65:$H65)</f>
        <v/>
      </c>
      <c r="S65" s="1" t="n"/>
      <c r="T65" s="1" t="n"/>
      <c r="U65" s="1" t="n"/>
      <c r="V65" s="1" t="n"/>
      <c r="W65" s="1" t="n"/>
      <c r="X65" s="1" t="n"/>
      <c r="Y65" s="1" t="n"/>
      <c r="Z65" s="1" t="n"/>
    </row>
    <row r="66" ht="15.75" customHeight="1" s="311">
      <c r="A66" s="1" t="n"/>
      <c r="B66" s="303" t="n">
        <v>37</v>
      </c>
      <c r="C66" s="304">
        <f>EDATE(TODAY(),36)</f>
        <v/>
      </c>
      <c r="D66" s="305">
        <f>MAX(0,ROUND(D65*(1+D$26/12)-K65,2))</f>
        <v/>
      </c>
      <c r="E66" s="305">
        <f>MAX(0,ROUND(E65*(1+E$26/12)-L65,2))</f>
        <v/>
      </c>
      <c r="F66" s="305">
        <f>MAX(0,ROUND(F65*(1+F$26/12)-M65,2))</f>
        <v/>
      </c>
      <c r="G66" s="305">
        <f>MAX(0,ROUND(G65*(1+G$26/12)-N65,2))</f>
        <v/>
      </c>
      <c r="H66" s="305">
        <f>MAX(0,ROUND(H65*(1+H$26/12)-O65,2))</f>
        <v/>
      </c>
      <c r="I66" s="303">
        <f>IF(SUMPRODUCT(($D$28:$H$28=1)*($D66:$H66&gt;0))&gt;0,1,IF(SUMPRODUCT(($D$28:$H$28=2)*($D66:$H66&gt;0))&gt;0,2,IF(SUMPRODUCT(($D$28:$H$28=3)*($D66:$H66&gt;0))&gt;0,3,IF(SUMPRODUCT(($D$28:$H$28=4)*($D66:$H66&gt;0))&gt;0,4,IF(SUMPRODUCT(($D$28:$H$28=5)*($D66:$H66&gt;0))&gt;0,5,0)))))</f>
        <v/>
      </c>
      <c r="J66" s="305">
        <f>$D$21+SUMPRODUCT(($D66:$H66=0)*$D$27:$H$27)</f>
        <v/>
      </c>
      <c r="K66" s="305">
        <f>IF(D66&lt;=0,0,MIN(ROUND(D66*(1+D$26/12),2),D$27+IF(D$28=$I66,$J66,0)))</f>
        <v/>
      </c>
      <c r="L66" s="305">
        <f>IF(E66&lt;=0,0,MIN(ROUND(E66*(1+E$26/12),2),E$27+IF(E$28=$I66,$J66,0)))</f>
        <v/>
      </c>
      <c r="M66" s="305">
        <f>IF(F66&lt;=0,0,MIN(ROUND(F66*(1+F$26/12),2),F$27+IF(F$28=$I66,$J66,0)))</f>
        <v/>
      </c>
      <c r="N66" s="305">
        <f>IF(G66&lt;=0,0,MIN(ROUND(G66*(1+G$26/12),2),G$27+IF(G$28=$I66,$J66,0)))</f>
        <v/>
      </c>
      <c r="O66" s="305">
        <f>IF(H66&lt;=0,0,MIN(ROUND(H66*(1+H$26/12),2),H$27+IF(H$28=$I66,$J66,0)))</f>
        <v/>
      </c>
      <c r="P66" s="305">
        <f>SUMPRODUCT($D66:$H66,$D$26:$H$26)/12</f>
        <v/>
      </c>
      <c r="Q66" s="305">
        <f>SUM($K66:$O66)</f>
        <v/>
      </c>
      <c r="R66" s="306">
        <f>SUM($D66:$H66)</f>
        <v/>
      </c>
      <c r="S66" s="1" t="n"/>
      <c r="T66" s="1" t="n"/>
      <c r="U66" s="1" t="n"/>
      <c r="V66" s="1" t="n"/>
      <c r="W66" s="1" t="n"/>
      <c r="X66" s="1" t="n"/>
      <c r="Y66" s="1" t="n"/>
      <c r="Z66" s="1" t="n"/>
    </row>
    <row r="67" ht="15.75" customHeight="1" s="311">
      <c r="A67" s="1" t="n"/>
      <c r="B67" s="303" t="n">
        <v>38</v>
      </c>
      <c r="C67" s="304">
        <f>EDATE(TODAY(),37)</f>
        <v/>
      </c>
      <c r="D67" s="305">
        <f>MAX(0,ROUND(D66*(1+D$26/12)-K66,2))</f>
        <v/>
      </c>
      <c r="E67" s="305">
        <f>MAX(0,ROUND(E66*(1+E$26/12)-L66,2))</f>
        <v/>
      </c>
      <c r="F67" s="305">
        <f>MAX(0,ROUND(F66*(1+F$26/12)-M66,2))</f>
        <v/>
      </c>
      <c r="G67" s="305">
        <f>MAX(0,ROUND(G66*(1+G$26/12)-N66,2))</f>
        <v/>
      </c>
      <c r="H67" s="305">
        <f>MAX(0,ROUND(H66*(1+H$26/12)-O66,2))</f>
        <v/>
      </c>
      <c r="I67" s="303">
        <f>IF(SUMPRODUCT(($D$28:$H$28=1)*($D67:$H67&gt;0))&gt;0,1,IF(SUMPRODUCT(($D$28:$H$28=2)*($D67:$H67&gt;0))&gt;0,2,IF(SUMPRODUCT(($D$28:$H$28=3)*($D67:$H67&gt;0))&gt;0,3,IF(SUMPRODUCT(($D$28:$H$28=4)*($D67:$H67&gt;0))&gt;0,4,IF(SUMPRODUCT(($D$28:$H$28=5)*($D67:$H67&gt;0))&gt;0,5,0)))))</f>
        <v/>
      </c>
      <c r="J67" s="305">
        <f>$D$21+SUMPRODUCT(($D67:$H67=0)*$D$27:$H$27)</f>
        <v/>
      </c>
      <c r="K67" s="305">
        <f>IF(D67&lt;=0,0,MIN(ROUND(D67*(1+D$26/12),2),D$27+IF(D$28=$I67,$J67,0)))</f>
        <v/>
      </c>
      <c r="L67" s="305">
        <f>IF(E67&lt;=0,0,MIN(ROUND(E67*(1+E$26/12),2),E$27+IF(E$28=$I67,$J67,0)))</f>
        <v/>
      </c>
      <c r="M67" s="305">
        <f>IF(F67&lt;=0,0,MIN(ROUND(F67*(1+F$26/12),2),F$27+IF(F$28=$I67,$J67,0)))</f>
        <v/>
      </c>
      <c r="N67" s="305">
        <f>IF(G67&lt;=0,0,MIN(ROUND(G67*(1+G$26/12),2),G$27+IF(G$28=$I67,$J67,0)))</f>
        <v/>
      </c>
      <c r="O67" s="305">
        <f>IF(H67&lt;=0,0,MIN(ROUND(H67*(1+H$26/12),2),H$27+IF(H$28=$I67,$J67,0)))</f>
        <v/>
      </c>
      <c r="P67" s="305">
        <f>SUMPRODUCT($D67:$H67,$D$26:$H$26)/12</f>
        <v/>
      </c>
      <c r="Q67" s="305">
        <f>SUM($K67:$O67)</f>
        <v/>
      </c>
      <c r="R67" s="306">
        <f>SUM($D67:$H67)</f>
        <v/>
      </c>
      <c r="S67" s="1" t="n"/>
      <c r="T67" s="1" t="n"/>
      <c r="U67" s="1" t="n"/>
      <c r="V67" s="1" t="n"/>
      <c r="W67" s="1" t="n"/>
      <c r="X67" s="1" t="n"/>
      <c r="Y67" s="1" t="n"/>
      <c r="Z67" s="1" t="n"/>
    </row>
    <row r="68" ht="15.75" customHeight="1" s="311">
      <c r="A68" s="1" t="n"/>
      <c r="B68" s="303" t="n">
        <v>39</v>
      </c>
      <c r="C68" s="304">
        <f>EDATE(TODAY(),38)</f>
        <v/>
      </c>
      <c r="D68" s="305">
        <f>MAX(0,ROUND(D67*(1+D$26/12)-K67,2))</f>
        <v/>
      </c>
      <c r="E68" s="305">
        <f>MAX(0,ROUND(E67*(1+E$26/12)-L67,2))</f>
        <v/>
      </c>
      <c r="F68" s="305">
        <f>MAX(0,ROUND(F67*(1+F$26/12)-M67,2))</f>
        <v/>
      </c>
      <c r="G68" s="305">
        <f>MAX(0,ROUND(G67*(1+G$26/12)-N67,2))</f>
        <v/>
      </c>
      <c r="H68" s="305">
        <f>MAX(0,ROUND(H67*(1+H$26/12)-O67,2))</f>
        <v/>
      </c>
      <c r="I68" s="303">
        <f>IF(SUMPRODUCT(($D$28:$H$28=1)*($D68:$H68&gt;0))&gt;0,1,IF(SUMPRODUCT(($D$28:$H$28=2)*($D68:$H68&gt;0))&gt;0,2,IF(SUMPRODUCT(($D$28:$H$28=3)*($D68:$H68&gt;0))&gt;0,3,IF(SUMPRODUCT(($D$28:$H$28=4)*($D68:$H68&gt;0))&gt;0,4,IF(SUMPRODUCT(($D$28:$H$28=5)*($D68:$H68&gt;0))&gt;0,5,0)))))</f>
        <v/>
      </c>
      <c r="J68" s="305">
        <f>$D$21+SUMPRODUCT(($D68:$H68=0)*$D$27:$H$27)</f>
        <v/>
      </c>
      <c r="K68" s="305">
        <f>IF(D68&lt;=0,0,MIN(ROUND(D68*(1+D$26/12),2),D$27+IF(D$28=$I68,$J68,0)))</f>
        <v/>
      </c>
      <c r="L68" s="305">
        <f>IF(E68&lt;=0,0,MIN(ROUND(E68*(1+E$26/12),2),E$27+IF(E$28=$I68,$J68,0)))</f>
        <v/>
      </c>
      <c r="M68" s="305">
        <f>IF(F68&lt;=0,0,MIN(ROUND(F68*(1+F$26/12),2),F$27+IF(F$28=$I68,$J68,0)))</f>
        <v/>
      </c>
      <c r="N68" s="305">
        <f>IF(G68&lt;=0,0,MIN(ROUND(G68*(1+G$26/12),2),G$27+IF(G$28=$I68,$J68,0)))</f>
        <v/>
      </c>
      <c r="O68" s="305">
        <f>IF(H68&lt;=0,0,MIN(ROUND(H68*(1+H$26/12),2),H$27+IF(H$28=$I68,$J68,0)))</f>
        <v/>
      </c>
      <c r="P68" s="305">
        <f>SUMPRODUCT($D68:$H68,$D$26:$H$26)/12</f>
        <v/>
      </c>
      <c r="Q68" s="305">
        <f>SUM($K68:$O68)</f>
        <v/>
      </c>
      <c r="R68" s="306">
        <f>SUM($D68:$H68)</f>
        <v/>
      </c>
      <c r="S68" s="1" t="n"/>
      <c r="T68" s="1" t="n"/>
      <c r="U68" s="1" t="n"/>
      <c r="V68" s="1" t="n"/>
      <c r="W68" s="1" t="n"/>
      <c r="X68" s="1" t="n"/>
      <c r="Y68" s="1" t="n"/>
      <c r="Z68" s="1" t="n"/>
    </row>
    <row r="69" ht="15.75" customHeight="1" s="311">
      <c r="A69" s="1" t="n"/>
      <c r="B69" s="303" t="n">
        <v>40</v>
      </c>
      <c r="C69" s="304">
        <f>EDATE(TODAY(),39)</f>
        <v/>
      </c>
      <c r="D69" s="305">
        <f>MAX(0,ROUND(D68*(1+D$26/12)-K68,2))</f>
        <v/>
      </c>
      <c r="E69" s="305">
        <f>MAX(0,ROUND(E68*(1+E$26/12)-L68,2))</f>
        <v/>
      </c>
      <c r="F69" s="305">
        <f>MAX(0,ROUND(F68*(1+F$26/12)-M68,2))</f>
        <v/>
      </c>
      <c r="G69" s="305">
        <f>MAX(0,ROUND(G68*(1+G$26/12)-N68,2))</f>
        <v/>
      </c>
      <c r="H69" s="305">
        <f>MAX(0,ROUND(H68*(1+H$26/12)-O68,2))</f>
        <v/>
      </c>
      <c r="I69" s="303">
        <f>IF(SUMPRODUCT(($D$28:$H$28=1)*($D69:$H69&gt;0))&gt;0,1,IF(SUMPRODUCT(($D$28:$H$28=2)*($D69:$H69&gt;0))&gt;0,2,IF(SUMPRODUCT(($D$28:$H$28=3)*($D69:$H69&gt;0))&gt;0,3,IF(SUMPRODUCT(($D$28:$H$28=4)*($D69:$H69&gt;0))&gt;0,4,IF(SUMPRODUCT(($D$28:$H$28=5)*($D69:$H69&gt;0))&gt;0,5,0)))))</f>
        <v/>
      </c>
      <c r="J69" s="305">
        <f>$D$21+SUMPRODUCT(($D69:$H69=0)*$D$27:$H$27)</f>
        <v/>
      </c>
      <c r="K69" s="305">
        <f>IF(D69&lt;=0,0,MIN(ROUND(D69*(1+D$26/12),2),D$27+IF(D$28=$I69,$J69,0)))</f>
        <v/>
      </c>
      <c r="L69" s="305">
        <f>IF(E69&lt;=0,0,MIN(ROUND(E69*(1+E$26/12),2),E$27+IF(E$28=$I69,$J69,0)))</f>
        <v/>
      </c>
      <c r="M69" s="305">
        <f>IF(F69&lt;=0,0,MIN(ROUND(F69*(1+F$26/12),2),F$27+IF(F$28=$I69,$J69,0)))</f>
        <v/>
      </c>
      <c r="N69" s="305">
        <f>IF(G69&lt;=0,0,MIN(ROUND(G69*(1+G$26/12),2),G$27+IF(G$28=$I69,$J69,0)))</f>
        <v/>
      </c>
      <c r="O69" s="305">
        <f>IF(H69&lt;=0,0,MIN(ROUND(H69*(1+H$26/12),2),H$27+IF(H$28=$I69,$J69,0)))</f>
        <v/>
      </c>
      <c r="P69" s="305">
        <f>SUMPRODUCT($D69:$H69,$D$26:$H$26)/12</f>
        <v/>
      </c>
      <c r="Q69" s="305">
        <f>SUM($K69:$O69)</f>
        <v/>
      </c>
      <c r="R69" s="306">
        <f>SUM($D69:$H69)</f>
        <v/>
      </c>
      <c r="S69" s="1" t="n"/>
      <c r="T69" s="1" t="n"/>
      <c r="U69" s="1" t="n"/>
      <c r="V69" s="1" t="n"/>
      <c r="W69" s="1" t="n"/>
      <c r="X69" s="1" t="n"/>
      <c r="Y69" s="1" t="n"/>
      <c r="Z69" s="1" t="n"/>
    </row>
    <row r="70" ht="15.75" customHeight="1" s="311">
      <c r="A70" s="1" t="n"/>
      <c r="B70" s="303" t="n">
        <v>41</v>
      </c>
      <c r="C70" s="304">
        <f>EDATE(TODAY(),40)</f>
        <v/>
      </c>
      <c r="D70" s="305">
        <f>MAX(0,ROUND(D69*(1+D$26/12)-K69,2))</f>
        <v/>
      </c>
      <c r="E70" s="305">
        <f>MAX(0,ROUND(E69*(1+E$26/12)-L69,2))</f>
        <v/>
      </c>
      <c r="F70" s="305">
        <f>MAX(0,ROUND(F69*(1+F$26/12)-M69,2))</f>
        <v/>
      </c>
      <c r="G70" s="305">
        <f>MAX(0,ROUND(G69*(1+G$26/12)-N69,2))</f>
        <v/>
      </c>
      <c r="H70" s="305">
        <f>MAX(0,ROUND(H69*(1+H$26/12)-O69,2))</f>
        <v/>
      </c>
      <c r="I70" s="303">
        <f>IF(SUMPRODUCT(($D$28:$H$28=1)*($D70:$H70&gt;0))&gt;0,1,IF(SUMPRODUCT(($D$28:$H$28=2)*($D70:$H70&gt;0))&gt;0,2,IF(SUMPRODUCT(($D$28:$H$28=3)*($D70:$H70&gt;0))&gt;0,3,IF(SUMPRODUCT(($D$28:$H$28=4)*($D70:$H70&gt;0))&gt;0,4,IF(SUMPRODUCT(($D$28:$H$28=5)*($D70:$H70&gt;0))&gt;0,5,0)))))</f>
        <v/>
      </c>
      <c r="J70" s="305">
        <f>$D$21+SUMPRODUCT(($D70:$H70=0)*$D$27:$H$27)</f>
        <v/>
      </c>
      <c r="K70" s="305">
        <f>IF(D70&lt;=0,0,MIN(ROUND(D70*(1+D$26/12),2),D$27+IF(D$28=$I70,$J70,0)))</f>
        <v/>
      </c>
      <c r="L70" s="305">
        <f>IF(E70&lt;=0,0,MIN(ROUND(E70*(1+E$26/12),2),E$27+IF(E$28=$I70,$J70,0)))</f>
        <v/>
      </c>
      <c r="M70" s="305">
        <f>IF(F70&lt;=0,0,MIN(ROUND(F70*(1+F$26/12),2),F$27+IF(F$28=$I70,$J70,0)))</f>
        <v/>
      </c>
      <c r="N70" s="305">
        <f>IF(G70&lt;=0,0,MIN(ROUND(G70*(1+G$26/12),2),G$27+IF(G$28=$I70,$J70,0)))</f>
        <v/>
      </c>
      <c r="O70" s="305">
        <f>IF(H70&lt;=0,0,MIN(ROUND(H70*(1+H$26/12),2),H$27+IF(H$28=$I70,$J70,0)))</f>
        <v/>
      </c>
      <c r="P70" s="305">
        <f>SUMPRODUCT($D70:$H70,$D$26:$H$26)/12</f>
        <v/>
      </c>
      <c r="Q70" s="305">
        <f>SUM($K70:$O70)</f>
        <v/>
      </c>
      <c r="R70" s="306">
        <f>SUM($D70:$H70)</f>
        <v/>
      </c>
      <c r="S70" s="1" t="n"/>
      <c r="T70" s="1" t="n"/>
      <c r="U70" s="1" t="n"/>
      <c r="V70" s="1" t="n"/>
      <c r="W70" s="1" t="n"/>
      <c r="X70" s="1" t="n"/>
      <c r="Y70" s="1" t="n"/>
      <c r="Z70" s="1" t="n"/>
    </row>
    <row r="71" ht="15.75" customHeight="1" s="311">
      <c r="A71" s="1" t="n"/>
      <c r="B71" s="303" t="n">
        <v>42</v>
      </c>
      <c r="C71" s="304">
        <f>EDATE(TODAY(),41)</f>
        <v/>
      </c>
      <c r="D71" s="305">
        <f>MAX(0,ROUND(D70*(1+D$26/12)-K70,2))</f>
        <v/>
      </c>
      <c r="E71" s="305">
        <f>MAX(0,ROUND(E70*(1+E$26/12)-L70,2))</f>
        <v/>
      </c>
      <c r="F71" s="305">
        <f>MAX(0,ROUND(F70*(1+F$26/12)-M70,2))</f>
        <v/>
      </c>
      <c r="G71" s="305">
        <f>MAX(0,ROUND(G70*(1+G$26/12)-N70,2))</f>
        <v/>
      </c>
      <c r="H71" s="305">
        <f>MAX(0,ROUND(H70*(1+H$26/12)-O70,2))</f>
        <v/>
      </c>
      <c r="I71" s="303">
        <f>IF(SUMPRODUCT(($D$28:$H$28=1)*($D71:$H71&gt;0))&gt;0,1,IF(SUMPRODUCT(($D$28:$H$28=2)*($D71:$H71&gt;0))&gt;0,2,IF(SUMPRODUCT(($D$28:$H$28=3)*($D71:$H71&gt;0))&gt;0,3,IF(SUMPRODUCT(($D$28:$H$28=4)*($D71:$H71&gt;0))&gt;0,4,IF(SUMPRODUCT(($D$28:$H$28=5)*($D71:$H71&gt;0))&gt;0,5,0)))))</f>
        <v/>
      </c>
      <c r="J71" s="305">
        <f>$D$21+SUMPRODUCT(($D71:$H71=0)*$D$27:$H$27)</f>
        <v/>
      </c>
      <c r="K71" s="305">
        <f>IF(D71&lt;=0,0,MIN(ROUND(D71*(1+D$26/12),2),D$27+IF(D$28=$I71,$J71,0)))</f>
        <v/>
      </c>
      <c r="L71" s="305">
        <f>IF(E71&lt;=0,0,MIN(ROUND(E71*(1+E$26/12),2),E$27+IF(E$28=$I71,$J71,0)))</f>
        <v/>
      </c>
      <c r="M71" s="305">
        <f>IF(F71&lt;=0,0,MIN(ROUND(F71*(1+F$26/12),2),F$27+IF(F$28=$I71,$J71,0)))</f>
        <v/>
      </c>
      <c r="N71" s="305">
        <f>IF(G71&lt;=0,0,MIN(ROUND(G71*(1+G$26/12),2),G$27+IF(G$28=$I71,$J71,0)))</f>
        <v/>
      </c>
      <c r="O71" s="305">
        <f>IF(H71&lt;=0,0,MIN(ROUND(H71*(1+H$26/12),2),H$27+IF(H$28=$I71,$J71,0)))</f>
        <v/>
      </c>
      <c r="P71" s="305">
        <f>SUMPRODUCT($D71:$H71,$D$26:$H$26)/12</f>
        <v/>
      </c>
      <c r="Q71" s="305">
        <f>SUM($K71:$O71)</f>
        <v/>
      </c>
      <c r="R71" s="306">
        <f>SUM($D71:$H71)</f>
        <v/>
      </c>
      <c r="S71" s="1" t="n"/>
      <c r="T71" s="1" t="n"/>
      <c r="U71" s="1" t="n"/>
      <c r="V71" s="1" t="n"/>
      <c r="W71" s="1" t="n"/>
      <c r="X71" s="1" t="n"/>
      <c r="Y71" s="1" t="n"/>
      <c r="Z71" s="1" t="n"/>
    </row>
    <row r="72" ht="15.75" customHeight="1" s="311">
      <c r="A72" s="1" t="n"/>
      <c r="B72" s="303" t="n">
        <v>43</v>
      </c>
      <c r="C72" s="304">
        <f>EDATE(TODAY(),42)</f>
        <v/>
      </c>
      <c r="D72" s="305">
        <f>MAX(0,ROUND(D71*(1+D$26/12)-K71,2))</f>
        <v/>
      </c>
      <c r="E72" s="305">
        <f>MAX(0,ROUND(E71*(1+E$26/12)-L71,2))</f>
        <v/>
      </c>
      <c r="F72" s="305">
        <f>MAX(0,ROUND(F71*(1+F$26/12)-M71,2))</f>
        <v/>
      </c>
      <c r="G72" s="305">
        <f>MAX(0,ROUND(G71*(1+G$26/12)-N71,2))</f>
        <v/>
      </c>
      <c r="H72" s="305">
        <f>MAX(0,ROUND(H71*(1+H$26/12)-O71,2))</f>
        <v/>
      </c>
      <c r="I72" s="303">
        <f>IF(SUMPRODUCT(($D$28:$H$28=1)*($D72:$H72&gt;0))&gt;0,1,IF(SUMPRODUCT(($D$28:$H$28=2)*($D72:$H72&gt;0))&gt;0,2,IF(SUMPRODUCT(($D$28:$H$28=3)*($D72:$H72&gt;0))&gt;0,3,IF(SUMPRODUCT(($D$28:$H$28=4)*($D72:$H72&gt;0))&gt;0,4,IF(SUMPRODUCT(($D$28:$H$28=5)*($D72:$H72&gt;0))&gt;0,5,0)))))</f>
        <v/>
      </c>
      <c r="J72" s="305">
        <f>$D$21+SUMPRODUCT(($D72:$H72=0)*$D$27:$H$27)</f>
        <v/>
      </c>
      <c r="K72" s="305">
        <f>IF(D72&lt;=0,0,MIN(ROUND(D72*(1+D$26/12),2),D$27+IF(D$28=$I72,$J72,0)))</f>
        <v/>
      </c>
      <c r="L72" s="305">
        <f>IF(E72&lt;=0,0,MIN(ROUND(E72*(1+E$26/12),2),E$27+IF(E$28=$I72,$J72,0)))</f>
        <v/>
      </c>
      <c r="M72" s="305">
        <f>IF(F72&lt;=0,0,MIN(ROUND(F72*(1+F$26/12),2),F$27+IF(F$28=$I72,$J72,0)))</f>
        <v/>
      </c>
      <c r="N72" s="305">
        <f>IF(G72&lt;=0,0,MIN(ROUND(G72*(1+G$26/12),2),G$27+IF(G$28=$I72,$J72,0)))</f>
        <v/>
      </c>
      <c r="O72" s="305">
        <f>IF(H72&lt;=0,0,MIN(ROUND(H72*(1+H$26/12),2),H$27+IF(H$28=$I72,$J72,0)))</f>
        <v/>
      </c>
      <c r="P72" s="305">
        <f>SUMPRODUCT($D72:$H72,$D$26:$H$26)/12</f>
        <v/>
      </c>
      <c r="Q72" s="305">
        <f>SUM($K72:$O72)</f>
        <v/>
      </c>
      <c r="R72" s="306">
        <f>SUM($D72:$H72)</f>
        <v/>
      </c>
      <c r="S72" s="1" t="n"/>
      <c r="T72" s="1" t="n"/>
      <c r="U72" s="1" t="n"/>
      <c r="V72" s="1" t="n"/>
      <c r="W72" s="1" t="n"/>
      <c r="X72" s="1" t="n"/>
      <c r="Y72" s="1" t="n"/>
      <c r="Z72" s="1" t="n"/>
    </row>
    <row r="73" ht="15.75" customHeight="1" s="311">
      <c r="A73" s="1" t="n"/>
      <c r="B73" s="303" t="n">
        <v>44</v>
      </c>
      <c r="C73" s="304">
        <f>EDATE(TODAY(),43)</f>
        <v/>
      </c>
      <c r="D73" s="305">
        <f>MAX(0,ROUND(D72*(1+D$26/12)-K72,2))</f>
        <v/>
      </c>
      <c r="E73" s="305">
        <f>MAX(0,ROUND(E72*(1+E$26/12)-L72,2))</f>
        <v/>
      </c>
      <c r="F73" s="305">
        <f>MAX(0,ROUND(F72*(1+F$26/12)-M72,2))</f>
        <v/>
      </c>
      <c r="G73" s="305">
        <f>MAX(0,ROUND(G72*(1+G$26/12)-N72,2))</f>
        <v/>
      </c>
      <c r="H73" s="305">
        <f>MAX(0,ROUND(H72*(1+H$26/12)-O72,2))</f>
        <v/>
      </c>
      <c r="I73" s="303">
        <f>IF(SUMPRODUCT(($D$28:$H$28=1)*($D73:$H73&gt;0))&gt;0,1,IF(SUMPRODUCT(($D$28:$H$28=2)*($D73:$H73&gt;0))&gt;0,2,IF(SUMPRODUCT(($D$28:$H$28=3)*($D73:$H73&gt;0))&gt;0,3,IF(SUMPRODUCT(($D$28:$H$28=4)*($D73:$H73&gt;0))&gt;0,4,IF(SUMPRODUCT(($D$28:$H$28=5)*($D73:$H73&gt;0))&gt;0,5,0)))))</f>
        <v/>
      </c>
      <c r="J73" s="305">
        <f>$D$21+SUMPRODUCT(($D73:$H73=0)*$D$27:$H$27)</f>
        <v/>
      </c>
      <c r="K73" s="305">
        <f>IF(D73&lt;=0,0,MIN(ROUND(D73*(1+D$26/12),2),D$27+IF(D$28=$I73,$J73,0)))</f>
        <v/>
      </c>
      <c r="L73" s="305">
        <f>IF(E73&lt;=0,0,MIN(ROUND(E73*(1+E$26/12),2),E$27+IF(E$28=$I73,$J73,0)))</f>
        <v/>
      </c>
      <c r="M73" s="305">
        <f>IF(F73&lt;=0,0,MIN(ROUND(F73*(1+F$26/12),2),F$27+IF(F$28=$I73,$J73,0)))</f>
        <v/>
      </c>
      <c r="N73" s="305">
        <f>IF(G73&lt;=0,0,MIN(ROUND(G73*(1+G$26/12),2),G$27+IF(G$28=$I73,$J73,0)))</f>
        <v/>
      </c>
      <c r="O73" s="305">
        <f>IF(H73&lt;=0,0,MIN(ROUND(H73*(1+H$26/12),2),H$27+IF(H$28=$I73,$J73,0)))</f>
        <v/>
      </c>
      <c r="P73" s="305">
        <f>SUMPRODUCT($D73:$H73,$D$26:$H$26)/12</f>
        <v/>
      </c>
      <c r="Q73" s="305">
        <f>SUM($K73:$O73)</f>
        <v/>
      </c>
      <c r="R73" s="306">
        <f>SUM($D73:$H73)</f>
        <v/>
      </c>
      <c r="S73" s="1" t="n"/>
      <c r="T73" s="1" t="n"/>
      <c r="U73" s="1" t="n"/>
      <c r="V73" s="1" t="n"/>
      <c r="W73" s="1" t="n"/>
      <c r="X73" s="1" t="n"/>
      <c r="Y73" s="1" t="n"/>
      <c r="Z73" s="1" t="n"/>
    </row>
    <row r="74" ht="15.75" customHeight="1" s="311">
      <c r="A74" s="1" t="n"/>
      <c r="B74" s="303" t="n">
        <v>45</v>
      </c>
      <c r="C74" s="304">
        <f>EDATE(TODAY(),44)</f>
        <v/>
      </c>
      <c r="D74" s="305">
        <f>MAX(0,ROUND(D73*(1+D$26/12)-K73,2))</f>
        <v/>
      </c>
      <c r="E74" s="305">
        <f>MAX(0,ROUND(E73*(1+E$26/12)-L73,2))</f>
        <v/>
      </c>
      <c r="F74" s="305">
        <f>MAX(0,ROUND(F73*(1+F$26/12)-M73,2))</f>
        <v/>
      </c>
      <c r="G74" s="305">
        <f>MAX(0,ROUND(G73*(1+G$26/12)-N73,2))</f>
        <v/>
      </c>
      <c r="H74" s="305">
        <f>MAX(0,ROUND(H73*(1+H$26/12)-O73,2))</f>
        <v/>
      </c>
      <c r="I74" s="303">
        <f>IF(SUMPRODUCT(($D$28:$H$28=1)*($D74:$H74&gt;0))&gt;0,1,IF(SUMPRODUCT(($D$28:$H$28=2)*($D74:$H74&gt;0))&gt;0,2,IF(SUMPRODUCT(($D$28:$H$28=3)*($D74:$H74&gt;0))&gt;0,3,IF(SUMPRODUCT(($D$28:$H$28=4)*($D74:$H74&gt;0))&gt;0,4,IF(SUMPRODUCT(($D$28:$H$28=5)*($D74:$H74&gt;0))&gt;0,5,0)))))</f>
        <v/>
      </c>
      <c r="J74" s="305">
        <f>$D$21+SUMPRODUCT(($D74:$H74=0)*$D$27:$H$27)</f>
        <v/>
      </c>
      <c r="K74" s="305">
        <f>IF(D74&lt;=0,0,MIN(ROUND(D74*(1+D$26/12),2),D$27+IF(D$28=$I74,$J74,0)))</f>
        <v/>
      </c>
      <c r="L74" s="305">
        <f>IF(E74&lt;=0,0,MIN(ROUND(E74*(1+E$26/12),2),E$27+IF(E$28=$I74,$J74,0)))</f>
        <v/>
      </c>
      <c r="M74" s="305">
        <f>IF(F74&lt;=0,0,MIN(ROUND(F74*(1+F$26/12),2),F$27+IF(F$28=$I74,$J74,0)))</f>
        <v/>
      </c>
      <c r="N74" s="305">
        <f>IF(G74&lt;=0,0,MIN(ROUND(G74*(1+G$26/12),2),G$27+IF(G$28=$I74,$J74,0)))</f>
        <v/>
      </c>
      <c r="O74" s="305">
        <f>IF(H74&lt;=0,0,MIN(ROUND(H74*(1+H$26/12),2),H$27+IF(H$28=$I74,$J74,0)))</f>
        <v/>
      </c>
      <c r="P74" s="305">
        <f>SUMPRODUCT($D74:$H74,$D$26:$H$26)/12</f>
        <v/>
      </c>
      <c r="Q74" s="305">
        <f>SUM($K74:$O74)</f>
        <v/>
      </c>
      <c r="R74" s="306">
        <f>SUM($D74:$H74)</f>
        <v/>
      </c>
      <c r="S74" s="1" t="n"/>
      <c r="T74" s="1" t="n"/>
      <c r="U74" s="1" t="n"/>
      <c r="V74" s="1" t="n"/>
      <c r="W74" s="1" t="n"/>
      <c r="X74" s="1" t="n"/>
      <c r="Y74" s="1" t="n"/>
      <c r="Z74" s="1" t="n"/>
    </row>
    <row r="75" ht="15.75" customHeight="1" s="311">
      <c r="A75" s="1" t="n"/>
      <c r="B75" s="303" t="n">
        <v>46</v>
      </c>
      <c r="C75" s="304">
        <f>EDATE(TODAY(),45)</f>
        <v/>
      </c>
      <c r="D75" s="305">
        <f>MAX(0,ROUND(D74*(1+D$26/12)-K74,2))</f>
        <v/>
      </c>
      <c r="E75" s="305">
        <f>MAX(0,ROUND(E74*(1+E$26/12)-L74,2))</f>
        <v/>
      </c>
      <c r="F75" s="305">
        <f>MAX(0,ROUND(F74*(1+F$26/12)-M74,2))</f>
        <v/>
      </c>
      <c r="G75" s="305">
        <f>MAX(0,ROUND(G74*(1+G$26/12)-N74,2))</f>
        <v/>
      </c>
      <c r="H75" s="305">
        <f>MAX(0,ROUND(H74*(1+H$26/12)-O74,2))</f>
        <v/>
      </c>
      <c r="I75" s="303">
        <f>IF(SUMPRODUCT(($D$28:$H$28=1)*($D75:$H75&gt;0))&gt;0,1,IF(SUMPRODUCT(($D$28:$H$28=2)*($D75:$H75&gt;0))&gt;0,2,IF(SUMPRODUCT(($D$28:$H$28=3)*($D75:$H75&gt;0))&gt;0,3,IF(SUMPRODUCT(($D$28:$H$28=4)*($D75:$H75&gt;0))&gt;0,4,IF(SUMPRODUCT(($D$28:$H$28=5)*($D75:$H75&gt;0))&gt;0,5,0)))))</f>
        <v/>
      </c>
      <c r="J75" s="305">
        <f>$D$21+SUMPRODUCT(($D75:$H75=0)*$D$27:$H$27)</f>
        <v/>
      </c>
      <c r="K75" s="305">
        <f>IF(D75&lt;=0,0,MIN(ROUND(D75*(1+D$26/12),2),D$27+IF(D$28=$I75,$J75,0)))</f>
        <v/>
      </c>
      <c r="L75" s="305">
        <f>IF(E75&lt;=0,0,MIN(ROUND(E75*(1+E$26/12),2),E$27+IF(E$28=$I75,$J75,0)))</f>
        <v/>
      </c>
      <c r="M75" s="305">
        <f>IF(F75&lt;=0,0,MIN(ROUND(F75*(1+F$26/12),2),F$27+IF(F$28=$I75,$J75,0)))</f>
        <v/>
      </c>
      <c r="N75" s="305">
        <f>IF(G75&lt;=0,0,MIN(ROUND(G75*(1+G$26/12),2),G$27+IF(G$28=$I75,$J75,0)))</f>
        <v/>
      </c>
      <c r="O75" s="305">
        <f>IF(H75&lt;=0,0,MIN(ROUND(H75*(1+H$26/12),2),H$27+IF(H$28=$I75,$J75,0)))</f>
        <v/>
      </c>
      <c r="P75" s="305">
        <f>SUMPRODUCT($D75:$H75,$D$26:$H$26)/12</f>
        <v/>
      </c>
      <c r="Q75" s="305">
        <f>SUM($K75:$O75)</f>
        <v/>
      </c>
      <c r="R75" s="306">
        <f>SUM($D75:$H75)</f>
        <v/>
      </c>
      <c r="S75" s="1" t="n"/>
      <c r="T75" s="1" t="n"/>
      <c r="U75" s="1" t="n"/>
      <c r="V75" s="1" t="n"/>
      <c r="W75" s="1" t="n"/>
      <c r="X75" s="1" t="n"/>
      <c r="Y75" s="1" t="n"/>
      <c r="Z75" s="1" t="n"/>
    </row>
    <row r="76" ht="15.75" customHeight="1" s="311">
      <c r="A76" s="1" t="n"/>
      <c r="B76" s="303" t="n">
        <v>47</v>
      </c>
      <c r="C76" s="304">
        <f>EDATE(TODAY(),46)</f>
        <v/>
      </c>
      <c r="D76" s="305">
        <f>MAX(0,ROUND(D75*(1+D$26/12)-K75,2))</f>
        <v/>
      </c>
      <c r="E76" s="305">
        <f>MAX(0,ROUND(E75*(1+E$26/12)-L75,2))</f>
        <v/>
      </c>
      <c r="F76" s="305">
        <f>MAX(0,ROUND(F75*(1+F$26/12)-M75,2))</f>
        <v/>
      </c>
      <c r="G76" s="305">
        <f>MAX(0,ROUND(G75*(1+G$26/12)-N75,2))</f>
        <v/>
      </c>
      <c r="H76" s="305">
        <f>MAX(0,ROUND(H75*(1+H$26/12)-O75,2))</f>
        <v/>
      </c>
      <c r="I76" s="303">
        <f>IF(SUMPRODUCT(($D$28:$H$28=1)*($D76:$H76&gt;0))&gt;0,1,IF(SUMPRODUCT(($D$28:$H$28=2)*($D76:$H76&gt;0))&gt;0,2,IF(SUMPRODUCT(($D$28:$H$28=3)*($D76:$H76&gt;0))&gt;0,3,IF(SUMPRODUCT(($D$28:$H$28=4)*($D76:$H76&gt;0))&gt;0,4,IF(SUMPRODUCT(($D$28:$H$28=5)*($D76:$H76&gt;0))&gt;0,5,0)))))</f>
        <v/>
      </c>
      <c r="J76" s="305">
        <f>$D$21+SUMPRODUCT(($D76:$H76=0)*$D$27:$H$27)</f>
        <v/>
      </c>
      <c r="K76" s="305">
        <f>IF(D76&lt;=0,0,MIN(ROUND(D76*(1+D$26/12),2),D$27+IF(D$28=$I76,$J76,0)))</f>
        <v/>
      </c>
      <c r="L76" s="305">
        <f>IF(E76&lt;=0,0,MIN(ROUND(E76*(1+E$26/12),2),E$27+IF(E$28=$I76,$J76,0)))</f>
        <v/>
      </c>
      <c r="M76" s="305">
        <f>IF(F76&lt;=0,0,MIN(ROUND(F76*(1+F$26/12),2),F$27+IF(F$28=$I76,$J76,0)))</f>
        <v/>
      </c>
      <c r="N76" s="305">
        <f>IF(G76&lt;=0,0,MIN(ROUND(G76*(1+G$26/12),2),G$27+IF(G$28=$I76,$J76,0)))</f>
        <v/>
      </c>
      <c r="O76" s="305">
        <f>IF(H76&lt;=0,0,MIN(ROUND(H76*(1+H$26/12),2),H$27+IF(H$28=$I76,$J76,0)))</f>
        <v/>
      </c>
      <c r="P76" s="305">
        <f>SUMPRODUCT($D76:$H76,$D$26:$H$26)/12</f>
        <v/>
      </c>
      <c r="Q76" s="305">
        <f>SUM($K76:$O76)</f>
        <v/>
      </c>
      <c r="R76" s="306">
        <f>SUM($D76:$H76)</f>
        <v/>
      </c>
      <c r="S76" s="1" t="n"/>
      <c r="T76" s="1" t="n"/>
      <c r="U76" s="1" t="n"/>
      <c r="V76" s="1" t="n"/>
      <c r="W76" s="1" t="n"/>
      <c r="X76" s="1" t="n"/>
      <c r="Y76" s="1" t="n"/>
      <c r="Z76" s="1" t="n"/>
    </row>
    <row r="77" ht="15.75" customHeight="1" s="311">
      <c r="A77" s="1" t="n"/>
      <c r="B77" s="303" t="n">
        <v>48</v>
      </c>
      <c r="C77" s="304">
        <f>EDATE(TODAY(),47)</f>
        <v/>
      </c>
      <c r="D77" s="305">
        <f>MAX(0,ROUND(D76*(1+D$26/12)-K76,2))</f>
        <v/>
      </c>
      <c r="E77" s="305">
        <f>MAX(0,ROUND(E76*(1+E$26/12)-L76,2))</f>
        <v/>
      </c>
      <c r="F77" s="305">
        <f>MAX(0,ROUND(F76*(1+F$26/12)-M76,2))</f>
        <v/>
      </c>
      <c r="G77" s="305">
        <f>MAX(0,ROUND(G76*(1+G$26/12)-N76,2))</f>
        <v/>
      </c>
      <c r="H77" s="305">
        <f>MAX(0,ROUND(H76*(1+H$26/12)-O76,2))</f>
        <v/>
      </c>
      <c r="I77" s="303">
        <f>IF(SUMPRODUCT(($D$28:$H$28=1)*($D77:$H77&gt;0))&gt;0,1,IF(SUMPRODUCT(($D$28:$H$28=2)*($D77:$H77&gt;0))&gt;0,2,IF(SUMPRODUCT(($D$28:$H$28=3)*($D77:$H77&gt;0))&gt;0,3,IF(SUMPRODUCT(($D$28:$H$28=4)*($D77:$H77&gt;0))&gt;0,4,IF(SUMPRODUCT(($D$28:$H$28=5)*($D77:$H77&gt;0))&gt;0,5,0)))))</f>
        <v/>
      </c>
      <c r="J77" s="305">
        <f>$D$21+SUMPRODUCT(($D77:$H77=0)*$D$27:$H$27)</f>
        <v/>
      </c>
      <c r="K77" s="305">
        <f>IF(D77&lt;=0,0,MIN(ROUND(D77*(1+D$26/12),2),D$27+IF(D$28=$I77,$J77,0)))</f>
        <v/>
      </c>
      <c r="L77" s="305">
        <f>IF(E77&lt;=0,0,MIN(ROUND(E77*(1+E$26/12),2),E$27+IF(E$28=$I77,$J77,0)))</f>
        <v/>
      </c>
      <c r="M77" s="305">
        <f>IF(F77&lt;=0,0,MIN(ROUND(F77*(1+F$26/12),2),F$27+IF(F$28=$I77,$J77,0)))</f>
        <v/>
      </c>
      <c r="N77" s="305">
        <f>IF(G77&lt;=0,0,MIN(ROUND(G77*(1+G$26/12),2),G$27+IF(G$28=$I77,$J77,0)))</f>
        <v/>
      </c>
      <c r="O77" s="305">
        <f>IF(H77&lt;=0,0,MIN(ROUND(H77*(1+H$26/12),2),H$27+IF(H$28=$I77,$J77,0)))</f>
        <v/>
      </c>
      <c r="P77" s="305">
        <f>SUMPRODUCT($D77:$H77,$D$26:$H$26)/12</f>
        <v/>
      </c>
      <c r="Q77" s="305">
        <f>SUM($K77:$O77)</f>
        <v/>
      </c>
      <c r="R77" s="306">
        <f>SUM($D77:$H77)</f>
        <v/>
      </c>
      <c r="S77" s="1" t="n"/>
      <c r="T77" s="1" t="n"/>
      <c r="U77" s="1" t="n"/>
      <c r="V77" s="1" t="n"/>
      <c r="W77" s="1" t="n"/>
      <c r="X77" s="1" t="n"/>
      <c r="Y77" s="1" t="n"/>
      <c r="Z77" s="1" t="n"/>
    </row>
    <row r="78" ht="15.75" customHeight="1" s="311">
      <c r="A78" s="1" t="n"/>
      <c r="B78" s="303" t="n">
        <v>49</v>
      </c>
      <c r="C78" s="304">
        <f>EDATE(TODAY(),48)</f>
        <v/>
      </c>
      <c r="D78" s="305">
        <f>MAX(0,ROUND(D77*(1+D$26/12)-K77,2))</f>
        <v/>
      </c>
      <c r="E78" s="305">
        <f>MAX(0,ROUND(E77*(1+E$26/12)-L77,2))</f>
        <v/>
      </c>
      <c r="F78" s="305">
        <f>MAX(0,ROUND(F77*(1+F$26/12)-M77,2))</f>
        <v/>
      </c>
      <c r="G78" s="305">
        <f>MAX(0,ROUND(G77*(1+G$26/12)-N77,2))</f>
        <v/>
      </c>
      <c r="H78" s="305">
        <f>MAX(0,ROUND(H77*(1+H$26/12)-O77,2))</f>
        <v/>
      </c>
      <c r="I78" s="303">
        <f>IF(SUMPRODUCT(($D$28:$H$28=1)*($D78:$H78&gt;0))&gt;0,1,IF(SUMPRODUCT(($D$28:$H$28=2)*($D78:$H78&gt;0))&gt;0,2,IF(SUMPRODUCT(($D$28:$H$28=3)*($D78:$H78&gt;0))&gt;0,3,IF(SUMPRODUCT(($D$28:$H$28=4)*($D78:$H78&gt;0))&gt;0,4,IF(SUMPRODUCT(($D$28:$H$28=5)*($D78:$H78&gt;0))&gt;0,5,0)))))</f>
        <v/>
      </c>
      <c r="J78" s="305">
        <f>$D$21+SUMPRODUCT(($D78:$H78=0)*$D$27:$H$27)</f>
        <v/>
      </c>
      <c r="K78" s="305">
        <f>IF(D78&lt;=0,0,MIN(ROUND(D78*(1+D$26/12),2),D$27+IF(D$28=$I78,$J78,0)))</f>
        <v/>
      </c>
      <c r="L78" s="305">
        <f>IF(E78&lt;=0,0,MIN(ROUND(E78*(1+E$26/12),2),E$27+IF(E$28=$I78,$J78,0)))</f>
        <v/>
      </c>
      <c r="M78" s="305">
        <f>IF(F78&lt;=0,0,MIN(ROUND(F78*(1+F$26/12),2),F$27+IF(F$28=$I78,$J78,0)))</f>
        <v/>
      </c>
      <c r="N78" s="305">
        <f>IF(G78&lt;=0,0,MIN(ROUND(G78*(1+G$26/12),2),G$27+IF(G$28=$I78,$J78,0)))</f>
        <v/>
      </c>
      <c r="O78" s="305">
        <f>IF(H78&lt;=0,0,MIN(ROUND(H78*(1+H$26/12),2),H$27+IF(H$28=$I78,$J78,0)))</f>
        <v/>
      </c>
      <c r="P78" s="305">
        <f>SUMPRODUCT($D78:$H78,$D$26:$H$26)/12</f>
        <v/>
      </c>
      <c r="Q78" s="305">
        <f>SUM($K78:$O78)</f>
        <v/>
      </c>
      <c r="R78" s="306">
        <f>SUM($D78:$H78)</f>
        <v/>
      </c>
      <c r="S78" s="1" t="n"/>
      <c r="T78" s="1" t="n"/>
      <c r="U78" s="1" t="n"/>
      <c r="V78" s="1" t="n"/>
      <c r="W78" s="1" t="n"/>
      <c r="X78" s="1" t="n"/>
      <c r="Y78" s="1" t="n"/>
      <c r="Z78" s="1" t="n"/>
    </row>
    <row r="79" ht="15.75" customHeight="1" s="311">
      <c r="A79" s="1" t="n"/>
      <c r="B79" s="303" t="n">
        <v>50</v>
      </c>
      <c r="C79" s="304">
        <f>EDATE(TODAY(),49)</f>
        <v/>
      </c>
      <c r="D79" s="305">
        <f>MAX(0,ROUND(D78*(1+D$26/12)-K78,2))</f>
        <v/>
      </c>
      <c r="E79" s="305">
        <f>MAX(0,ROUND(E78*(1+E$26/12)-L78,2))</f>
        <v/>
      </c>
      <c r="F79" s="305">
        <f>MAX(0,ROUND(F78*(1+F$26/12)-M78,2))</f>
        <v/>
      </c>
      <c r="G79" s="305">
        <f>MAX(0,ROUND(G78*(1+G$26/12)-N78,2))</f>
        <v/>
      </c>
      <c r="H79" s="305">
        <f>MAX(0,ROUND(H78*(1+H$26/12)-O78,2))</f>
        <v/>
      </c>
      <c r="I79" s="303">
        <f>IF(SUMPRODUCT(($D$28:$H$28=1)*($D79:$H79&gt;0))&gt;0,1,IF(SUMPRODUCT(($D$28:$H$28=2)*($D79:$H79&gt;0))&gt;0,2,IF(SUMPRODUCT(($D$28:$H$28=3)*($D79:$H79&gt;0))&gt;0,3,IF(SUMPRODUCT(($D$28:$H$28=4)*($D79:$H79&gt;0))&gt;0,4,IF(SUMPRODUCT(($D$28:$H$28=5)*($D79:$H79&gt;0))&gt;0,5,0)))))</f>
        <v/>
      </c>
      <c r="J79" s="305">
        <f>$D$21+SUMPRODUCT(($D79:$H79=0)*$D$27:$H$27)</f>
        <v/>
      </c>
      <c r="K79" s="305">
        <f>IF(D79&lt;=0,0,MIN(ROUND(D79*(1+D$26/12),2),D$27+IF(D$28=$I79,$J79,0)))</f>
        <v/>
      </c>
      <c r="L79" s="305">
        <f>IF(E79&lt;=0,0,MIN(ROUND(E79*(1+E$26/12),2),E$27+IF(E$28=$I79,$J79,0)))</f>
        <v/>
      </c>
      <c r="M79" s="305">
        <f>IF(F79&lt;=0,0,MIN(ROUND(F79*(1+F$26/12),2),F$27+IF(F$28=$I79,$J79,0)))</f>
        <v/>
      </c>
      <c r="N79" s="305">
        <f>IF(G79&lt;=0,0,MIN(ROUND(G79*(1+G$26/12),2),G$27+IF(G$28=$I79,$J79,0)))</f>
        <v/>
      </c>
      <c r="O79" s="305">
        <f>IF(H79&lt;=0,0,MIN(ROUND(H79*(1+H$26/12),2),H$27+IF(H$28=$I79,$J79,0)))</f>
        <v/>
      </c>
      <c r="P79" s="305">
        <f>SUMPRODUCT($D79:$H79,$D$26:$H$26)/12</f>
        <v/>
      </c>
      <c r="Q79" s="305">
        <f>SUM($K79:$O79)</f>
        <v/>
      </c>
      <c r="R79" s="306">
        <f>SUM($D79:$H79)</f>
        <v/>
      </c>
      <c r="S79" s="1" t="n"/>
      <c r="T79" s="1" t="n"/>
      <c r="U79" s="1" t="n"/>
      <c r="V79" s="1" t="n"/>
      <c r="W79" s="1" t="n"/>
      <c r="X79" s="1" t="n"/>
      <c r="Y79" s="1" t="n"/>
      <c r="Z79" s="1" t="n"/>
    </row>
    <row r="80" ht="15.75" customHeight="1" s="311">
      <c r="A80" s="1" t="n"/>
      <c r="B80" s="303" t="n">
        <v>51</v>
      </c>
      <c r="C80" s="304">
        <f>EDATE(TODAY(),50)</f>
        <v/>
      </c>
      <c r="D80" s="305">
        <f>MAX(0,ROUND(D79*(1+D$26/12)-K79,2))</f>
        <v/>
      </c>
      <c r="E80" s="305">
        <f>MAX(0,ROUND(E79*(1+E$26/12)-L79,2))</f>
        <v/>
      </c>
      <c r="F80" s="305">
        <f>MAX(0,ROUND(F79*(1+F$26/12)-M79,2))</f>
        <v/>
      </c>
      <c r="G80" s="305">
        <f>MAX(0,ROUND(G79*(1+G$26/12)-N79,2))</f>
        <v/>
      </c>
      <c r="H80" s="305">
        <f>MAX(0,ROUND(H79*(1+H$26/12)-O79,2))</f>
        <v/>
      </c>
      <c r="I80" s="303">
        <f>IF(SUMPRODUCT(($D$28:$H$28=1)*($D80:$H80&gt;0))&gt;0,1,IF(SUMPRODUCT(($D$28:$H$28=2)*($D80:$H80&gt;0))&gt;0,2,IF(SUMPRODUCT(($D$28:$H$28=3)*($D80:$H80&gt;0))&gt;0,3,IF(SUMPRODUCT(($D$28:$H$28=4)*($D80:$H80&gt;0))&gt;0,4,IF(SUMPRODUCT(($D$28:$H$28=5)*($D80:$H80&gt;0))&gt;0,5,0)))))</f>
        <v/>
      </c>
      <c r="J80" s="305">
        <f>$D$21+SUMPRODUCT(($D80:$H80=0)*$D$27:$H$27)</f>
        <v/>
      </c>
      <c r="K80" s="305">
        <f>IF(D80&lt;=0,0,MIN(ROUND(D80*(1+D$26/12),2),D$27+IF(D$28=$I80,$J80,0)))</f>
        <v/>
      </c>
      <c r="L80" s="305">
        <f>IF(E80&lt;=0,0,MIN(ROUND(E80*(1+E$26/12),2),E$27+IF(E$28=$I80,$J80,0)))</f>
        <v/>
      </c>
      <c r="M80" s="305">
        <f>IF(F80&lt;=0,0,MIN(ROUND(F80*(1+F$26/12),2),F$27+IF(F$28=$I80,$J80,0)))</f>
        <v/>
      </c>
      <c r="N80" s="305">
        <f>IF(G80&lt;=0,0,MIN(ROUND(G80*(1+G$26/12),2),G$27+IF(G$28=$I80,$J80,0)))</f>
        <v/>
      </c>
      <c r="O80" s="305">
        <f>IF(H80&lt;=0,0,MIN(ROUND(H80*(1+H$26/12),2),H$27+IF(H$28=$I80,$J80,0)))</f>
        <v/>
      </c>
      <c r="P80" s="305">
        <f>SUMPRODUCT($D80:$H80,$D$26:$H$26)/12</f>
        <v/>
      </c>
      <c r="Q80" s="305">
        <f>SUM($K80:$O80)</f>
        <v/>
      </c>
      <c r="R80" s="306">
        <f>SUM($D80:$H80)</f>
        <v/>
      </c>
      <c r="S80" s="1" t="n"/>
      <c r="T80" s="1" t="n"/>
      <c r="U80" s="1" t="n"/>
      <c r="V80" s="1" t="n"/>
      <c r="W80" s="1" t="n"/>
      <c r="X80" s="1" t="n"/>
      <c r="Y80" s="1" t="n"/>
      <c r="Z80" s="1" t="n"/>
    </row>
    <row r="81" ht="15.75" customHeight="1" s="311">
      <c r="A81" s="1" t="n"/>
      <c r="B81" s="303" t="n">
        <v>52</v>
      </c>
      <c r="C81" s="304">
        <f>EDATE(TODAY(),51)</f>
        <v/>
      </c>
      <c r="D81" s="305">
        <f>MAX(0,ROUND(D80*(1+D$26/12)-K80,2))</f>
        <v/>
      </c>
      <c r="E81" s="305">
        <f>MAX(0,ROUND(E80*(1+E$26/12)-L80,2))</f>
        <v/>
      </c>
      <c r="F81" s="305">
        <f>MAX(0,ROUND(F80*(1+F$26/12)-M80,2))</f>
        <v/>
      </c>
      <c r="G81" s="305">
        <f>MAX(0,ROUND(G80*(1+G$26/12)-N80,2))</f>
        <v/>
      </c>
      <c r="H81" s="305">
        <f>MAX(0,ROUND(H80*(1+H$26/12)-O80,2))</f>
        <v/>
      </c>
      <c r="I81" s="303">
        <f>IF(SUMPRODUCT(($D$28:$H$28=1)*($D81:$H81&gt;0))&gt;0,1,IF(SUMPRODUCT(($D$28:$H$28=2)*($D81:$H81&gt;0))&gt;0,2,IF(SUMPRODUCT(($D$28:$H$28=3)*($D81:$H81&gt;0))&gt;0,3,IF(SUMPRODUCT(($D$28:$H$28=4)*($D81:$H81&gt;0))&gt;0,4,IF(SUMPRODUCT(($D$28:$H$28=5)*($D81:$H81&gt;0))&gt;0,5,0)))))</f>
        <v/>
      </c>
      <c r="J81" s="305">
        <f>$D$21+SUMPRODUCT(($D81:$H81=0)*$D$27:$H$27)</f>
        <v/>
      </c>
      <c r="K81" s="305">
        <f>IF(D81&lt;=0,0,MIN(ROUND(D81*(1+D$26/12),2),D$27+IF(D$28=$I81,$J81,0)))</f>
        <v/>
      </c>
      <c r="L81" s="305">
        <f>IF(E81&lt;=0,0,MIN(ROUND(E81*(1+E$26/12),2),E$27+IF(E$28=$I81,$J81,0)))</f>
        <v/>
      </c>
      <c r="M81" s="305">
        <f>IF(F81&lt;=0,0,MIN(ROUND(F81*(1+F$26/12),2),F$27+IF(F$28=$I81,$J81,0)))</f>
        <v/>
      </c>
      <c r="N81" s="305">
        <f>IF(G81&lt;=0,0,MIN(ROUND(G81*(1+G$26/12),2),G$27+IF(G$28=$I81,$J81,0)))</f>
        <v/>
      </c>
      <c r="O81" s="305">
        <f>IF(H81&lt;=0,0,MIN(ROUND(H81*(1+H$26/12),2),H$27+IF(H$28=$I81,$J81,0)))</f>
        <v/>
      </c>
      <c r="P81" s="305">
        <f>SUMPRODUCT($D81:$H81,$D$26:$H$26)/12</f>
        <v/>
      </c>
      <c r="Q81" s="305">
        <f>SUM($K81:$O81)</f>
        <v/>
      </c>
      <c r="R81" s="306">
        <f>SUM($D81:$H81)</f>
        <v/>
      </c>
      <c r="S81" s="1" t="n"/>
      <c r="T81" s="1" t="n"/>
      <c r="U81" s="1" t="n"/>
      <c r="V81" s="1" t="n"/>
      <c r="W81" s="1" t="n"/>
      <c r="X81" s="1" t="n"/>
      <c r="Y81" s="1" t="n"/>
      <c r="Z81" s="1" t="n"/>
    </row>
    <row r="82" ht="15.75" customHeight="1" s="311">
      <c r="A82" s="1" t="n"/>
      <c r="B82" s="303" t="n">
        <v>53</v>
      </c>
      <c r="C82" s="304">
        <f>EDATE(TODAY(),52)</f>
        <v/>
      </c>
      <c r="D82" s="305">
        <f>MAX(0,ROUND(D81*(1+D$26/12)-K81,2))</f>
        <v/>
      </c>
      <c r="E82" s="305">
        <f>MAX(0,ROUND(E81*(1+E$26/12)-L81,2))</f>
        <v/>
      </c>
      <c r="F82" s="305">
        <f>MAX(0,ROUND(F81*(1+F$26/12)-M81,2))</f>
        <v/>
      </c>
      <c r="G82" s="305">
        <f>MAX(0,ROUND(G81*(1+G$26/12)-N81,2))</f>
        <v/>
      </c>
      <c r="H82" s="305">
        <f>MAX(0,ROUND(H81*(1+H$26/12)-O81,2))</f>
        <v/>
      </c>
      <c r="I82" s="303">
        <f>IF(SUMPRODUCT(($D$28:$H$28=1)*($D82:$H82&gt;0))&gt;0,1,IF(SUMPRODUCT(($D$28:$H$28=2)*($D82:$H82&gt;0))&gt;0,2,IF(SUMPRODUCT(($D$28:$H$28=3)*($D82:$H82&gt;0))&gt;0,3,IF(SUMPRODUCT(($D$28:$H$28=4)*($D82:$H82&gt;0))&gt;0,4,IF(SUMPRODUCT(($D$28:$H$28=5)*($D82:$H82&gt;0))&gt;0,5,0)))))</f>
        <v/>
      </c>
      <c r="J82" s="305">
        <f>$D$21+SUMPRODUCT(($D82:$H82=0)*$D$27:$H$27)</f>
        <v/>
      </c>
      <c r="K82" s="305">
        <f>IF(D82&lt;=0,0,MIN(ROUND(D82*(1+D$26/12),2),D$27+IF(D$28=$I82,$J82,0)))</f>
        <v/>
      </c>
      <c r="L82" s="305">
        <f>IF(E82&lt;=0,0,MIN(ROUND(E82*(1+E$26/12),2),E$27+IF(E$28=$I82,$J82,0)))</f>
        <v/>
      </c>
      <c r="M82" s="305">
        <f>IF(F82&lt;=0,0,MIN(ROUND(F82*(1+F$26/12),2),F$27+IF(F$28=$I82,$J82,0)))</f>
        <v/>
      </c>
      <c r="N82" s="305">
        <f>IF(G82&lt;=0,0,MIN(ROUND(G82*(1+G$26/12),2),G$27+IF(G$28=$I82,$J82,0)))</f>
        <v/>
      </c>
      <c r="O82" s="305">
        <f>IF(H82&lt;=0,0,MIN(ROUND(H82*(1+H$26/12),2),H$27+IF(H$28=$I82,$J82,0)))</f>
        <v/>
      </c>
      <c r="P82" s="305">
        <f>SUMPRODUCT($D82:$H82,$D$26:$H$26)/12</f>
        <v/>
      </c>
      <c r="Q82" s="305">
        <f>SUM($K82:$O82)</f>
        <v/>
      </c>
      <c r="R82" s="306">
        <f>SUM($D82:$H82)</f>
        <v/>
      </c>
      <c r="S82" s="1" t="n"/>
      <c r="T82" s="1" t="n"/>
      <c r="U82" s="1" t="n"/>
      <c r="V82" s="1" t="n"/>
      <c r="W82" s="1" t="n"/>
      <c r="X82" s="1" t="n"/>
      <c r="Y82" s="1" t="n"/>
      <c r="Z82" s="1" t="n"/>
    </row>
    <row r="83" ht="15.75" customHeight="1" s="311">
      <c r="A83" s="1" t="n"/>
      <c r="B83" s="303" t="n">
        <v>54</v>
      </c>
      <c r="C83" s="304">
        <f>EDATE(TODAY(),53)</f>
        <v/>
      </c>
      <c r="D83" s="305">
        <f>MAX(0,ROUND(D82*(1+D$26/12)-K82,2))</f>
        <v/>
      </c>
      <c r="E83" s="305">
        <f>MAX(0,ROUND(E82*(1+E$26/12)-L82,2))</f>
        <v/>
      </c>
      <c r="F83" s="305">
        <f>MAX(0,ROUND(F82*(1+F$26/12)-M82,2))</f>
        <v/>
      </c>
      <c r="G83" s="305">
        <f>MAX(0,ROUND(G82*(1+G$26/12)-N82,2))</f>
        <v/>
      </c>
      <c r="H83" s="305">
        <f>MAX(0,ROUND(H82*(1+H$26/12)-O82,2))</f>
        <v/>
      </c>
      <c r="I83" s="303">
        <f>IF(SUMPRODUCT(($D$28:$H$28=1)*($D83:$H83&gt;0))&gt;0,1,IF(SUMPRODUCT(($D$28:$H$28=2)*($D83:$H83&gt;0))&gt;0,2,IF(SUMPRODUCT(($D$28:$H$28=3)*($D83:$H83&gt;0))&gt;0,3,IF(SUMPRODUCT(($D$28:$H$28=4)*($D83:$H83&gt;0))&gt;0,4,IF(SUMPRODUCT(($D$28:$H$28=5)*($D83:$H83&gt;0))&gt;0,5,0)))))</f>
        <v/>
      </c>
      <c r="J83" s="305">
        <f>$D$21+SUMPRODUCT(($D83:$H83=0)*$D$27:$H$27)</f>
        <v/>
      </c>
      <c r="K83" s="305">
        <f>IF(D83&lt;=0,0,MIN(ROUND(D83*(1+D$26/12),2),D$27+IF(D$28=$I83,$J83,0)))</f>
        <v/>
      </c>
      <c r="L83" s="305">
        <f>IF(E83&lt;=0,0,MIN(ROUND(E83*(1+E$26/12),2),E$27+IF(E$28=$I83,$J83,0)))</f>
        <v/>
      </c>
      <c r="M83" s="305">
        <f>IF(F83&lt;=0,0,MIN(ROUND(F83*(1+F$26/12),2),F$27+IF(F$28=$I83,$J83,0)))</f>
        <v/>
      </c>
      <c r="N83" s="305">
        <f>IF(G83&lt;=0,0,MIN(ROUND(G83*(1+G$26/12),2),G$27+IF(G$28=$I83,$J83,0)))</f>
        <v/>
      </c>
      <c r="O83" s="305">
        <f>IF(H83&lt;=0,0,MIN(ROUND(H83*(1+H$26/12),2),H$27+IF(H$28=$I83,$J83,0)))</f>
        <v/>
      </c>
      <c r="P83" s="305">
        <f>SUMPRODUCT($D83:$H83,$D$26:$H$26)/12</f>
        <v/>
      </c>
      <c r="Q83" s="305">
        <f>SUM($K83:$O83)</f>
        <v/>
      </c>
      <c r="R83" s="306">
        <f>SUM($D83:$H83)</f>
        <v/>
      </c>
      <c r="S83" s="1" t="n"/>
      <c r="T83" s="1" t="n"/>
      <c r="U83" s="1" t="n"/>
      <c r="V83" s="1" t="n"/>
      <c r="W83" s="1" t="n"/>
      <c r="X83" s="1" t="n"/>
      <c r="Y83" s="1" t="n"/>
      <c r="Z83" s="1" t="n"/>
    </row>
    <row r="84" ht="15.75" customHeight="1" s="311">
      <c r="A84" s="1" t="n"/>
      <c r="B84" s="303" t="n">
        <v>55</v>
      </c>
      <c r="C84" s="304">
        <f>EDATE(TODAY(),54)</f>
        <v/>
      </c>
      <c r="D84" s="305">
        <f>MAX(0,ROUND(D83*(1+D$26/12)-K83,2))</f>
        <v/>
      </c>
      <c r="E84" s="305">
        <f>MAX(0,ROUND(E83*(1+E$26/12)-L83,2))</f>
        <v/>
      </c>
      <c r="F84" s="305">
        <f>MAX(0,ROUND(F83*(1+F$26/12)-M83,2))</f>
        <v/>
      </c>
      <c r="G84" s="305">
        <f>MAX(0,ROUND(G83*(1+G$26/12)-N83,2))</f>
        <v/>
      </c>
      <c r="H84" s="305">
        <f>MAX(0,ROUND(H83*(1+H$26/12)-O83,2))</f>
        <v/>
      </c>
      <c r="I84" s="303">
        <f>IF(SUMPRODUCT(($D$28:$H$28=1)*($D84:$H84&gt;0))&gt;0,1,IF(SUMPRODUCT(($D$28:$H$28=2)*($D84:$H84&gt;0))&gt;0,2,IF(SUMPRODUCT(($D$28:$H$28=3)*($D84:$H84&gt;0))&gt;0,3,IF(SUMPRODUCT(($D$28:$H$28=4)*($D84:$H84&gt;0))&gt;0,4,IF(SUMPRODUCT(($D$28:$H$28=5)*($D84:$H84&gt;0))&gt;0,5,0)))))</f>
        <v/>
      </c>
      <c r="J84" s="305">
        <f>$D$21+SUMPRODUCT(($D84:$H84=0)*$D$27:$H$27)</f>
        <v/>
      </c>
      <c r="K84" s="305">
        <f>IF(D84&lt;=0,0,MIN(ROUND(D84*(1+D$26/12),2),D$27+IF(D$28=$I84,$J84,0)))</f>
        <v/>
      </c>
      <c r="L84" s="305">
        <f>IF(E84&lt;=0,0,MIN(ROUND(E84*(1+E$26/12),2),E$27+IF(E$28=$I84,$J84,0)))</f>
        <v/>
      </c>
      <c r="M84" s="305">
        <f>IF(F84&lt;=0,0,MIN(ROUND(F84*(1+F$26/12),2),F$27+IF(F$28=$I84,$J84,0)))</f>
        <v/>
      </c>
      <c r="N84" s="305">
        <f>IF(G84&lt;=0,0,MIN(ROUND(G84*(1+G$26/12),2),G$27+IF(G$28=$I84,$J84,0)))</f>
        <v/>
      </c>
      <c r="O84" s="305">
        <f>IF(H84&lt;=0,0,MIN(ROUND(H84*(1+H$26/12),2),H$27+IF(H$28=$I84,$J84,0)))</f>
        <v/>
      </c>
      <c r="P84" s="305">
        <f>SUMPRODUCT($D84:$H84,$D$26:$H$26)/12</f>
        <v/>
      </c>
      <c r="Q84" s="305">
        <f>SUM($K84:$O84)</f>
        <v/>
      </c>
      <c r="R84" s="306">
        <f>SUM($D84:$H84)</f>
        <v/>
      </c>
      <c r="S84" s="1" t="n"/>
      <c r="T84" s="1" t="n"/>
      <c r="U84" s="1" t="n"/>
      <c r="V84" s="1" t="n"/>
      <c r="W84" s="1" t="n"/>
      <c r="X84" s="1" t="n"/>
      <c r="Y84" s="1" t="n"/>
      <c r="Z84" s="1" t="n"/>
    </row>
    <row r="85" ht="15.75" customHeight="1" s="311">
      <c r="A85" s="1" t="n"/>
      <c r="B85" s="303" t="n">
        <v>56</v>
      </c>
      <c r="C85" s="304">
        <f>EDATE(TODAY(),55)</f>
        <v/>
      </c>
      <c r="D85" s="305">
        <f>MAX(0,ROUND(D84*(1+D$26/12)-K84,2))</f>
        <v/>
      </c>
      <c r="E85" s="305">
        <f>MAX(0,ROUND(E84*(1+E$26/12)-L84,2))</f>
        <v/>
      </c>
      <c r="F85" s="305">
        <f>MAX(0,ROUND(F84*(1+F$26/12)-M84,2))</f>
        <v/>
      </c>
      <c r="G85" s="305">
        <f>MAX(0,ROUND(G84*(1+G$26/12)-N84,2))</f>
        <v/>
      </c>
      <c r="H85" s="305">
        <f>MAX(0,ROUND(H84*(1+H$26/12)-O84,2))</f>
        <v/>
      </c>
      <c r="I85" s="303">
        <f>IF(SUMPRODUCT(($D$28:$H$28=1)*($D85:$H85&gt;0))&gt;0,1,IF(SUMPRODUCT(($D$28:$H$28=2)*($D85:$H85&gt;0))&gt;0,2,IF(SUMPRODUCT(($D$28:$H$28=3)*($D85:$H85&gt;0))&gt;0,3,IF(SUMPRODUCT(($D$28:$H$28=4)*($D85:$H85&gt;0))&gt;0,4,IF(SUMPRODUCT(($D$28:$H$28=5)*($D85:$H85&gt;0))&gt;0,5,0)))))</f>
        <v/>
      </c>
      <c r="J85" s="305">
        <f>$D$21+SUMPRODUCT(($D85:$H85=0)*$D$27:$H$27)</f>
        <v/>
      </c>
      <c r="K85" s="305">
        <f>IF(D85&lt;=0,0,MIN(ROUND(D85*(1+D$26/12),2),D$27+IF(D$28=$I85,$J85,0)))</f>
        <v/>
      </c>
      <c r="L85" s="305">
        <f>IF(E85&lt;=0,0,MIN(ROUND(E85*(1+E$26/12),2),E$27+IF(E$28=$I85,$J85,0)))</f>
        <v/>
      </c>
      <c r="M85" s="305">
        <f>IF(F85&lt;=0,0,MIN(ROUND(F85*(1+F$26/12),2),F$27+IF(F$28=$I85,$J85,0)))</f>
        <v/>
      </c>
      <c r="N85" s="305">
        <f>IF(G85&lt;=0,0,MIN(ROUND(G85*(1+G$26/12),2),G$27+IF(G$28=$I85,$J85,0)))</f>
        <v/>
      </c>
      <c r="O85" s="305">
        <f>IF(H85&lt;=0,0,MIN(ROUND(H85*(1+H$26/12),2),H$27+IF(H$28=$I85,$J85,0)))</f>
        <v/>
      </c>
      <c r="P85" s="305">
        <f>SUMPRODUCT($D85:$H85,$D$26:$H$26)/12</f>
        <v/>
      </c>
      <c r="Q85" s="305">
        <f>SUM($K85:$O85)</f>
        <v/>
      </c>
      <c r="R85" s="306">
        <f>SUM($D85:$H85)</f>
        <v/>
      </c>
      <c r="S85" s="1" t="n"/>
      <c r="T85" s="1" t="n"/>
      <c r="U85" s="1" t="n"/>
      <c r="V85" s="1" t="n"/>
      <c r="W85" s="1" t="n"/>
      <c r="X85" s="1" t="n"/>
      <c r="Y85" s="1" t="n"/>
      <c r="Z85" s="1" t="n"/>
    </row>
    <row r="86" ht="15.75" customHeight="1" s="311">
      <c r="A86" s="1" t="n"/>
      <c r="B86" s="303" t="n">
        <v>57</v>
      </c>
      <c r="C86" s="304">
        <f>EDATE(TODAY(),56)</f>
        <v/>
      </c>
      <c r="D86" s="305">
        <f>MAX(0,ROUND(D85*(1+D$26/12)-K85,2))</f>
        <v/>
      </c>
      <c r="E86" s="305">
        <f>MAX(0,ROUND(E85*(1+E$26/12)-L85,2))</f>
        <v/>
      </c>
      <c r="F86" s="305">
        <f>MAX(0,ROUND(F85*(1+F$26/12)-M85,2))</f>
        <v/>
      </c>
      <c r="G86" s="305">
        <f>MAX(0,ROUND(G85*(1+G$26/12)-N85,2))</f>
        <v/>
      </c>
      <c r="H86" s="305">
        <f>MAX(0,ROUND(H85*(1+H$26/12)-O85,2))</f>
        <v/>
      </c>
      <c r="I86" s="303">
        <f>IF(SUMPRODUCT(($D$28:$H$28=1)*($D86:$H86&gt;0))&gt;0,1,IF(SUMPRODUCT(($D$28:$H$28=2)*($D86:$H86&gt;0))&gt;0,2,IF(SUMPRODUCT(($D$28:$H$28=3)*($D86:$H86&gt;0))&gt;0,3,IF(SUMPRODUCT(($D$28:$H$28=4)*($D86:$H86&gt;0))&gt;0,4,IF(SUMPRODUCT(($D$28:$H$28=5)*($D86:$H86&gt;0))&gt;0,5,0)))))</f>
        <v/>
      </c>
      <c r="J86" s="305">
        <f>$D$21+SUMPRODUCT(($D86:$H86=0)*$D$27:$H$27)</f>
        <v/>
      </c>
      <c r="K86" s="305">
        <f>IF(D86&lt;=0,0,MIN(ROUND(D86*(1+D$26/12),2),D$27+IF(D$28=$I86,$J86,0)))</f>
        <v/>
      </c>
      <c r="L86" s="305">
        <f>IF(E86&lt;=0,0,MIN(ROUND(E86*(1+E$26/12),2),E$27+IF(E$28=$I86,$J86,0)))</f>
        <v/>
      </c>
      <c r="M86" s="305">
        <f>IF(F86&lt;=0,0,MIN(ROUND(F86*(1+F$26/12),2),F$27+IF(F$28=$I86,$J86,0)))</f>
        <v/>
      </c>
      <c r="N86" s="305">
        <f>IF(G86&lt;=0,0,MIN(ROUND(G86*(1+G$26/12),2),G$27+IF(G$28=$I86,$J86,0)))</f>
        <v/>
      </c>
      <c r="O86" s="305">
        <f>IF(H86&lt;=0,0,MIN(ROUND(H86*(1+H$26/12),2),H$27+IF(H$28=$I86,$J86,0)))</f>
        <v/>
      </c>
      <c r="P86" s="305">
        <f>SUMPRODUCT($D86:$H86,$D$26:$H$26)/12</f>
        <v/>
      </c>
      <c r="Q86" s="305">
        <f>SUM($K86:$O86)</f>
        <v/>
      </c>
      <c r="R86" s="306">
        <f>SUM($D86:$H86)</f>
        <v/>
      </c>
      <c r="S86" s="1" t="n"/>
      <c r="T86" s="1" t="n"/>
      <c r="U86" s="1" t="n"/>
      <c r="V86" s="1" t="n"/>
      <c r="W86" s="1" t="n"/>
      <c r="X86" s="1" t="n"/>
      <c r="Y86" s="1" t="n"/>
      <c r="Z86" s="1" t="n"/>
    </row>
    <row r="87" ht="15.75" customHeight="1" s="311">
      <c r="A87" s="1" t="n"/>
      <c r="B87" s="303" t="n">
        <v>58</v>
      </c>
      <c r="C87" s="304">
        <f>EDATE(TODAY(),57)</f>
        <v/>
      </c>
      <c r="D87" s="305">
        <f>MAX(0,ROUND(D86*(1+D$26/12)-K86,2))</f>
        <v/>
      </c>
      <c r="E87" s="305">
        <f>MAX(0,ROUND(E86*(1+E$26/12)-L86,2))</f>
        <v/>
      </c>
      <c r="F87" s="305">
        <f>MAX(0,ROUND(F86*(1+F$26/12)-M86,2))</f>
        <v/>
      </c>
      <c r="G87" s="305">
        <f>MAX(0,ROUND(G86*(1+G$26/12)-N86,2))</f>
        <v/>
      </c>
      <c r="H87" s="305">
        <f>MAX(0,ROUND(H86*(1+H$26/12)-O86,2))</f>
        <v/>
      </c>
      <c r="I87" s="303">
        <f>IF(SUMPRODUCT(($D$28:$H$28=1)*($D87:$H87&gt;0))&gt;0,1,IF(SUMPRODUCT(($D$28:$H$28=2)*($D87:$H87&gt;0))&gt;0,2,IF(SUMPRODUCT(($D$28:$H$28=3)*($D87:$H87&gt;0))&gt;0,3,IF(SUMPRODUCT(($D$28:$H$28=4)*($D87:$H87&gt;0))&gt;0,4,IF(SUMPRODUCT(($D$28:$H$28=5)*($D87:$H87&gt;0))&gt;0,5,0)))))</f>
        <v/>
      </c>
      <c r="J87" s="305">
        <f>$D$21+SUMPRODUCT(($D87:$H87=0)*$D$27:$H$27)</f>
        <v/>
      </c>
      <c r="K87" s="305">
        <f>IF(D87&lt;=0,0,MIN(ROUND(D87*(1+D$26/12),2),D$27+IF(D$28=$I87,$J87,0)))</f>
        <v/>
      </c>
      <c r="L87" s="305">
        <f>IF(E87&lt;=0,0,MIN(ROUND(E87*(1+E$26/12),2),E$27+IF(E$28=$I87,$J87,0)))</f>
        <v/>
      </c>
      <c r="M87" s="305">
        <f>IF(F87&lt;=0,0,MIN(ROUND(F87*(1+F$26/12),2),F$27+IF(F$28=$I87,$J87,0)))</f>
        <v/>
      </c>
      <c r="N87" s="305">
        <f>IF(G87&lt;=0,0,MIN(ROUND(G87*(1+G$26/12),2),G$27+IF(G$28=$I87,$J87,0)))</f>
        <v/>
      </c>
      <c r="O87" s="305">
        <f>IF(H87&lt;=0,0,MIN(ROUND(H87*(1+H$26/12),2),H$27+IF(H$28=$I87,$J87,0)))</f>
        <v/>
      </c>
      <c r="P87" s="305">
        <f>SUMPRODUCT($D87:$H87,$D$26:$H$26)/12</f>
        <v/>
      </c>
      <c r="Q87" s="305">
        <f>SUM($K87:$O87)</f>
        <v/>
      </c>
      <c r="R87" s="306">
        <f>SUM($D87:$H87)</f>
        <v/>
      </c>
      <c r="S87" s="1" t="n"/>
      <c r="T87" s="1" t="n"/>
      <c r="U87" s="1" t="n"/>
      <c r="V87" s="1" t="n"/>
      <c r="W87" s="1" t="n"/>
      <c r="X87" s="1" t="n"/>
      <c r="Y87" s="1" t="n"/>
      <c r="Z87" s="1" t="n"/>
    </row>
    <row r="88" ht="15.75" customHeight="1" s="311">
      <c r="A88" s="1" t="n"/>
      <c r="B88" s="303" t="n">
        <v>59</v>
      </c>
      <c r="C88" s="304">
        <f>EDATE(TODAY(),58)</f>
        <v/>
      </c>
      <c r="D88" s="305">
        <f>MAX(0,ROUND(D87*(1+D$26/12)-K87,2))</f>
        <v/>
      </c>
      <c r="E88" s="305">
        <f>MAX(0,ROUND(E87*(1+E$26/12)-L87,2))</f>
        <v/>
      </c>
      <c r="F88" s="305">
        <f>MAX(0,ROUND(F87*(1+F$26/12)-M87,2))</f>
        <v/>
      </c>
      <c r="G88" s="305">
        <f>MAX(0,ROUND(G87*(1+G$26/12)-N87,2))</f>
        <v/>
      </c>
      <c r="H88" s="305">
        <f>MAX(0,ROUND(H87*(1+H$26/12)-O87,2))</f>
        <v/>
      </c>
      <c r="I88" s="303">
        <f>IF(SUMPRODUCT(($D$28:$H$28=1)*($D88:$H88&gt;0))&gt;0,1,IF(SUMPRODUCT(($D$28:$H$28=2)*($D88:$H88&gt;0))&gt;0,2,IF(SUMPRODUCT(($D$28:$H$28=3)*($D88:$H88&gt;0))&gt;0,3,IF(SUMPRODUCT(($D$28:$H$28=4)*($D88:$H88&gt;0))&gt;0,4,IF(SUMPRODUCT(($D$28:$H$28=5)*($D88:$H88&gt;0))&gt;0,5,0)))))</f>
        <v/>
      </c>
      <c r="J88" s="305">
        <f>$D$21+SUMPRODUCT(($D88:$H88=0)*$D$27:$H$27)</f>
        <v/>
      </c>
      <c r="K88" s="305">
        <f>IF(D88&lt;=0,0,MIN(ROUND(D88*(1+D$26/12),2),D$27+IF(D$28=$I88,$J88,0)))</f>
        <v/>
      </c>
      <c r="L88" s="305">
        <f>IF(E88&lt;=0,0,MIN(ROUND(E88*(1+E$26/12),2),E$27+IF(E$28=$I88,$J88,0)))</f>
        <v/>
      </c>
      <c r="M88" s="305">
        <f>IF(F88&lt;=0,0,MIN(ROUND(F88*(1+F$26/12),2),F$27+IF(F$28=$I88,$J88,0)))</f>
        <v/>
      </c>
      <c r="N88" s="305">
        <f>IF(G88&lt;=0,0,MIN(ROUND(G88*(1+G$26/12),2),G$27+IF(G$28=$I88,$J88,0)))</f>
        <v/>
      </c>
      <c r="O88" s="305">
        <f>IF(H88&lt;=0,0,MIN(ROUND(H88*(1+H$26/12),2),H$27+IF(H$28=$I88,$J88,0)))</f>
        <v/>
      </c>
      <c r="P88" s="305">
        <f>SUMPRODUCT($D88:$H88,$D$26:$H$26)/12</f>
        <v/>
      </c>
      <c r="Q88" s="305">
        <f>SUM($K88:$O88)</f>
        <v/>
      </c>
      <c r="R88" s="306">
        <f>SUM($D88:$H88)</f>
        <v/>
      </c>
      <c r="S88" s="1" t="n"/>
      <c r="T88" s="1" t="n"/>
      <c r="U88" s="1" t="n"/>
      <c r="V88" s="1" t="n"/>
      <c r="W88" s="1" t="n"/>
      <c r="X88" s="1" t="n"/>
      <c r="Y88" s="1" t="n"/>
      <c r="Z88" s="1" t="n"/>
    </row>
    <row r="89" ht="15.75" customHeight="1" s="311">
      <c r="A89" s="1" t="n"/>
      <c r="B89" s="303" t="n">
        <v>60</v>
      </c>
      <c r="C89" s="304">
        <f>EDATE(TODAY(),59)</f>
        <v/>
      </c>
      <c r="D89" s="305">
        <f>MAX(0,ROUND(D88*(1+D$26/12)-K88,2))</f>
        <v/>
      </c>
      <c r="E89" s="305">
        <f>MAX(0,ROUND(E88*(1+E$26/12)-L88,2))</f>
        <v/>
      </c>
      <c r="F89" s="305">
        <f>MAX(0,ROUND(F88*(1+F$26/12)-M88,2))</f>
        <v/>
      </c>
      <c r="G89" s="305">
        <f>MAX(0,ROUND(G88*(1+G$26/12)-N88,2))</f>
        <v/>
      </c>
      <c r="H89" s="305">
        <f>MAX(0,ROUND(H88*(1+H$26/12)-O88,2))</f>
        <v/>
      </c>
      <c r="I89" s="303">
        <f>IF(SUMPRODUCT(($D$28:$H$28=1)*($D89:$H89&gt;0))&gt;0,1,IF(SUMPRODUCT(($D$28:$H$28=2)*($D89:$H89&gt;0))&gt;0,2,IF(SUMPRODUCT(($D$28:$H$28=3)*($D89:$H89&gt;0))&gt;0,3,IF(SUMPRODUCT(($D$28:$H$28=4)*($D89:$H89&gt;0))&gt;0,4,IF(SUMPRODUCT(($D$28:$H$28=5)*($D89:$H89&gt;0))&gt;0,5,0)))))</f>
        <v/>
      </c>
      <c r="J89" s="305">
        <f>$D$21+SUMPRODUCT(($D89:$H89=0)*$D$27:$H$27)</f>
        <v/>
      </c>
      <c r="K89" s="305">
        <f>IF(D89&lt;=0,0,MIN(ROUND(D89*(1+D$26/12),2),D$27+IF(D$28=$I89,$J89,0)))</f>
        <v/>
      </c>
      <c r="L89" s="305">
        <f>IF(E89&lt;=0,0,MIN(ROUND(E89*(1+E$26/12),2),E$27+IF(E$28=$I89,$J89,0)))</f>
        <v/>
      </c>
      <c r="M89" s="305">
        <f>IF(F89&lt;=0,0,MIN(ROUND(F89*(1+F$26/12),2),F$27+IF(F$28=$I89,$J89,0)))</f>
        <v/>
      </c>
      <c r="N89" s="305">
        <f>IF(G89&lt;=0,0,MIN(ROUND(G89*(1+G$26/12),2),G$27+IF(G$28=$I89,$J89,0)))</f>
        <v/>
      </c>
      <c r="O89" s="305">
        <f>IF(H89&lt;=0,0,MIN(ROUND(H89*(1+H$26/12),2),H$27+IF(H$28=$I89,$J89,0)))</f>
        <v/>
      </c>
      <c r="P89" s="305">
        <f>SUMPRODUCT($D89:$H89,$D$26:$H$26)/12</f>
        <v/>
      </c>
      <c r="Q89" s="305">
        <f>SUM($K89:$O89)</f>
        <v/>
      </c>
      <c r="R89" s="306">
        <f>SUM($D89:$H89)</f>
        <v/>
      </c>
      <c r="S89" s="1" t="n"/>
      <c r="T89" s="1" t="n"/>
      <c r="U89" s="1" t="n"/>
      <c r="V89" s="1" t="n"/>
      <c r="W89" s="1" t="n"/>
      <c r="X89" s="1" t="n"/>
      <c r="Y89" s="1" t="n"/>
      <c r="Z89" s="1" t="n"/>
    </row>
    <row r="90" ht="15.75" customHeight="1" s="31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31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31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24" customHeight="1" s="311">
      <c r="A93" s="1" t="n"/>
      <c r="B93" s="10" t="inlineStr">
        <is>
          <t>C2.  BOLA DE NIEVE  —  primero la más pequeña</t>
        </is>
      </c>
      <c r="S93" s="1" t="n"/>
      <c r="T93" s="1" t="n"/>
      <c r="U93" s="1" t="n"/>
      <c r="V93" s="1" t="n"/>
      <c r="W93" s="1" t="n"/>
      <c r="X93" s="1" t="n"/>
      <c r="Y93" s="1" t="n"/>
      <c r="Z93" s="1" t="n"/>
    </row>
    <row r="94" ht="12" customHeight="1" s="311">
      <c r="A94" s="1" t="n"/>
      <c r="B94" s="1" t="n"/>
      <c r="C94" s="299" t="inlineStr">
        <is>
          <t>tipo anual →</t>
        </is>
      </c>
      <c r="D94" s="300">
        <f>$E$6</f>
        <v/>
      </c>
      <c r="E94" s="300">
        <f>$E$7</f>
        <v/>
      </c>
      <c r="F94" s="300">
        <f>$E$8</f>
        <v/>
      </c>
      <c r="G94" s="300">
        <f>$E$9</f>
        <v/>
      </c>
      <c r="H94" s="300">
        <f>$E$10</f>
        <v/>
      </c>
      <c r="I94" s="1" t="n"/>
      <c r="J94" s="1" t="n"/>
      <c r="K94" s="1" t="n"/>
      <c r="L94" s="1" t="n"/>
      <c r="M94" s="1" t="n"/>
      <c r="N94" s="1" t="n"/>
      <c r="O94" s="1" t="n"/>
      <c r="P94" s="1" t="n"/>
      <c r="Q94" s="1" t="n"/>
      <c r="R94" s="1" t="n"/>
      <c r="S94" s="1" t="n"/>
      <c r="T94" s="1" t="n"/>
      <c r="U94" s="1" t="n"/>
      <c r="V94" s="1" t="n"/>
      <c r="W94" s="1" t="n"/>
      <c r="X94" s="1" t="n"/>
      <c r="Y94" s="1" t="n"/>
      <c r="Z94" s="1" t="n"/>
    </row>
    <row r="95" ht="12" customHeight="1" s="311">
      <c r="A95" s="1" t="n"/>
      <c r="B95" s="1" t="n"/>
      <c r="C95" s="299" t="inlineStr">
        <is>
          <t>cuota mínima →</t>
        </is>
      </c>
      <c r="D95" s="301">
        <f>$F$6</f>
        <v/>
      </c>
      <c r="E95" s="301">
        <f>$F$7</f>
        <v/>
      </c>
      <c r="F95" s="301">
        <f>$F$8</f>
        <v/>
      </c>
      <c r="G95" s="301">
        <f>$F$9</f>
        <v/>
      </c>
      <c r="H95" s="301">
        <f>$F$10</f>
        <v/>
      </c>
      <c r="I95" s="1" t="n"/>
      <c r="J95" s="1" t="n"/>
      <c r="K95" s="1" t="n"/>
      <c r="L95" s="1" t="n"/>
      <c r="M95" s="1" t="n"/>
      <c r="N95" s="1" t="n"/>
      <c r="O95" s="1" t="n"/>
      <c r="P95" s="1" t="n"/>
      <c r="Q95" s="1" t="n"/>
      <c r="R95" s="1" t="n"/>
      <c r="S95" s="1" t="n"/>
      <c r="T95" s="1" t="n"/>
      <c r="U95" s="1" t="n"/>
      <c r="V95" s="1" t="n"/>
      <c r="W95" s="1" t="n"/>
      <c r="X95" s="1" t="n"/>
      <c r="Y95" s="1" t="n"/>
      <c r="Z95" s="1" t="n"/>
    </row>
    <row r="96" ht="12" customHeight="1" s="311">
      <c r="A96" s="1" t="n"/>
      <c r="B96" s="1" t="n"/>
      <c r="C96" s="299" t="inlineStr">
        <is>
          <t>orden de ataque →</t>
        </is>
      </c>
      <c r="D96" s="302">
        <f>$I$6</f>
        <v/>
      </c>
      <c r="E96" s="302">
        <f>$I$7</f>
        <v/>
      </c>
      <c r="F96" s="302">
        <f>$I$8</f>
        <v/>
      </c>
      <c r="G96" s="302">
        <f>$I$9</f>
        <v/>
      </c>
      <c r="H96" s="302">
        <f>$I$10</f>
        <v/>
      </c>
      <c r="I96" s="1" t="n"/>
      <c r="J96" s="1" t="n"/>
      <c r="K96" s="1" t="n"/>
      <c r="L96" s="1" t="n"/>
      <c r="M96" s="1" t="n"/>
      <c r="N96" s="1" t="n"/>
      <c r="O96" s="1" t="n"/>
      <c r="P96" s="1" t="n"/>
      <c r="Q96" s="1" t="n"/>
      <c r="R96" s="1" t="n"/>
      <c r="S96" s="1" t="n"/>
      <c r="T96" s="1" t="n"/>
      <c r="U96" s="1" t="n"/>
      <c r="V96" s="1" t="n"/>
      <c r="W96" s="1" t="n"/>
      <c r="X96" s="1" t="n"/>
      <c r="Y96" s="1" t="n"/>
      <c r="Z96" s="1" t="n"/>
    </row>
    <row r="97" ht="30" customHeight="1" s="311">
      <c r="A97" s="1" t="n"/>
      <c r="B97" s="11" t="inlineStr">
        <is>
          <t>Mes</t>
        </is>
      </c>
      <c r="C97" s="11" t="inlineStr">
        <is>
          <t>Fecha</t>
        </is>
      </c>
      <c r="D97" s="11" t="inlineStr">
        <is>
          <t>Saldo
1</t>
        </is>
      </c>
      <c r="E97" s="11" t="inlineStr">
        <is>
          <t>Saldo
2</t>
        </is>
      </c>
      <c r="F97" s="11" t="inlineStr">
        <is>
          <t>Saldo
3</t>
        </is>
      </c>
      <c r="G97" s="11" t="inlineStr">
        <is>
          <t>Saldo
4</t>
        </is>
      </c>
      <c r="H97" s="11" t="inlineStr">
        <is>
          <t>Saldo
5</t>
        </is>
      </c>
      <c r="I97" s="11" t="inlineStr">
        <is>
          <t>Objetivo</t>
        </is>
      </c>
      <c r="J97" s="11" t="inlineStr">
        <is>
          <t>Extra
disponible</t>
        </is>
      </c>
      <c r="K97" s="11" t="inlineStr">
        <is>
          <t>Pago
1</t>
        </is>
      </c>
      <c r="L97" s="11" t="inlineStr">
        <is>
          <t>Pago
2</t>
        </is>
      </c>
      <c r="M97" s="11" t="inlineStr">
        <is>
          <t>Pago
3</t>
        </is>
      </c>
      <c r="N97" s="11" t="inlineStr">
        <is>
          <t>Pago
4</t>
        </is>
      </c>
      <c r="O97" s="11" t="inlineStr">
        <is>
          <t>Pago
5</t>
        </is>
      </c>
      <c r="P97" s="11" t="inlineStr">
        <is>
          <t>Intereses
del mes</t>
        </is>
      </c>
      <c r="Q97" s="11" t="inlineStr">
        <is>
          <t>Pagado
total</t>
        </is>
      </c>
      <c r="R97" s="11" t="inlineStr">
        <is>
          <t>DEUDA TOTAL
(€)</t>
        </is>
      </c>
      <c r="S97" s="1" t="n"/>
      <c r="T97" s="1" t="n"/>
      <c r="U97" s="1" t="n"/>
      <c r="V97" s="1" t="n"/>
      <c r="W97" s="1" t="n"/>
      <c r="X97" s="1" t="n"/>
      <c r="Y97" s="1" t="n"/>
      <c r="Z97" s="1" t="n"/>
    </row>
    <row r="98" ht="15.75" customHeight="1" s="311">
      <c r="A98" s="1" t="n"/>
      <c r="B98" s="303" t="n">
        <v>1</v>
      </c>
      <c r="C98" s="304">
        <f>EDATE(TODAY(),0)</f>
        <v/>
      </c>
      <c r="D98" s="305">
        <f>$D$6</f>
        <v/>
      </c>
      <c r="E98" s="305">
        <f>$D$7</f>
        <v/>
      </c>
      <c r="F98" s="305">
        <f>$D$8</f>
        <v/>
      </c>
      <c r="G98" s="305">
        <f>$D$9</f>
        <v/>
      </c>
      <c r="H98" s="305">
        <f>$D$10</f>
        <v/>
      </c>
      <c r="I98" s="303">
        <f>IF(SUMPRODUCT(($D$96:$H$96=1)*($D98:$H98&gt;0))&gt;0,1,IF(SUMPRODUCT(($D$96:$H$96=2)*($D98:$H98&gt;0))&gt;0,2,IF(SUMPRODUCT(($D$96:$H$96=3)*($D98:$H98&gt;0))&gt;0,3,IF(SUMPRODUCT(($D$96:$H$96=4)*($D98:$H98&gt;0))&gt;0,4,IF(SUMPRODUCT(($D$96:$H$96=5)*($D98:$H98&gt;0))&gt;0,5,0)))))</f>
        <v/>
      </c>
      <c r="J98" s="305">
        <f>$D$21+SUMPRODUCT(($D98:$H98=0)*$D$95:$H$95)+$D$22</f>
        <v/>
      </c>
      <c r="K98" s="305">
        <f>IF(D98&lt;=0,0,MIN(ROUND(D98*(1+D$94/12),2),D$95+IF(D$96=$I98,$J98,0)))</f>
        <v/>
      </c>
      <c r="L98" s="305">
        <f>IF(E98&lt;=0,0,MIN(ROUND(E98*(1+E$94/12),2),E$95+IF(E$96=$I98,$J98,0)))</f>
        <v/>
      </c>
      <c r="M98" s="305">
        <f>IF(F98&lt;=0,0,MIN(ROUND(F98*(1+F$94/12),2),F$95+IF(F$96=$I98,$J98,0)))</f>
        <v/>
      </c>
      <c r="N98" s="305">
        <f>IF(G98&lt;=0,0,MIN(ROUND(G98*(1+G$94/12),2),G$95+IF(G$96=$I98,$J98,0)))</f>
        <v/>
      </c>
      <c r="O98" s="305">
        <f>IF(H98&lt;=0,0,MIN(ROUND(H98*(1+H$94/12),2),H$95+IF(H$96=$I98,$J98,0)))</f>
        <v/>
      </c>
      <c r="P98" s="305">
        <f>SUMPRODUCT($D98:$H98,$D$94:$H$94)/12</f>
        <v/>
      </c>
      <c r="Q98" s="305">
        <f>SUM($K98:$O98)</f>
        <v/>
      </c>
      <c r="R98" s="306">
        <f>SUM($D98:$H98)</f>
        <v/>
      </c>
      <c r="S98" s="1" t="n"/>
      <c r="T98" s="1" t="n"/>
      <c r="U98" s="1" t="n"/>
      <c r="V98" s="1" t="n"/>
      <c r="W98" s="1" t="n"/>
      <c r="X98" s="1" t="n"/>
      <c r="Y98" s="1" t="n"/>
      <c r="Z98" s="1" t="n"/>
    </row>
    <row r="99" ht="15.75" customHeight="1" s="311">
      <c r="A99" s="1" t="n"/>
      <c r="B99" s="303" t="n">
        <v>2</v>
      </c>
      <c r="C99" s="304">
        <f>EDATE(TODAY(),1)</f>
        <v/>
      </c>
      <c r="D99" s="305">
        <f>MAX(0,ROUND(D98*(1+D$94/12)-K98,2))</f>
        <v/>
      </c>
      <c r="E99" s="305">
        <f>MAX(0,ROUND(E98*(1+E$94/12)-L98,2))</f>
        <v/>
      </c>
      <c r="F99" s="305">
        <f>MAX(0,ROUND(F98*(1+F$94/12)-M98,2))</f>
        <v/>
      </c>
      <c r="G99" s="305">
        <f>MAX(0,ROUND(G98*(1+G$94/12)-N98,2))</f>
        <v/>
      </c>
      <c r="H99" s="305">
        <f>MAX(0,ROUND(H98*(1+H$94/12)-O98,2))</f>
        <v/>
      </c>
      <c r="I99" s="303">
        <f>IF(SUMPRODUCT(($D$96:$H$96=1)*($D99:$H99&gt;0))&gt;0,1,IF(SUMPRODUCT(($D$96:$H$96=2)*($D99:$H99&gt;0))&gt;0,2,IF(SUMPRODUCT(($D$96:$H$96=3)*($D99:$H99&gt;0))&gt;0,3,IF(SUMPRODUCT(($D$96:$H$96=4)*($D99:$H99&gt;0))&gt;0,4,IF(SUMPRODUCT(($D$96:$H$96=5)*($D99:$H99&gt;0))&gt;0,5,0)))))</f>
        <v/>
      </c>
      <c r="J99" s="305">
        <f>$D$21+SUMPRODUCT(($D99:$H99=0)*$D$95:$H$95)</f>
        <v/>
      </c>
      <c r="K99" s="305">
        <f>IF(D99&lt;=0,0,MIN(ROUND(D99*(1+D$94/12),2),D$95+IF(D$96=$I99,$J99,0)))</f>
        <v/>
      </c>
      <c r="L99" s="305">
        <f>IF(E99&lt;=0,0,MIN(ROUND(E99*(1+E$94/12),2),E$95+IF(E$96=$I99,$J99,0)))</f>
        <v/>
      </c>
      <c r="M99" s="305">
        <f>IF(F99&lt;=0,0,MIN(ROUND(F99*(1+F$94/12),2),F$95+IF(F$96=$I99,$J99,0)))</f>
        <v/>
      </c>
      <c r="N99" s="305">
        <f>IF(G99&lt;=0,0,MIN(ROUND(G99*(1+G$94/12),2),G$95+IF(G$96=$I99,$J99,0)))</f>
        <v/>
      </c>
      <c r="O99" s="305">
        <f>IF(H99&lt;=0,0,MIN(ROUND(H99*(1+H$94/12),2),H$95+IF(H$96=$I99,$J99,0)))</f>
        <v/>
      </c>
      <c r="P99" s="305">
        <f>SUMPRODUCT($D99:$H99,$D$94:$H$94)/12</f>
        <v/>
      </c>
      <c r="Q99" s="305">
        <f>SUM($K99:$O99)</f>
        <v/>
      </c>
      <c r="R99" s="306">
        <f>SUM($D99:$H99)</f>
        <v/>
      </c>
      <c r="S99" s="1" t="n"/>
      <c r="T99" s="1" t="n"/>
      <c r="U99" s="1" t="n"/>
      <c r="V99" s="1" t="n"/>
      <c r="W99" s="1" t="n"/>
      <c r="X99" s="1" t="n"/>
      <c r="Y99" s="1" t="n"/>
      <c r="Z99" s="1" t="n"/>
    </row>
    <row r="100" ht="15.75" customHeight="1" s="311">
      <c r="A100" s="1" t="n"/>
      <c r="B100" s="303" t="n">
        <v>3</v>
      </c>
      <c r="C100" s="304">
        <f>EDATE(TODAY(),2)</f>
        <v/>
      </c>
      <c r="D100" s="305">
        <f>MAX(0,ROUND(D99*(1+D$94/12)-K99,2))</f>
        <v/>
      </c>
      <c r="E100" s="305">
        <f>MAX(0,ROUND(E99*(1+E$94/12)-L99,2))</f>
        <v/>
      </c>
      <c r="F100" s="305">
        <f>MAX(0,ROUND(F99*(1+F$94/12)-M99,2))</f>
        <v/>
      </c>
      <c r="G100" s="305">
        <f>MAX(0,ROUND(G99*(1+G$94/12)-N99,2))</f>
        <v/>
      </c>
      <c r="H100" s="305">
        <f>MAX(0,ROUND(H99*(1+H$94/12)-O99,2))</f>
        <v/>
      </c>
      <c r="I100" s="303">
        <f>IF(SUMPRODUCT(($D$96:$H$96=1)*($D100:$H100&gt;0))&gt;0,1,IF(SUMPRODUCT(($D$96:$H$96=2)*($D100:$H100&gt;0))&gt;0,2,IF(SUMPRODUCT(($D$96:$H$96=3)*($D100:$H100&gt;0))&gt;0,3,IF(SUMPRODUCT(($D$96:$H$96=4)*($D100:$H100&gt;0))&gt;0,4,IF(SUMPRODUCT(($D$96:$H$96=5)*($D100:$H100&gt;0))&gt;0,5,0)))))</f>
        <v/>
      </c>
      <c r="J100" s="305">
        <f>$D$21+SUMPRODUCT(($D100:$H100=0)*$D$95:$H$95)</f>
        <v/>
      </c>
      <c r="K100" s="305">
        <f>IF(D100&lt;=0,0,MIN(ROUND(D100*(1+D$94/12),2),D$95+IF(D$96=$I100,$J100,0)))</f>
        <v/>
      </c>
      <c r="L100" s="305">
        <f>IF(E100&lt;=0,0,MIN(ROUND(E100*(1+E$94/12),2),E$95+IF(E$96=$I100,$J100,0)))</f>
        <v/>
      </c>
      <c r="M100" s="305">
        <f>IF(F100&lt;=0,0,MIN(ROUND(F100*(1+F$94/12),2),F$95+IF(F$96=$I100,$J100,0)))</f>
        <v/>
      </c>
      <c r="N100" s="305">
        <f>IF(G100&lt;=0,0,MIN(ROUND(G100*(1+G$94/12),2),G$95+IF(G$96=$I100,$J100,0)))</f>
        <v/>
      </c>
      <c r="O100" s="305">
        <f>IF(H100&lt;=0,0,MIN(ROUND(H100*(1+H$94/12),2),H$95+IF(H$96=$I100,$J100,0)))</f>
        <v/>
      </c>
      <c r="P100" s="305">
        <f>SUMPRODUCT($D100:$H100,$D$94:$H$94)/12</f>
        <v/>
      </c>
      <c r="Q100" s="305">
        <f>SUM($K100:$O100)</f>
        <v/>
      </c>
      <c r="R100" s="306">
        <f>SUM($D100:$H100)</f>
        <v/>
      </c>
      <c r="S100" s="1" t="n"/>
      <c r="T100" s="1" t="n"/>
      <c r="U100" s="1" t="n"/>
      <c r="V100" s="1" t="n"/>
      <c r="W100" s="1" t="n"/>
      <c r="X100" s="1" t="n"/>
      <c r="Y100" s="1" t="n"/>
      <c r="Z100" s="1" t="n"/>
    </row>
    <row r="101" ht="15.75" customHeight="1" s="311">
      <c r="A101" s="1" t="n"/>
      <c r="B101" s="303" t="n">
        <v>4</v>
      </c>
      <c r="C101" s="304">
        <f>EDATE(TODAY(),3)</f>
        <v/>
      </c>
      <c r="D101" s="305">
        <f>MAX(0,ROUND(D100*(1+D$94/12)-K100,2))</f>
        <v/>
      </c>
      <c r="E101" s="305">
        <f>MAX(0,ROUND(E100*(1+E$94/12)-L100,2))</f>
        <v/>
      </c>
      <c r="F101" s="305">
        <f>MAX(0,ROUND(F100*(1+F$94/12)-M100,2))</f>
        <v/>
      </c>
      <c r="G101" s="305">
        <f>MAX(0,ROUND(G100*(1+G$94/12)-N100,2))</f>
        <v/>
      </c>
      <c r="H101" s="305">
        <f>MAX(0,ROUND(H100*(1+H$94/12)-O100,2))</f>
        <v/>
      </c>
      <c r="I101" s="303">
        <f>IF(SUMPRODUCT(($D$96:$H$96=1)*($D101:$H101&gt;0))&gt;0,1,IF(SUMPRODUCT(($D$96:$H$96=2)*($D101:$H101&gt;0))&gt;0,2,IF(SUMPRODUCT(($D$96:$H$96=3)*($D101:$H101&gt;0))&gt;0,3,IF(SUMPRODUCT(($D$96:$H$96=4)*($D101:$H101&gt;0))&gt;0,4,IF(SUMPRODUCT(($D$96:$H$96=5)*($D101:$H101&gt;0))&gt;0,5,0)))))</f>
        <v/>
      </c>
      <c r="J101" s="305">
        <f>$D$21+SUMPRODUCT(($D101:$H101=0)*$D$95:$H$95)</f>
        <v/>
      </c>
      <c r="K101" s="305">
        <f>IF(D101&lt;=0,0,MIN(ROUND(D101*(1+D$94/12),2),D$95+IF(D$96=$I101,$J101,0)))</f>
        <v/>
      </c>
      <c r="L101" s="305">
        <f>IF(E101&lt;=0,0,MIN(ROUND(E101*(1+E$94/12),2),E$95+IF(E$96=$I101,$J101,0)))</f>
        <v/>
      </c>
      <c r="M101" s="305">
        <f>IF(F101&lt;=0,0,MIN(ROUND(F101*(1+F$94/12),2),F$95+IF(F$96=$I101,$J101,0)))</f>
        <v/>
      </c>
      <c r="N101" s="305">
        <f>IF(G101&lt;=0,0,MIN(ROUND(G101*(1+G$94/12),2),G$95+IF(G$96=$I101,$J101,0)))</f>
        <v/>
      </c>
      <c r="O101" s="305">
        <f>IF(H101&lt;=0,0,MIN(ROUND(H101*(1+H$94/12),2),H$95+IF(H$96=$I101,$J101,0)))</f>
        <v/>
      </c>
      <c r="P101" s="305">
        <f>SUMPRODUCT($D101:$H101,$D$94:$H$94)/12</f>
        <v/>
      </c>
      <c r="Q101" s="305">
        <f>SUM($K101:$O101)</f>
        <v/>
      </c>
      <c r="R101" s="306">
        <f>SUM($D101:$H101)</f>
        <v/>
      </c>
      <c r="S101" s="1" t="n"/>
      <c r="T101" s="1" t="n"/>
      <c r="U101" s="1" t="n"/>
      <c r="V101" s="1" t="n"/>
      <c r="W101" s="1" t="n"/>
      <c r="X101" s="1" t="n"/>
      <c r="Y101" s="1" t="n"/>
      <c r="Z101" s="1" t="n"/>
    </row>
    <row r="102" ht="15.75" customHeight="1" s="311">
      <c r="A102" s="1" t="n"/>
      <c r="B102" s="303" t="n">
        <v>5</v>
      </c>
      <c r="C102" s="304">
        <f>EDATE(TODAY(),4)</f>
        <v/>
      </c>
      <c r="D102" s="305">
        <f>MAX(0,ROUND(D101*(1+D$94/12)-K101,2))</f>
        <v/>
      </c>
      <c r="E102" s="305">
        <f>MAX(0,ROUND(E101*(1+E$94/12)-L101,2))</f>
        <v/>
      </c>
      <c r="F102" s="305">
        <f>MAX(0,ROUND(F101*(1+F$94/12)-M101,2))</f>
        <v/>
      </c>
      <c r="G102" s="305">
        <f>MAX(0,ROUND(G101*(1+G$94/12)-N101,2))</f>
        <v/>
      </c>
      <c r="H102" s="305">
        <f>MAX(0,ROUND(H101*(1+H$94/12)-O101,2))</f>
        <v/>
      </c>
      <c r="I102" s="303">
        <f>IF(SUMPRODUCT(($D$96:$H$96=1)*($D102:$H102&gt;0))&gt;0,1,IF(SUMPRODUCT(($D$96:$H$96=2)*($D102:$H102&gt;0))&gt;0,2,IF(SUMPRODUCT(($D$96:$H$96=3)*($D102:$H102&gt;0))&gt;0,3,IF(SUMPRODUCT(($D$96:$H$96=4)*($D102:$H102&gt;0))&gt;0,4,IF(SUMPRODUCT(($D$96:$H$96=5)*($D102:$H102&gt;0))&gt;0,5,0)))))</f>
        <v/>
      </c>
      <c r="J102" s="305">
        <f>$D$21+SUMPRODUCT(($D102:$H102=0)*$D$95:$H$95)</f>
        <v/>
      </c>
      <c r="K102" s="305">
        <f>IF(D102&lt;=0,0,MIN(ROUND(D102*(1+D$94/12),2),D$95+IF(D$96=$I102,$J102,0)))</f>
        <v/>
      </c>
      <c r="L102" s="305">
        <f>IF(E102&lt;=0,0,MIN(ROUND(E102*(1+E$94/12),2),E$95+IF(E$96=$I102,$J102,0)))</f>
        <v/>
      </c>
      <c r="M102" s="305">
        <f>IF(F102&lt;=0,0,MIN(ROUND(F102*(1+F$94/12),2),F$95+IF(F$96=$I102,$J102,0)))</f>
        <v/>
      </c>
      <c r="N102" s="305">
        <f>IF(G102&lt;=0,0,MIN(ROUND(G102*(1+G$94/12),2),G$95+IF(G$96=$I102,$J102,0)))</f>
        <v/>
      </c>
      <c r="O102" s="305">
        <f>IF(H102&lt;=0,0,MIN(ROUND(H102*(1+H$94/12),2),H$95+IF(H$96=$I102,$J102,0)))</f>
        <v/>
      </c>
      <c r="P102" s="305">
        <f>SUMPRODUCT($D102:$H102,$D$94:$H$94)/12</f>
        <v/>
      </c>
      <c r="Q102" s="305">
        <f>SUM($K102:$O102)</f>
        <v/>
      </c>
      <c r="R102" s="306">
        <f>SUM($D102:$H102)</f>
        <v/>
      </c>
      <c r="S102" s="1" t="n"/>
      <c r="T102" s="1" t="n"/>
      <c r="U102" s="1" t="n"/>
      <c r="V102" s="1" t="n"/>
      <c r="W102" s="1" t="n"/>
      <c r="X102" s="1" t="n"/>
      <c r="Y102" s="1" t="n"/>
      <c r="Z102" s="1" t="n"/>
    </row>
    <row r="103" ht="15.75" customHeight="1" s="311">
      <c r="A103" s="1" t="n"/>
      <c r="B103" s="303" t="n">
        <v>6</v>
      </c>
      <c r="C103" s="304">
        <f>EDATE(TODAY(),5)</f>
        <v/>
      </c>
      <c r="D103" s="305">
        <f>MAX(0,ROUND(D102*(1+D$94/12)-K102,2))</f>
        <v/>
      </c>
      <c r="E103" s="305">
        <f>MAX(0,ROUND(E102*(1+E$94/12)-L102,2))</f>
        <v/>
      </c>
      <c r="F103" s="305">
        <f>MAX(0,ROUND(F102*(1+F$94/12)-M102,2))</f>
        <v/>
      </c>
      <c r="G103" s="305">
        <f>MAX(0,ROUND(G102*(1+G$94/12)-N102,2))</f>
        <v/>
      </c>
      <c r="H103" s="305">
        <f>MAX(0,ROUND(H102*(1+H$94/12)-O102,2))</f>
        <v/>
      </c>
      <c r="I103" s="303">
        <f>IF(SUMPRODUCT(($D$96:$H$96=1)*($D103:$H103&gt;0))&gt;0,1,IF(SUMPRODUCT(($D$96:$H$96=2)*($D103:$H103&gt;0))&gt;0,2,IF(SUMPRODUCT(($D$96:$H$96=3)*($D103:$H103&gt;0))&gt;0,3,IF(SUMPRODUCT(($D$96:$H$96=4)*($D103:$H103&gt;0))&gt;0,4,IF(SUMPRODUCT(($D$96:$H$96=5)*($D103:$H103&gt;0))&gt;0,5,0)))))</f>
        <v/>
      </c>
      <c r="J103" s="305">
        <f>$D$21+SUMPRODUCT(($D103:$H103=0)*$D$95:$H$95)</f>
        <v/>
      </c>
      <c r="K103" s="305">
        <f>IF(D103&lt;=0,0,MIN(ROUND(D103*(1+D$94/12),2),D$95+IF(D$96=$I103,$J103,0)))</f>
        <v/>
      </c>
      <c r="L103" s="305">
        <f>IF(E103&lt;=0,0,MIN(ROUND(E103*(1+E$94/12),2),E$95+IF(E$96=$I103,$J103,0)))</f>
        <v/>
      </c>
      <c r="M103" s="305">
        <f>IF(F103&lt;=0,0,MIN(ROUND(F103*(1+F$94/12),2),F$95+IF(F$96=$I103,$J103,0)))</f>
        <v/>
      </c>
      <c r="N103" s="305">
        <f>IF(G103&lt;=0,0,MIN(ROUND(G103*(1+G$94/12),2),G$95+IF(G$96=$I103,$J103,0)))</f>
        <v/>
      </c>
      <c r="O103" s="305">
        <f>IF(H103&lt;=0,0,MIN(ROUND(H103*(1+H$94/12),2),H$95+IF(H$96=$I103,$J103,0)))</f>
        <v/>
      </c>
      <c r="P103" s="305">
        <f>SUMPRODUCT($D103:$H103,$D$94:$H$94)/12</f>
        <v/>
      </c>
      <c r="Q103" s="305">
        <f>SUM($K103:$O103)</f>
        <v/>
      </c>
      <c r="R103" s="306">
        <f>SUM($D103:$H103)</f>
        <v/>
      </c>
      <c r="S103" s="1" t="n"/>
      <c r="T103" s="1" t="n"/>
      <c r="U103" s="1" t="n"/>
      <c r="V103" s="1" t="n"/>
      <c r="W103" s="1" t="n"/>
      <c r="X103" s="1" t="n"/>
      <c r="Y103" s="1" t="n"/>
      <c r="Z103" s="1" t="n"/>
    </row>
    <row r="104" ht="15.75" customHeight="1" s="311">
      <c r="A104" s="1" t="n"/>
      <c r="B104" s="303" t="n">
        <v>7</v>
      </c>
      <c r="C104" s="304">
        <f>EDATE(TODAY(),6)</f>
        <v/>
      </c>
      <c r="D104" s="305">
        <f>MAX(0,ROUND(D103*(1+D$94/12)-K103,2))</f>
        <v/>
      </c>
      <c r="E104" s="305">
        <f>MAX(0,ROUND(E103*(1+E$94/12)-L103,2))</f>
        <v/>
      </c>
      <c r="F104" s="305">
        <f>MAX(0,ROUND(F103*(1+F$94/12)-M103,2))</f>
        <v/>
      </c>
      <c r="G104" s="305">
        <f>MAX(0,ROUND(G103*(1+G$94/12)-N103,2))</f>
        <v/>
      </c>
      <c r="H104" s="305">
        <f>MAX(0,ROUND(H103*(1+H$94/12)-O103,2))</f>
        <v/>
      </c>
      <c r="I104" s="303">
        <f>IF(SUMPRODUCT(($D$96:$H$96=1)*($D104:$H104&gt;0))&gt;0,1,IF(SUMPRODUCT(($D$96:$H$96=2)*($D104:$H104&gt;0))&gt;0,2,IF(SUMPRODUCT(($D$96:$H$96=3)*($D104:$H104&gt;0))&gt;0,3,IF(SUMPRODUCT(($D$96:$H$96=4)*($D104:$H104&gt;0))&gt;0,4,IF(SUMPRODUCT(($D$96:$H$96=5)*($D104:$H104&gt;0))&gt;0,5,0)))))</f>
        <v/>
      </c>
      <c r="J104" s="305">
        <f>$D$21+SUMPRODUCT(($D104:$H104=0)*$D$95:$H$95)</f>
        <v/>
      </c>
      <c r="K104" s="305">
        <f>IF(D104&lt;=0,0,MIN(ROUND(D104*(1+D$94/12),2),D$95+IF(D$96=$I104,$J104,0)))</f>
        <v/>
      </c>
      <c r="L104" s="305">
        <f>IF(E104&lt;=0,0,MIN(ROUND(E104*(1+E$94/12),2),E$95+IF(E$96=$I104,$J104,0)))</f>
        <v/>
      </c>
      <c r="M104" s="305">
        <f>IF(F104&lt;=0,0,MIN(ROUND(F104*(1+F$94/12),2),F$95+IF(F$96=$I104,$J104,0)))</f>
        <v/>
      </c>
      <c r="N104" s="305">
        <f>IF(G104&lt;=0,0,MIN(ROUND(G104*(1+G$94/12),2),G$95+IF(G$96=$I104,$J104,0)))</f>
        <v/>
      </c>
      <c r="O104" s="305">
        <f>IF(H104&lt;=0,0,MIN(ROUND(H104*(1+H$94/12),2),H$95+IF(H$96=$I104,$J104,0)))</f>
        <v/>
      </c>
      <c r="P104" s="305">
        <f>SUMPRODUCT($D104:$H104,$D$94:$H$94)/12</f>
        <v/>
      </c>
      <c r="Q104" s="305">
        <f>SUM($K104:$O104)</f>
        <v/>
      </c>
      <c r="R104" s="306">
        <f>SUM($D104:$H104)</f>
        <v/>
      </c>
      <c r="S104" s="1" t="n"/>
      <c r="T104" s="1" t="n"/>
      <c r="U104" s="1" t="n"/>
      <c r="V104" s="1" t="n"/>
      <c r="W104" s="1" t="n"/>
      <c r="X104" s="1" t="n"/>
      <c r="Y104" s="1" t="n"/>
      <c r="Z104" s="1" t="n"/>
    </row>
    <row r="105" ht="15.75" customHeight="1" s="311">
      <c r="A105" s="1" t="n"/>
      <c r="B105" s="303" t="n">
        <v>8</v>
      </c>
      <c r="C105" s="304">
        <f>EDATE(TODAY(),7)</f>
        <v/>
      </c>
      <c r="D105" s="305">
        <f>MAX(0,ROUND(D104*(1+D$94/12)-K104,2))</f>
        <v/>
      </c>
      <c r="E105" s="305">
        <f>MAX(0,ROUND(E104*(1+E$94/12)-L104,2))</f>
        <v/>
      </c>
      <c r="F105" s="305">
        <f>MAX(0,ROUND(F104*(1+F$94/12)-M104,2))</f>
        <v/>
      </c>
      <c r="G105" s="305">
        <f>MAX(0,ROUND(G104*(1+G$94/12)-N104,2))</f>
        <v/>
      </c>
      <c r="H105" s="305">
        <f>MAX(0,ROUND(H104*(1+H$94/12)-O104,2))</f>
        <v/>
      </c>
      <c r="I105" s="303">
        <f>IF(SUMPRODUCT(($D$96:$H$96=1)*($D105:$H105&gt;0))&gt;0,1,IF(SUMPRODUCT(($D$96:$H$96=2)*($D105:$H105&gt;0))&gt;0,2,IF(SUMPRODUCT(($D$96:$H$96=3)*($D105:$H105&gt;0))&gt;0,3,IF(SUMPRODUCT(($D$96:$H$96=4)*($D105:$H105&gt;0))&gt;0,4,IF(SUMPRODUCT(($D$96:$H$96=5)*($D105:$H105&gt;0))&gt;0,5,0)))))</f>
        <v/>
      </c>
      <c r="J105" s="305">
        <f>$D$21+SUMPRODUCT(($D105:$H105=0)*$D$95:$H$95)</f>
        <v/>
      </c>
      <c r="K105" s="305">
        <f>IF(D105&lt;=0,0,MIN(ROUND(D105*(1+D$94/12),2),D$95+IF(D$96=$I105,$J105,0)))</f>
        <v/>
      </c>
      <c r="L105" s="305">
        <f>IF(E105&lt;=0,0,MIN(ROUND(E105*(1+E$94/12),2),E$95+IF(E$96=$I105,$J105,0)))</f>
        <v/>
      </c>
      <c r="M105" s="305">
        <f>IF(F105&lt;=0,0,MIN(ROUND(F105*(1+F$94/12),2),F$95+IF(F$96=$I105,$J105,0)))</f>
        <v/>
      </c>
      <c r="N105" s="305">
        <f>IF(G105&lt;=0,0,MIN(ROUND(G105*(1+G$94/12),2),G$95+IF(G$96=$I105,$J105,0)))</f>
        <v/>
      </c>
      <c r="O105" s="305">
        <f>IF(H105&lt;=0,0,MIN(ROUND(H105*(1+H$94/12),2),H$95+IF(H$96=$I105,$J105,0)))</f>
        <v/>
      </c>
      <c r="P105" s="305">
        <f>SUMPRODUCT($D105:$H105,$D$94:$H$94)/12</f>
        <v/>
      </c>
      <c r="Q105" s="305">
        <f>SUM($K105:$O105)</f>
        <v/>
      </c>
      <c r="R105" s="306">
        <f>SUM($D105:$H105)</f>
        <v/>
      </c>
      <c r="S105" s="1" t="n"/>
      <c r="T105" s="1" t="n"/>
      <c r="U105" s="1" t="n"/>
      <c r="V105" s="1" t="n"/>
      <c r="W105" s="1" t="n"/>
      <c r="X105" s="1" t="n"/>
      <c r="Y105" s="1" t="n"/>
      <c r="Z105" s="1" t="n"/>
    </row>
    <row r="106" ht="15.75" customHeight="1" s="311">
      <c r="A106" s="1" t="n"/>
      <c r="B106" s="303" t="n">
        <v>9</v>
      </c>
      <c r="C106" s="304">
        <f>EDATE(TODAY(),8)</f>
        <v/>
      </c>
      <c r="D106" s="305">
        <f>MAX(0,ROUND(D105*(1+D$94/12)-K105,2))</f>
        <v/>
      </c>
      <c r="E106" s="305">
        <f>MAX(0,ROUND(E105*(1+E$94/12)-L105,2))</f>
        <v/>
      </c>
      <c r="F106" s="305">
        <f>MAX(0,ROUND(F105*(1+F$94/12)-M105,2))</f>
        <v/>
      </c>
      <c r="G106" s="305">
        <f>MAX(0,ROUND(G105*(1+G$94/12)-N105,2))</f>
        <v/>
      </c>
      <c r="H106" s="305">
        <f>MAX(0,ROUND(H105*(1+H$94/12)-O105,2))</f>
        <v/>
      </c>
      <c r="I106" s="303">
        <f>IF(SUMPRODUCT(($D$96:$H$96=1)*($D106:$H106&gt;0))&gt;0,1,IF(SUMPRODUCT(($D$96:$H$96=2)*($D106:$H106&gt;0))&gt;0,2,IF(SUMPRODUCT(($D$96:$H$96=3)*($D106:$H106&gt;0))&gt;0,3,IF(SUMPRODUCT(($D$96:$H$96=4)*($D106:$H106&gt;0))&gt;0,4,IF(SUMPRODUCT(($D$96:$H$96=5)*($D106:$H106&gt;0))&gt;0,5,0)))))</f>
        <v/>
      </c>
      <c r="J106" s="305">
        <f>$D$21+SUMPRODUCT(($D106:$H106=0)*$D$95:$H$95)</f>
        <v/>
      </c>
      <c r="K106" s="305">
        <f>IF(D106&lt;=0,0,MIN(ROUND(D106*(1+D$94/12),2),D$95+IF(D$96=$I106,$J106,0)))</f>
        <v/>
      </c>
      <c r="L106" s="305">
        <f>IF(E106&lt;=0,0,MIN(ROUND(E106*(1+E$94/12),2),E$95+IF(E$96=$I106,$J106,0)))</f>
        <v/>
      </c>
      <c r="M106" s="305">
        <f>IF(F106&lt;=0,0,MIN(ROUND(F106*(1+F$94/12),2),F$95+IF(F$96=$I106,$J106,0)))</f>
        <v/>
      </c>
      <c r="N106" s="305">
        <f>IF(G106&lt;=0,0,MIN(ROUND(G106*(1+G$94/12),2),G$95+IF(G$96=$I106,$J106,0)))</f>
        <v/>
      </c>
      <c r="O106" s="305">
        <f>IF(H106&lt;=0,0,MIN(ROUND(H106*(1+H$94/12),2),H$95+IF(H$96=$I106,$J106,0)))</f>
        <v/>
      </c>
      <c r="P106" s="305">
        <f>SUMPRODUCT($D106:$H106,$D$94:$H$94)/12</f>
        <v/>
      </c>
      <c r="Q106" s="305">
        <f>SUM($K106:$O106)</f>
        <v/>
      </c>
      <c r="R106" s="306">
        <f>SUM($D106:$H106)</f>
        <v/>
      </c>
      <c r="S106" s="1" t="n"/>
      <c r="T106" s="1" t="n"/>
      <c r="U106" s="1" t="n"/>
      <c r="V106" s="1" t="n"/>
      <c r="W106" s="1" t="n"/>
      <c r="X106" s="1" t="n"/>
      <c r="Y106" s="1" t="n"/>
      <c r="Z106" s="1" t="n"/>
    </row>
    <row r="107" ht="15.75" customHeight="1" s="311">
      <c r="A107" s="1" t="n"/>
      <c r="B107" s="303" t="n">
        <v>10</v>
      </c>
      <c r="C107" s="304">
        <f>EDATE(TODAY(),9)</f>
        <v/>
      </c>
      <c r="D107" s="305">
        <f>MAX(0,ROUND(D106*(1+D$94/12)-K106,2))</f>
        <v/>
      </c>
      <c r="E107" s="305">
        <f>MAX(0,ROUND(E106*(1+E$94/12)-L106,2))</f>
        <v/>
      </c>
      <c r="F107" s="305">
        <f>MAX(0,ROUND(F106*(1+F$94/12)-M106,2))</f>
        <v/>
      </c>
      <c r="G107" s="305">
        <f>MAX(0,ROUND(G106*(1+G$94/12)-N106,2))</f>
        <v/>
      </c>
      <c r="H107" s="305">
        <f>MAX(0,ROUND(H106*(1+H$94/12)-O106,2))</f>
        <v/>
      </c>
      <c r="I107" s="303">
        <f>IF(SUMPRODUCT(($D$96:$H$96=1)*($D107:$H107&gt;0))&gt;0,1,IF(SUMPRODUCT(($D$96:$H$96=2)*($D107:$H107&gt;0))&gt;0,2,IF(SUMPRODUCT(($D$96:$H$96=3)*($D107:$H107&gt;0))&gt;0,3,IF(SUMPRODUCT(($D$96:$H$96=4)*($D107:$H107&gt;0))&gt;0,4,IF(SUMPRODUCT(($D$96:$H$96=5)*($D107:$H107&gt;0))&gt;0,5,0)))))</f>
        <v/>
      </c>
      <c r="J107" s="305">
        <f>$D$21+SUMPRODUCT(($D107:$H107=0)*$D$95:$H$95)</f>
        <v/>
      </c>
      <c r="K107" s="305">
        <f>IF(D107&lt;=0,0,MIN(ROUND(D107*(1+D$94/12),2),D$95+IF(D$96=$I107,$J107,0)))</f>
        <v/>
      </c>
      <c r="L107" s="305">
        <f>IF(E107&lt;=0,0,MIN(ROUND(E107*(1+E$94/12),2),E$95+IF(E$96=$I107,$J107,0)))</f>
        <v/>
      </c>
      <c r="M107" s="305">
        <f>IF(F107&lt;=0,0,MIN(ROUND(F107*(1+F$94/12),2),F$95+IF(F$96=$I107,$J107,0)))</f>
        <v/>
      </c>
      <c r="N107" s="305">
        <f>IF(G107&lt;=0,0,MIN(ROUND(G107*(1+G$94/12),2),G$95+IF(G$96=$I107,$J107,0)))</f>
        <v/>
      </c>
      <c r="O107" s="305">
        <f>IF(H107&lt;=0,0,MIN(ROUND(H107*(1+H$94/12),2),H$95+IF(H$96=$I107,$J107,0)))</f>
        <v/>
      </c>
      <c r="P107" s="305">
        <f>SUMPRODUCT($D107:$H107,$D$94:$H$94)/12</f>
        <v/>
      </c>
      <c r="Q107" s="305">
        <f>SUM($K107:$O107)</f>
        <v/>
      </c>
      <c r="R107" s="306">
        <f>SUM($D107:$H107)</f>
        <v/>
      </c>
      <c r="S107" s="1" t="n"/>
      <c r="T107" s="1" t="n"/>
      <c r="U107" s="1" t="n"/>
      <c r="V107" s="1" t="n"/>
      <c r="W107" s="1" t="n"/>
      <c r="X107" s="1" t="n"/>
      <c r="Y107" s="1" t="n"/>
      <c r="Z107" s="1" t="n"/>
    </row>
    <row r="108" ht="15.75" customHeight="1" s="311">
      <c r="A108" s="1" t="n"/>
      <c r="B108" s="303" t="n">
        <v>11</v>
      </c>
      <c r="C108" s="304">
        <f>EDATE(TODAY(),10)</f>
        <v/>
      </c>
      <c r="D108" s="305">
        <f>MAX(0,ROUND(D107*(1+D$94/12)-K107,2))</f>
        <v/>
      </c>
      <c r="E108" s="305">
        <f>MAX(0,ROUND(E107*(1+E$94/12)-L107,2))</f>
        <v/>
      </c>
      <c r="F108" s="305">
        <f>MAX(0,ROUND(F107*(1+F$94/12)-M107,2))</f>
        <v/>
      </c>
      <c r="G108" s="305">
        <f>MAX(0,ROUND(G107*(1+G$94/12)-N107,2))</f>
        <v/>
      </c>
      <c r="H108" s="305">
        <f>MAX(0,ROUND(H107*(1+H$94/12)-O107,2))</f>
        <v/>
      </c>
      <c r="I108" s="303">
        <f>IF(SUMPRODUCT(($D$96:$H$96=1)*($D108:$H108&gt;0))&gt;0,1,IF(SUMPRODUCT(($D$96:$H$96=2)*($D108:$H108&gt;0))&gt;0,2,IF(SUMPRODUCT(($D$96:$H$96=3)*($D108:$H108&gt;0))&gt;0,3,IF(SUMPRODUCT(($D$96:$H$96=4)*($D108:$H108&gt;0))&gt;0,4,IF(SUMPRODUCT(($D$96:$H$96=5)*($D108:$H108&gt;0))&gt;0,5,0)))))</f>
        <v/>
      </c>
      <c r="J108" s="305">
        <f>$D$21+SUMPRODUCT(($D108:$H108=0)*$D$95:$H$95)</f>
        <v/>
      </c>
      <c r="K108" s="305">
        <f>IF(D108&lt;=0,0,MIN(ROUND(D108*(1+D$94/12),2),D$95+IF(D$96=$I108,$J108,0)))</f>
        <v/>
      </c>
      <c r="L108" s="305">
        <f>IF(E108&lt;=0,0,MIN(ROUND(E108*(1+E$94/12),2),E$95+IF(E$96=$I108,$J108,0)))</f>
        <v/>
      </c>
      <c r="M108" s="305">
        <f>IF(F108&lt;=0,0,MIN(ROUND(F108*(1+F$94/12),2),F$95+IF(F$96=$I108,$J108,0)))</f>
        <v/>
      </c>
      <c r="N108" s="305">
        <f>IF(G108&lt;=0,0,MIN(ROUND(G108*(1+G$94/12),2),G$95+IF(G$96=$I108,$J108,0)))</f>
        <v/>
      </c>
      <c r="O108" s="305">
        <f>IF(H108&lt;=0,0,MIN(ROUND(H108*(1+H$94/12),2),H$95+IF(H$96=$I108,$J108,0)))</f>
        <v/>
      </c>
      <c r="P108" s="305">
        <f>SUMPRODUCT($D108:$H108,$D$94:$H$94)/12</f>
        <v/>
      </c>
      <c r="Q108" s="305">
        <f>SUM($K108:$O108)</f>
        <v/>
      </c>
      <c r="R108" s="306">
        <f>SUM($D108:$H108)</f>
        <v/>
      </c>
      <c r="S108" s="1" t="n"/>
      <c r="T108" s="1" t="n"/>
      <c r="U108" s="1" t="n"/>
      <c r="V108" s="1" t="n"/>
      <c r="W108" s="1" t="n"/>
      <c r="X108" s="1" t="n"/>
      <c r="Y108" s="1" t="n"/>
      <c r="Z108" s="1" t="n"/>
    </row>
    <row r="109" ht="15.75" customHeight="1" s="311">
      <c r="A109" s="1" t="n"/>
      <c r="B109" s="303" t="n">
        <v>12</v>
      </c>
      <c r="C109" s="304">
        <f>EDATE(TODAY(),11)</f>
        <v/>
      </c>
      <c r="D109" s="305">
        <f>MAX(0,ROUND(D108*(1+D$94/12)-K108,2))</f>
        <v/>
      </c>
      <c r="E109" s="305">
        <f>MAX(0,ROUND(E108*(1+E$94/12)-L108,2))</f>
        <v/>
      </c>
      <c r="F109" s="305">
        <f>MAX(0,ROUND(F108*(1+F$94/12)-M108,2))</f>
        <v/>
      </c>
      <c r="G109" s="305">
        <f>MAX(0,ROUND(G108*(1+G$94/12)-N108,2))</f>
        <v/>
      </c>
      <c r="H109" s="305">
        <f>MAX(0,ROUND(H108*(1+H$94/12)-O108,2))</f>
        <v/>
      </c>
      <c r="I109" s="303">
        <f>IF(SUMPRODUCT(($D$96:$H$96=1)*($D109:$H109&gt;0))&gt;0,1,IF(SUMPRODUCT(($D$96:$H$96=2)*($D109:$H109&gt;0))&gt;0,2,IF(SUMPRODUCT(($D$96:$H$96=3)*($D109:$H109&gt;0))&gt;0,3,IF(SUMPRODUCT(($D$96:$H$96=4)*($D109:$H109&gt;0))&gt;0,4,IF(SUMPRODUCT(($D$96:$H$96=5)*($D109:$H109&gt;0))&gt;0,5,0)))))</f>
        <v/>
      </c>
      <c r="J109" s="305">
        <f>$D$21+SUMPRODUCT(($D109:$H109=0)*$D$95:$H$95)</f>
        <v/>
      </c>
      <c r="K109" s="305">
        <f>IF(D109&lt;=0,0,MIN(ROUND(D109*(1+D$94/12),2),D$95+IF(D$96=$I109,$J109,0)))</f>
        <v/>
      </c>
      <c r="L109" s="305">
        <f>IF(E109&lt;=0,0,MIN(ROUND(E109*(1+E$94/12),2),E$95+IF(E$96=$I109,$J109,0)))</f>
        <v/>
      </c>
      <c r="M109" s="305">
        <f>IF(F109&lt;=0,0,MIN(ROUND(F109*(1+F$94/12),2),F$95+IF(F$96=$I109,$J109,0)))</f>
        <v/>
      </c>
      <c r="N109" s="305">
        <f>IF(G109&lt;=0,0,MIN(ROUND(G109*(1+G$94/12),2),G$95+IF(G$96=$I109,$J109,0)))</f>
        <v/>
      </c>
      <c r="O109" s="305">
        <f>IF(H109&lt;=0,0,MIN(ROUND(H109*(1+H$94/12),2),H$95+IF(H$96=$I109,$J109,0)))</f>
        <v/>
      </c>
      <c r="P109" s="305">
        <f>SUMPRODUCT($D109:$H109,$D$94:$H$94)/12</f>
        <v/>
      </c>
      <c r="Q109" s="305">
        <f>SUM($K109:$O109)</f>
        <v/>
      </c>
      <c r="R109" s="306">
        <f>SUM($D109:$H109)</f>
        <v/>
      </c>
      <c r="S109" s="1" t="n"/>
      <c r="T109" s="1" t="n"/>
      <c r="U109" s="1" t="n"/>
      <c r="V109" s="1" t="n"/>
      <c r="W109" s="1" t="n"/>
      <c r="X109" s="1" t="n"/>
      <c r="Y109" s="1" t="n"/>
      <c r="Z109" s="1" t="n"/>
    </row>
    <row r="110" ht="15.75" customHeight="1" s="311">
      <c r="A110" s="1" t="n"/>
      <c r="B110" s="303" t="n">
        <v>13</v>
      </c>
      <c r="C110" s="304">
        <f>EDATE(TODAY(),12)</f>
        <v/>
      </c>
      <c r="D110" s="305">
        <f>MAX(0,ROUND(D109*(1+D$94/12)-K109,2))</f>
        <v/>
      </c>
      <c r="E110" s="305">
        <f>MAX(0,ROUND(E109*(1+E$94/12)-L109,2))</f>
        <v/>
      </c>
      <c r="F110" s="305">
        <f>MAX(0,ROUND(F109*(1+F$94/12)-M109,2))</f>
        <v/>
      </c>
      <c r="G110" s="305">
        <f>MAX(0,ROUND(G109*(1+G$94/12)-N109,2))</f>
        <v/>
      </c>
      <c r="H110" s="305">
        <f>MAX(0,ROUND(H109*(1+H$94/12)-O109,2))</f>
        <v/>
      </c>
      <c r="I110" s="303">
        <f>IF(SUMPRODUCT(($D$96:$H$96=1)*($D110:$H110&gt;0))&gt;0,1,IF(SUMPRODUCT(($D$96:$H$96=2)*($D110:$H110&gt;0))&gt;0,2,IF(SUMPRODUCT(($D$96:$H$96=3)*($D110:$H110&gt;0))&gt;0,3,IF(SUMPRODUCT(($D$96:$H$96=4)*($D110:$H110&gt;0))&gt;0,4,IF(SUMPRODUCT(($D$96:$H$96=5)*($D110:$H110&gt;0))&gt;0,5,0)))))</f>
        <v/>
      </c>
      <c r="J110" s="305">
        <f>$D$21+SUMPRODUCT(($D110:$H110=0)*$D$95:$H$95)</f>
        <v/>
      </c>
      <c r="K110" s="305">
        <f>IF(D110&lt;=0,0,MIN(ROUND(D110*(1+D$94/12),2),D$95+IF(D$96=$I110,$J110,0)))</f>
        <v/>
      </c>
      <c r="L110" s="305">
        <f>IF(E110&lt;=0,0,MIN(ROUND(E110*(1+E$94/12),2),E$95+IF(E$96=$I110,$J110,0)))</f>
        <v/>
      </c>
      <c r="M110" s="305">
        <f>IF(F110&lt;=0,0,MIN(ROUND(F110*(1+F$94/12),2),F$95+IF(F$96=$I110,$J110,0)))</f>
        <v/>
      </c>
      <c r="N110" s="305">
        <f>IF(G110&lt;=0,0,MIN(ROUND(G110*(1+G$94/12),2),G$95+IF(G$96=$I110,$J110,0)))</f>
        <v/>
      </c>
      <c r="O110" s="305">
        <f>IF(H110&lt;=0,0,MIN(ROUND(H110*(1+H$94/12),2),H$95+IF(H$96=$I110,$J110,0)))</f>
        <v/>
      </c>
      <c r="P110" s="305">
        <f>SUMPRODUCT($D110:$H110,$D$94:$H$94)/12</f>
        <v/>
      </c>
      <c r="Q110" s="305">
        <f>SUM($K110:$O110)</f>
        <v/>
      </c>
      <c r="R110" s="306">
        <f>SUM($D110:$H110)</f>
        <v/>
      </c>
      <c r="S110" s="1" t="n"/>
      <c r="T110" s="1" t="n"/>
      <c r="U110" s="1" t="n"/>
      <c r="V110" s="1" t="n"/>
      <c r="W110" s="1" t="n"/>
      <c r="X110" s="1" t="n"/>
      <c r="Y110" s="1" t="n"/>
      <c r="Z110" s="1" t="n"/>
    </row>
    <row r="111" ht="15.75" customHeight="1" s="311">
      <c r="A111" s="1" t="n"/>
      <c r="B111" s="303" t="n">
        <v>14</v>
      </c>
      <c r="C111" s="304">
        <f>EDATE(TODAY(),13)</f>
        <v/>
      </c>
      <c r="D111" s="305">
        <f>MAX(0,ROUND(D110*(1+D$94/12)-K110,2))</f>
        <v/>
      </c>
      <c r="E111" s="305">
        <f>MAX(0,ROUND(E110*(1+E$94/12)-L110,2))</f>
        <v/>
      </c>
      <c r="F111" s="305">
        <f>MAX(0,ROUND(F110*(1+F$94/12)-M110,2))</f>
        <v/>
      </c>
      <c r="G111" s="305">
        <f>MAX(0,ROUND(G110*(1+G$94/12)-N110,2))</f>
        <v/>
      </c>
      <c r="H111" s="305">
        <f>MAX(0,ROUND(H110*(1+H$94/12)-O110,2))</f>
        <v/>
      </c>
      <c r="I111" s="303">
        <f>IF(SUMPRODUCT(($D$96:$H$96=1)*($D111:$H111&gt;0))&gt;0,1,IF(SUMPRODUCT(($D$96:$H$96=2)*($D111:$H111&gt;0))&gt;0,2,IF(SUMPRODUCT(($D$96:$H$96=3)*($D111:$H111&gt;0))&gt;0,3,IF(SUMPRODUCT(($D$96:$H$96=4)*($D111:$H111&gt;0))&gt;0,4,IF(SUMPRODUCT(($D$96:$H$96=5)*($D111:$H111&gt;0))&gt;0,5,0)))))</f>
        <v/>
      </c>
      <c r="J111" s="305">
        <f>$D$21+SUMPRODUCT(($D111:$H111=0)*$D$95:$H$95)</f>
        <v/>
      </c>
      <c r="K111" s="305">
        <f>IF(D111&lt;=0,0,MIN(ROUND(D111*(1+D$94/12),2),D$95+IF(D$96=$I111,$J111,0)))</f>
        <v/>
      </c>
      <c r="L111" s="305">
        <f>IF(E111&lt;=0,0,MIN(ROUND(E111*(1+E$94/12),2),E$95+IF(E$96=$I111,$J111,0)))</f>
        <v/>
      </c>
      <c r="M111" s="305">
        <f>IF(F111&lt;=0,0,MIN(ROUND(F111*(1+F$94/12),2),F$95+IF(F$96=$I111,$J111,0)))</f>
        <v/>
      </c>
      <c r="N111" s="305">
        <f>IF(G111&lt;=0,0,MIN(ROUND(G111*(1+G$94/12),2),G$95+IF(G$96=$I111,$J111,0)))</f>
        <v/>
      </c>
      <c r="O111" s="305">
        <f>IF(H111&lt;=0,0,MIN(ROUND(H111*(1+H$94/12),2),H$95+IF(H$96=$I111,$J111,0)))</f>
        <v/>
      </c>
      <c r="P111" s="305">
        <f>SUMPRODUCT($D111:$H111,$D$94:$H$94)/12</f>
        <v/>
      </c>
      <c r="Q111" s="305">
        <f>SUM($K111:$O111)</f>
        <v/>
      </c>
      <c r="R111" s="306">
        <f>SUM($D111:$H111)</f>
        <v/>
      </c>
      <c r="S111" s="1" t="n"/>
      <c r="T111" s="1" t="n"/>
      <c r="U111" s="1" t="n"/>
      <c r="V111" s="1" t="n"/>
      <c r="W111" s="1" t="n"/>
      <c r="X111" s="1" t="n"/>
      <c r="Y111" s="1" t="n"/>
      <c r="Z111" s="1" t="n"/>
    </row>
    <row r="112" ht="15.75" customHeight="1" s="311">
      <c r="A112" s="1" t="n"/>
      <c r="B112" s="303" t="n">
        <v>15</v>
      </c>
      <c r="C112" s="304">
        <f>EDATE(TODAY(),14)</f>
        <v/>
      </c>
      <c r="D112" s="305">
        <f>MAX(0,ROUND(D111*(1+D$94/12)-K111,2))</f>
        <v/>
      </c>
      <c r="E112" s="305">
        <f>MAX(0,ROUND(E111*(1+E$94/12)-L111,2))</f>
        <v/>
      </c>
      <c r="F112" s="305">
        <f>MAX(0,ROUND(F111*(1+F$94/12)-M111,2))</f>
        <v/>
      </c>
      <c r="G112" s="305">
        <f>MAX(0,ROUND(G111*(1+G$94/12)-N111,2))</f>
        <v/>
      </c>
      <c r="H112" s="305">
        <f>MAX(0,ROUND(H111*(1+H$94/12)-O111,2))</f>
        <v/>
      </c>
      <c r="I112" s="303">
        <f>IF(SUMPRODUCT(($D$96:$H$96=1)*($D112:$H112&gt;0))&gt;0,1,IF(SUMPRODUCT(($D$96:$H$96=2)*($D112:$H112&gt;0))&gt;0,2,IF(SUMPRODUCT(($D$96:$H$96=3)*($D112:$H112&gt;0))&gt;0,3,IF(SUMPRODUCT(($D$96:$H$96=4)*($D112:$H112&gt;0))&gt;0,4,IF(SUMPRODUCT(($D$96:$H$96=5)*($D112:$H112&gt;0))&gt;0,5,0)))))</f>
        <v/>
      </c>
      <c r="J112" s="305">
        <f>$D$21+SUMPRODUCT(($D112:$H112=0)*$D$95:$H$95)</f>
        <v/>
      </c>
      <c r="K112" s="305">
        <f>IF(D112&lt;=0,0,MIN(ROUND(D112*(1+D$94/12),2),D$95+IF(D$96=$I112,$J112,0)))</f>
        <v/>
      </c>
      <c r="L112" s="305">
        <f>IF(E112&lt;=0,0,MIN(ROUND(E112*(1+E$94/12),2),E$95+IF(E$96=$I112,$J112,0)))</f>
        <v/>
      </c>
      <c r="M112" s="305">
        <f>IF(F112&lt;=0,0,MIN(ROUND(F112*(1+F$94/12),2),F$95+IF(F$96=$I112,$J112,0)))</f>
        <v/>
      </c>
      <c r="N112" s="305">
        <f>IF(G112&lt;=0,0,MIN(ROUND(G112*(1+G$94/12),2),G$95+IF(G$96=$I112,$J112,0)))</f>
        <v/>
      </c>
      <c r="O112" s="305">
        <f>IF(H112&lt;=0,0,MIN(ROUND(H112*(1+H$94/12),2),H$95+IF(H$96=$I112,$J112,0)))</f>
        <v/>
      </c>
      <c r="P112" s="305">
        <f>SUMPRODUCT($D112:$H112,$D$94:$H$94)/12</f>
        <v/>
      </c>
      <c r="Q112" s="305">
        <f>SUM($K112:$O112)</f>
        <v/>
      </c>
      <c r="R112" s="306">
        <f>SUM($D112:$H112)</f>
        <v/>
      </c>
      <c r="S112" s="1" t="n"/>
      <c r="T112" s="1" t="n"/>
      <c r="U112" s="1" t="n"/>
      <c r="V112" s="1" t="n"/>
      <c r="W112" s="1" t="n"/>
      <c r="X112" s="1" t="n"/>
      <c r="Y112" s="1" t="n"/>
      <c r="Z112" s="1" t="n"/>
    </row>
    <row r="113" ht="15.75" customHeight="1" s="311">
      <c r="A113" s="1" t="n"/>
      <c r="B113" s="303" t="n">
        <v>16</v>
      </c>
      <c r="C113" s="304">
        <f>EDATE(TODAY(),15)</f>
        <v/>
      </c>
      <c r="D113" s="305">
        <f>MAX(0,ROUND(D112*(1+D$94/12)-K112,2))</f>
        <v/>
      </c>
      <c r="E113" s="305">
        <f>MAX(0,ROUND(E112*(1+E$94/12)-L112,2))</f>
        <v/>
      </c>
      <c r="F113" s="305">
        <f>MAX(0,ROUND(F112*(1+F$94/12)-M112,2))</f>
        <v/>
      </c>
      <c r="G113" s="305">
        <f>MAX(0,ROUND(G112*(1+G$94/12)-N112,2))</f>
        <v/>
      </c>
      <c r="H113" s="305">
        <f>MAX(0,ROUND(H112*(1+H$94/12)-O112,2))</f>
        <v/>
      </c>
      <c r="I113" s="303">
        <f>IF(SUMPRODUCT(($D$96:$H$96=1)*($D113:$H113&gt;0))&gt;0,1,IF(SUMPRODUCT(($D$96:$H$96=2)*($D113:$H113&gt;0))&gt;0,2,IF(SUMPRODUCT(($D$96:$H$96=3)*($D113:$H113&gt;0))&gt;0,3,IF(SUMPRODUCT(($D$96:$H$96=4)*($D113:$H113&gt;0))&gt;0,4,IF(SUMPRODUCT(($D$96:$H$96=5)*($D113:$H113&gt;0))&gt;0,5,0)))))</f>
        <v/>
      </c>
      <c r="J113" s="305">
        <f>$D$21+SUMPRODUCT(($D113:$H113=0)*$D$95:$H$95)</f>
        <v/>
      </c>
      <c r="K113" s="305">
        <f>IF(D113&lt;=0,0,MIN(ROUND(D113*(1+D$94/12),2),D$95+IF(D$96=$I113,$J113,0)))</f>
        <v/>
      </c>
      <c r="L113" s="305">
        <f>IF(E113&lt;=0,0,MIN(ROUND(E113*(1+E$94/12),2),E$95+IF(E$96=$I113,$J113,0)))</f>
        <v/>
      </c>
      <c r="M113" s="305">
        <f>IF(F113&lt;=0,0,MIN(ROUND(F113*(1+F$94/12),2),F$95+IF(F$96=$I113,$J113,0)))</f>
        <v/>
      </c>
      <c r="N113" s="305">
        <f>IF(G113&lt;=0,0,MIN(ROUND(G113*(1+G$94/12),2),G$95+IF(G$96=$I113,$J113,0)))</f>
        <v/>
      </c>
      <c r="O113" s="305">
        <f>IF(H113&lt;=0,0,MIN(ROUND(H113*(1+H$94/12),2),H$95+IF(H$96=$I113,$J113,0)))</f>
        <v/>
      </c>
      <c r="P113" s="305">
        <f>SUMPRODUCT($D113:$H113,$D$94:$H$94)/12</f>
        <v/>
      </c>
      <c r="Q113" s="305">
        <f>SUM($K113:$O113)</f>
        <v/>
      </c>
      <c r="R113" s="306">
        <f>SUM($D113:$H113)</f>
        <v/>
      </c>
      <c r="S113" s="1" t="n"/>
      <c r="T113" s="1" t="n"/>
      <c r="U113" s="1" t="n"/>
      <c r="V113" s="1" t="n"/>
      <c r="W113" s="1" t="n"/>
      <c r="X113" s="1" t="n"/>
      <c r="Y113" s="1" t="n"/>
      <c r="Z113" s="1" t="n"/>
    </row>
    <row r="114" ht="15.75" customHeight="1" s="311">
      <c r="A114" s="1" t="n"/>
      <c r="B114" s="303" t="n">
        <v>17</v>
      </c>
      <c r="C114" s="304">
        <f>EDATE(TODAY(),16)</f>
        <v/>
      </c>
      <c r="D114" s="305">
        <f>MAX(0,ROUND(D113*(1+D$94/12)-K113,2))</f>
        <v/>
      </c>
      <c r="E114" s="305">
        <f>MAX(0,ROUND(E113*(1+E$94/12)-L113,2))</f>
        <v/>
      </c>
      <c r="F114" s="305">
        <f>MAX(0,ROUND(F113*(1+F$94/12)-M113,2))</f>
        <v/>
      </c>
      <c r="G114" s="305">
        <f>MAX(0,ROUND(G113*(1+G$94/12)-N113,2))</f>
        <v/>
      </c>
      <c r="H114" s="305">
        <f>MAX(0,ROUND(H113*(1+H$94/12)-O113,2))</f>
        <v/>
      </c>
      <c r="I114" s="303">
        <f>IF(SUMPRODUCT(($D$96:$H$96=1)*($D114:$H114&gt;0))&gt;0,1,IF(SUMPRODUCT(($D$96:$H$96=2)*($D114:$H114&gt;0))&gt;0,2,IF(SUMPRODUCT(($D$96:$H$96=3)*($D114:$H114&gt;0))&gt;0,3,IF(SUMPRODUCT(($D$96:$H$96=4)*($D114:$H114&gt;0))&gt;0,4,IF(SUMPRODUCT(($D$96:$H$96=5)*($D114:$H114&gt;0))&gt;0,5,0)))))</f>
        <v/>
      </c>
      <c r="J114" s="305">
        <f>$D$21+SUMPRODUCT(($D114:$H114=0)*$D$95:$H$95)</f>
        <v/>
      </c>
      <c r="K114" s="305">
        <f>IF(D114&lt;=0,0,MIN(ROUND(D114*(1+D$94/12),2),D$95+IF(D$96=$I114,$J114,0)))</f>
        <v/>
      </c>
      <c r="L114" s="305">
        <f>IF(E114&lt;=0,0,MIN(ROUND(E114*(1+E$94/12),2),E$95+IF(E$96=$I114,$J114,0)))</f>
        <v/>
      </c>
      <c r="M114" s="305">
        <f>IF(F114&lt;=0,0,MIN(ROUND(F114*(1+F$94/12),2),F$95+IF(F$96=$I114,$J114,0)))</f>
        <v/>
      </c>
      <c r="N114" s="305">
        <f>IF(G114&lt;=0,0,MIN(ROUND(G114*(1+G$94/12),2),G$95+IF(G$96=$I114,$J114,0)))</f>
        <v/>
      </c>
      <c r="O114" s="305">
        <f>IF(H114&lt;=0,0,MIN(ROUND(H114*(1+H$94/12),2),H$95+IF(H$96=$I114,$J114,0)))</f>
        <v/>
      </c>
      <c r="P114" s="305">
        <f>SUMPRODUCT($D114:$H114,$D$94:$H$94)/12</f>
        <v/>
      </c>
      <c r="Q114" s="305">
        <f>SUM($K114:$O114)</f>
        <v/>
      </c>
      <c r="R114" s="306">
        <f>SUM($D114:$H114)</f>
        <v/>
      </c>
      <c r="S114" s="1" t="n"/>
      <c r="T114" s="1" t="n"/>
      <c r="U114" s="1" t="n"/>
      <c r="V114" s="1" t="n"/>
      <c r="W114" s="1" t="n"/>
      <c r="X114" s="1" t="n"/>
      <c r="Y114" s="1" t="n"/>
      <c r="Z114" s="1" t="n"/>
    </row>
    <row r="115" ht="15.75" customHeight="1" s="311">
      <c r="A115" s="1" t="n"/>
      <c r="B115" s="303" t="n">
        <v>18</v>
      </c>
      <c r="C115" s="304">
        <f>EDATE(TODAY(),17)</f>
        <v/>
      </c>
      <c r="D115" s="305">
        <f>MAX(0,ROUND(D114*(1+D$94/12)-K114,2))</f>
        <v/>
      </c>
      <c r="E115" s="305">
        <f>MAX(0,ROUND(E114*(1+E$94/12)-L114,2))</f>
        <v/>
      </c>
      <c r="F115" s="305">
        <f>MAX(0,ROUND(F114*(1+F$94/12)-M114,2))</f>
        <v/>
      </c>
      <c r="G115" s="305">
        <f>MAX(0,ROUND(G114*(1+G$94/12)-N114,2))</f>
        <v/>
      </c>
      <c r="H115" s="305">
        <f>MAX(0,ROUND(H114*(1+H$94/12)-O114,2))</f>
        <v/>
      </c>
      <c r="I115" s="303">
        <f>IF(SUMPRODUCT(($D$96:$H$96=1)*($D115:$H115&gt;0))&gt;0,1,IF(SUMPRODUCT(($D$96:$H$96=2)*($D115:$H115&gt;0))&gt;0,2,IF(SUMPRODUCT(($D$96:$H$96=3)*($D115:$H115&gt;0))&gt;0,3,IF(SUMPRODUCT(($D$96:$H$96=4)*($D115:$H115&gt;0))&gt;0,4,IF(SUMPRODUCT(($D$96:$H$96=5)*($D115:$H115&gt;0))&gt;0,5,0)))))</f>
        <v/>
      </c>
      <c r="J115" s="305">
        <f>$D$21+SUMPRODUCT(($D115:$H115=0)*$D$95:$H$95)</f>
        <v/>
      </c>
      <c r="K115" s="305">
        <f>IF(D115&lt;=0,0,MIN(ROUND(D115*(1+D$94/12),2),D$95+IF(D$96=$I115,$J115,0)))</f>
        <v/>
      </c>
      <c r="L115" s="305">
        <f>IF(E115&lt;=0,0,MIN(ROUND(E115*(1+E$94/12),2),E$95+IF(E$96=$I115,$J115,0)))</f>
        <v/>
      </c>
      <c r="M115" s="305">
        <f>IF(F115&lt;=0,0,MIN(ROUND(F115*(1+F$94/12),2),F$95+IF(F$96=$I115,$J115,0)))</f>
        <v/>
      </c>
      <c r="N115" s="305">
        <f>IF(G115&lt;=0,0,MIN(ROUND(G115*(1+G$94/12),2),G$95+IF(G$96=$I115,$J115,0)))</f>
        <v/>
      </c>
      <c r="O115" s="305">
        <f>IF(H115&lt;=0,0,MIN(ROUND(H115*(1+H$94/12),2),H$95+IF(H$96=$I115,$J115,0)))</f>
        <v/>
      </c>
      <c r="P115" s="305">
        <f>SUMPRODUCT($D115:$H115,$D$94:$H$94)/12</f>
        <v/>
      </c>
      <c r="Q115" s="305">
        <f>SUM($K115:$O115)</f>
        <v/>
      </c>
      <c r="R115" s="306">
        <f>SUM($D115:$H115)</f>
        <v/>
      </c>
      <c r="S115" s="1" t="n"/>
      <c r="T115" s="1" t="n"/>
      <c r="U115" s="1" t="n"/>
      <c r="V115" s="1" t="n"/>
      <c r="W115" s="1" t="n"/>
      <c r="X115" s="1" t="n"/>
      <c r="Y115" s="1" t="n"/>
      <c r="Z115" s="1" t="n"/>
    </row>
    <row r="116" ht="15.75" customHeight="1" s="311">
      <c r="A116" s="1" t="n"/>
      <c r="B116" s="303" t="n">
        <v>19</v>
      </c>
      <c r="C116" s="304">
        <f>EDATE(TODAY(),18)</f>
        <v/>
      </c>
      <c r="D116" s="305">
        <f>MAX(0,ROUND(D115*(1+D$94/12)-K115,2))</f>
        <v/>
      </c>
      <c r="E116" s="305">
        <f>MAX(0,ROUND(E115*(1+E$94/12)-L115,2))</f>
        <v/>
      </c>
      <c r="F116" s="305">
        <f>MAX(0,ROUND(F115*(1+F$94/12)-M115,2))</f>
        <v/>
      </c>
      <c r="G116" s="305">
        <f>MAX(0,ROUND(G115*(1+G$94/12)-N115,2))</f>
        <v/>
      </c>
      <c r="H116" s="305">
        <f>MAX(0,ROUND(H115*(1+H$94/12)-O115,2))</f>
        <v/>
      </c>
      <c r="I116" s="303">
        <f>IF(SUMPRODUCT(($D$96:$H$96=1)*($D116:$H116&gt;0))&gt;0,1,IF(SUMPRODUCT(($D$96:$H$96=2)*($D116:$H116&gt;0))&gt;0,2,IF(SUMPRODUCT(($D$96:$H$96=3)*($D116:$H116&gt;0))&gt;0,3,IF(SUMPRODUCT(($D$96:$H$96=4)*($D116:$H116&gt;0))&gt;0,4,IF(SUMPRODUCT(($D$96:$H$96=5)*($D116:$H116&gt;0))&gt;0,5,0)))))</f>
        <v/>
      </c>
      <c r="J116" s="305">
        <f>$D$21+SUMPRODUCT(($D116:$H116=0)*$D$95:$H$95)</f>
        <v/>
      </c>
      <c r="K116" s="305">
        <f>IF(D116&lt;=0,0,MIN(ROUND(D116*(1+D$94/12),2),D$95+IF(D$96=$I116,$J116,0)))</f>
        <v/>
      </c>
      <c r="L116" s="305">
        <f>IF(E116&lt;=0,0,MIN(ROUND(E116*(1+E$94/12),2),E$95+IF(E$96=$I116,$J116,0)))</f>
        <v/>
      </c>
      <c r="M116" s="305">
        <f>IF(F116&lt;=0,0,MIN(ROUND(F116*(1+F$94/12),2),F$95+IF(F$96=$I116,$J116,0)))</f>
        <v/>
      </c>
      <c r="N116" s="305">
        <f>IF(G116&lt;=0,0,MIN(ROUND(G116*(1+G$94/12),2),G$95+IF(G$96=$I116,$J116,0)))</f>
        <v/>
      </c>
      <c r="O116" s="305">
        <f>IF(H116&lt;=0,0,MIN(ROUND(H116*(1+H$94/12),2),H$95+IF(H$96=$I116,$J116,0)))</f>
        <v/>
      </c>
      <c r="P116" s="305">
        <f>SUMPRODUCT($D116:$H116,$D$94:$H$94)/12</f>
        <v/>
      </c>
      <c r="Q116" s="305">
        <f>SUM($K116:$O116)</f>
        <v/>
      </c>
      <c r="R116" s="306">
        <f>SUM($D116:$H116)</f>
        <v/>
      </c>
      <c r="S116" s="1" t="n"/>
      <c r="T116" s="1" t="n"/>
      <c r="U116" s="1" t="n"/>
      <c r="V116" s="1" t="n"/>
      <c r="W116" s="1" t="n"/>
      <c r="X116" s="1" t="n"/>
      <c r="Y116" s="1" t="n"/>
      <c r="Z116" s="1" t="n"/>
    </row>
    <row r="117" ht="15.75" customHeight="1" s="311">
      <c r="A117" s="1" t="n"/>
      <c r="B117" s="303" t="n">
        <v>20</v>
      </c>
      <c r="C117" s="304">
        <f>EDATE(TODAY(),19)</f>
        <v/>
      </c>
      <c r="D117" s="305">
        <f>MAX(0,ROUND(D116*(1+D$94/12)-K116,2))</f>
        <v/>
      </c>
      <c r="E117" s="305">
        <f>MAX(0,ROUND(E116*(1+E$94/12)-L116,2))</f>
        <v/>
      </c>
      <c r="F117" s="305">
        <f>MAX(0,ROUND(F116*(1+F$94/12)-M116,2))</f>
        <v/>
      </c>
      <c r="G117" s="305">
        <f>MAX(0,ROUND(G116*(1+G$94/12)-N116,2))</f>
        <v/>
      </c>
      <c r="H117" s="305">
        <f>MAX(0,ROUND(H116*(1+H$94/12)-O116,2))</f>
        <v/>
      </c>
      <c r="I117" s="303">
        <f>IF(SUMPRODUCT(($D$96:$H$96=1)*($D117:$H117&gt;0))&gt;0,1,IF(SUMPRODUCT(($D$96:$H$96=2)*($D117:$H117&gt;0))&gt;0,2,IF(SUMPRODUCT(($D$96:$H$96=3)*($D117:$H117&gt;0))&gt;0,3,IF(SUMPRODUCT(($D$96:$H$96=4)*($D117:$H117&gt;0))&gt;0,4,IF(SUMPRODUCT(($D$96:$H$96=5)*($D117:$H117&gt;0))&gt;0,5,0)))))</f>
        <v/>
      </c>
      <c r="J117" s="305">
        <f>$D$21+SUMPRODUCT(($D117:$H117=0)*$D$95:$H$95)</f>
        <v/>
      </c>
      <c r="K117" s="305">
        <f>IF(D117&lt;=0,0,MIN(ROUND(D117*(1+D$94/12),2),D$95+IF(D$96=$I117,$J117,0)))</f>
        <v/>
      </c>
      <c r="L117" s="305">
        <f>IF(E117&lt;=0,0,MIN(ROUND(E117*(1+E$94/12),2),E$95+IF(E$96=$I117,$J117,0)))</f>
        <v/>
      </c>
      <c r="M117" s="305">
        <f>IF(F117&lt;=0,0,MIN(ROUND(F117*(1+F$94/12),2),F$95+IF(F$96=$I117,$J117,0)))</f>
        <v/>
      </c>
      <c r="N117" s="305">
        <f>IF(G117&lt;=0,0,MIN(ROUND(G117*(1+G$94/12),2),G$95+IF(G$96=$I117,$J117,0)))</f>
        <v/>
      </c>
      <c r="O117" s="305">
        <f>IF(H117&lt;=0,0,MIN(ROUND(H117*(1+H$94/12),2),H$95+IF(H$96=$I117,$J117,0)))</f>
        <v/>
      </c>
      <c r="P117" s="305">
        <f>SUMPRODUCT($D117:$H117,$D$94:$H$94)/12</f>
        <v/>
      </c>
      <c r="Q117" s="305">
        <f>SUM($K117:$O117)</f>
        <v/>
      </c>
      <c r="R117" s="306">
        <f>SUM($D117:$H117)</f>
        <v/>
      </c>
      <c r="S117" s="1" t="n"/>
      <c r="T117" s="1" t="n"/>
      <c r="U117" s="1" t="n"/>
      <c r="V117" s="1" t="n"/>
      <c r="W117" s="1" t="n"/>
      <c r="X117" s="1" t="n"/>
      <c r="Y117" s="1" t="n"/>
      <c r="Z117" s="1" t="n"/>
    </row>
    <row r="118" ht="15.75" customHeight="1" s="311">
      <c r="A118" s="1" t="n"/>
      <c r="B118" s="303" t="n">
        <v>21</v>
      </c>
      <c r="C118" s="304">
        <f>EDATE(TODAY(),20)</f>
        <v/>
      </c>
      <c r="D118" s="305">
        <f>MAX(0,ROUND(D117*(1+D$94/12)-K117,2))</f>
        <v/>
      </c>
      <c r="E118" s="305">
        <f>MAX(0,ROUND(E117*(1+E$94/12)-L117,2))</f>
        <v/>
      </c>
      <c r="F118" s="305">
        <f>MAX(0,ROUND(F117*(1+F$94/12)-M117,2))</f>
        <v/>
      </c>
      <c r="G118" s="305">
        <f>MAX(0,ROUND(G117*(1+G$94/12)-N117,2))</f>
        <v/>
      </c>
      <c r="H118" s="305">
        <f>MAX(0,ROUND(H117*(1+H$94/12)-O117,2))</f>
        <v/>
      </c>
      <c r="I118" s="303">
        <f>IF(SUMPRODUCT(($D$96:$H$96=1)*($D118:$H118&gt;0))&gt;0,1,IF(SUMPRODUCT(($D$96:$H$96=2)*($D118:$H118&gt;0))&gt;0,2,IF(SUMPRODUCT(($D$96:$H$96=3)*($D118:$H118&gt;0))&gt;0,3,IF(SUMPRODUCT(($D$96:$H$96=4)*($D118:$H118&gt;0))&gt;0,4,IF(SUMPRODUCT(($D$96:$H$96=5)*($D118:$H118&gt;0))&gt;0,5,0)))))</f>
        <v/>
      </c>
      <c r="J118" s="305">
        <f>$D$21+SUMPRODUCT(($D118:$H118=0)*$D$95:$H$95)</f>
        <v/>
      </c>
      <c r="K118" s="305">
        <f>IF(D118&lt;=0,0,MIN(ROUND(D118*(1+D$94/12),2),D$95+IF(D$96=$I118,$J118,0)))</f>
        <v/>
      </c>
      <c r="L118" s="305">
        <f>IF(E118&lt;=0,0,MIN(ROUND(E118*(1+E$94/12),2),E$95+IF(E$96=$I118,$J118,0)))</f>
        <v/>
      </c>
      <c r="M118" s="305">
        <f>IF(F118&lt;=0,0,MIN(ROUND(F118*(1+F$94/12),2),F$95+IF(F$96=$I118,$J118,0)))</f>
        <v/>
      </c>
      <c r="N118" s="305">
        <f>IF(G118&lt;=0,0,MIN(ROUND(G118*(1+G$94/12),2),G$95+IF(G$96=$I118,$J118,0)))</f>
        <v/>
      </c>
      <c r="O118" s="305">
        <f>IF(H118&lt;=0,0,MIN(ROUND(H118*(1+H$94/12),2),H$95+IF(H$96=$I118,$J118,0)))</f>
        <v/>
      </c>
      <c r="P118" s="305">
        <f>SUMPRODUCT($D118:$H118,$D$94:$H$94)/12</f>
        <v/>
      </c>
      <c r="Q118" s="305">
        <f>SUM($K118:$O118)</f>
        <v/>
      </c>
      <c r="R118" s="306">
        <f>SUM($D118:$H118)</f>
        <v/>
      </c>
      <c r="S118" s="1" t="n"/>
      <c r="T118" s="1" t="n"/>
      <c r="U118" s="1" t="n"/>
      <c r="V118" s="1" t="n"/>
      <c r="W118" s="1" t="n"/>
      <c r="X118" s="1" t="n"/>
      <c r="Y118" s="1" t="n"/>
      <c r="Z118" s="1" t="n"/>
    </row>
    <row r="119" ht="15.75" customHeight="1" s="311">
      <c r="A119" s="1" t="n"/>
      <c r="B119" s="303" t="n">
        <v>22</v>
      </c>
      <c r="C119" s="304">
        <f>EDATE(TODAY(),21)</f>
        <v/>
      </c>
      <c r="D119" s="305">
        <f>MAX(0,ROUND(D118*(1+D$94/12)-K118,2))</f>
        <v/>
      </c>
      <c r="E119" s="305">
        <f>MAX(0,ROUND(E118*(1+E$94/12)-L118,2))</f>
        <v/>
      </c>
      <c r="F119" s="305">
        <f>MAX(0,ROUND(F118*(1+F$94/12)-M118,2))</f>
        <v/>
      </c>
      <c r="G119" s="305">
        <f>MAX(0,ROUND(G118*(1+G$94/12)-N118,2))</f>
        <v/>
      </c>
      <c r="H119" s="305">
        <f>MAX(0,ROUND(H118*(1+H$94/12)-O118,2))</f>
        <v/>
      </c>
      <c r="I119" s="303">
        <f>IF(SUMPRODUCT(($D$96:$H$96=1)*($D119:$H119&gt;0))&gt;0,1,IF(SUMPRODUCT(($D$96:$H$96=2)*($D119:$H119&gt;0))&gt;0,2,IF(SUMPRODUCT(($D$96:$H$96=3)*($D119:$H119&gt;0))&gt;0,3,IF(SUMPRODUCT(($D$96:$H$96=4)*($D119:$H119&gt;0))&gt;0,4,IF(SUMPRODUCT(($D$96:$H$96=5)*($D119:$H119&gt;0))&gt;0,5,0)))))</f>
        <v/>
      </c>
      <c r="J119" s="305">
        <f>$D$21+SUMPRODUCT(($D119:$H119=0)*$D$95:$H$95)</f>
        <v/>
      </c>
      <c r="K119" s="305">
        <f>IF(D119&lt;=0,0,MIN(ROUND(D119*(1+D$94/12),2),D$95+IF(D$96=$I119,$J119,0)))</f>
        <v/>
      </c>
      <c r="L119" s="305">
        <f>IF(E119&lt;=0,0,MIN(ROUND(E119*(1+E$94/12),2),E$95+IF(E$96=$I119,$J119,0)))</f>
        <v/>
      </c>
      <c r="M119" s="305">
        <f>IF(F119&lt;=0,0,MIN(ROUND(F119*(1+F$94/12),2),F$95+IF(F$96=$I119,$J119,0)))</f>
        <v/>
      </c>
      <c r="N119" s="305">
        <f>IF(G119&lt;=0,0,MIN(ROUND(G119*(1+G$94/12),2),G$95+IF(G$96=$I119,$J119,0)))</f>
        <v/>
      </c>
      <c r="O119" s="305">
        <f>IF(H119&lt;=0,0,MIN(ROUND(H119*(1+H$94/12),2),H$95+IF(H$96=$I119,$J119,0)))</f>
        <v/>
      </c>
      <c r="P119" s="305">
        <f>SUMPRODUCT($D119:$H119,$D$94:$H$94)/12</f>
        <v/>
      </c>
      <c r="Q119" s="305">
        <f>SUM($K119:$O119)</f>
        <v/>
      </c>
      <c r="R119" s="306">
        <f>SUM($D119:$H119)</f>
        <v/>
      </c>
      <c r="S119" s="1" t="n"/>
      <c r="T119" s="1" t="n"/>
      <c r="U119" s="1" t="n"/>
      <c r="V119" s="1" t="n"/>
      <c r="W119" s="1" t="n"/>
      <c r="X119" s="1" t="n"/>
      <c r="Y119" s="1" t="n"/>
      <c r="Z119" s="1" t="n"/>
    </row>
    <row r="120" ht="15.75" customHeight="1" s="311">
      <c r="A120" s="1" t="n"/>
      <c r="B120" s="303" t="n">
        <v>23</v>
      </c>
      <c r="C120" s="304">
        <f>EDATE(TODAY(),22)</f>
        <v/>
      </c>
      <c r="D120" s="305">
        <f>MAX(0,ROUND(D119*(1+D$94/12)-K119,2))</f>
        <v/>
      </c>
      <c r="E120" s="305">
        <f>MAX(0,ROUND(E119*(1+E$94/12)-L119,2))</f>
        <v/>
      </c>
      <c r="F120" s="305">
        <f>MAX(0,ROUND(F119*(1+F$94/12)-M119,2))</f>
        <v/>
      </c>
      <c r="G120" s="305">
        <f>MAX(0,ROUND(G119*(1+G$94/12)-N119,2))</f>
        <v/>
      </c>
      <c r="H120" s="305">
        <f>MAX(0,ROUND(H119*(1+H$94/12)-O119,2))</f>
        <v/>
      </c>
      <c r="I120" s="303">
        <f>IF(SUMPRODUCT(($D$96:$H$96=1)*($D120:$H120&gt;0))&gt;0,1,IF(SUMPRODUCT(($D$96:$H$96=2)*($D120:$H120&gt;0))&gt;0,2,IF(SUMPRODUCT(($D$96:$H$96=3)*($D120:$H120&gt;0))&gt;0,3,IF(SUMPRODUCT(($D$96:$H$96=4)*($D120:$H120&gt;0))&gt;0,4,IF(SUMPRODUCT(($D$96:$H$96=5)*($D120:$H120&gt;0))&gt;0,5,0)))))</f>
        <v/>
      </c>
      <c r="J120" s="305">
        <f>$D$21+SUMPRODUCT(($D120:$H120=0)*$D$95:$H$95)</f>
        <v/>
      </c>
      <c r="K120" s="305">
        <f>IF(D120&lt;=0,0,MIN(ROUND(D120*(1+D$94/12),2),D$95+IF(D$96=$I120,$J120,0)))</f>
        <v/>
      </c>
      <c r="L120" s="305">
        <f>IF(E120&lt;=0,0,MIN(ROUND(E120*(1+E$94/12),2),E$95+IF(E$96=$I120,$J120,0)))</f>
        <v/>
      </c>
      <c r="M120" s="305">
        <f>IF(F120&lt;=0,0,MIN(ROUND(F120*(1+F$94/12),2),F$95+IF(F$96=$I120,$J120,0)))</f>
        <v/>
      </c>
      <c r="N120" s="305">
        <f>IF(G120&lt;=0,0,MIN(ROUND(G120*(1+G$94/12),2),G$95+IF(G$96=$I120,$J120,0)))</f>
        <v/>
      </c>
      <c r="O120" s="305">
        <f>IF(H120&lt;=0,0,MIN(ROUND(H120*(1+H$94/12),2),H$95+IF(H$96=$I120,$J120,0)))</f>
        <v/>
      </c>
      <c r="P120" s="305">
        <f>SUMPRODUCT($D120:$H120,$D$94:$H$94)/12</f>
        <v/>
      </c>
      <c r="Q120" s="305">
        <f>SUM($K120:$O120)</f>
        <v/>
      </c>
      <c r="R120" s="306">
        <f>SUM($D120:$H120)</f>
        <v/>
      </c>
      <c r="S120" s="1" t="n"/>
      <c r="T120" s="1" t="n"/>
      <c r="U120" s="1" t="n"/>
      <c r="V120" s="1" t="n"/>
      <c r="W120" s="1" t="n"/>
      <c r="X120" s="1" t="n"/>
      <c r="Y120" s="1" t="n"/>
      <c r="Z120" s="1" t="n"/>
    </row>
    <row r="121" ht="15.75" customHeight="1" s="311">
      <c r="A121" s="1" t="n"/>
      <c r="B121" s="303" t="n">
        <v>24</v>
      </c>
      <c r="C121" s="304">
        <f>EDATE(TODAY(),23)</f>
        <v/>
      </c>
      <c r="D121" s="305">
        <f>MAX(0,ROUND(D120*(1+D$94/12)-K120,2))</f>
        <v/>
      </c>
      <c r="E121" s="305">
        <f>MAX(0,ROUND(E120*(1+E$94/12)-L120,2))</f>
        <v/>
      </c>
      <c r="F121" s="305">
        <f>MAX(0,ROUND(F120*(1+F$94/12)-M120,2))</f>
        <v/>
      </c>
      <c r="G121" s="305">
        <f>MAX(0,ROUND(G120*(1+G$94/12)-N120,2))</f>
        <v/>
      </c>
      <c r="H121" s="305">
        <f>MAX(0,ROUND(H120*(1+H$94/12)-O120,2))</f>
        <v/>
      </c>
      <c r="I121" s="303">
        <f>IF(SUMPRODUCT(($D$96:$H$96=1)*($D121:$H121&gt;0))&gt;0,1,IF(SUMPRODUCT(($D$96:$H$96=2)*($D121:$H121&gt;0))&gt;0,2,IF(SUMPRODUCT(($D$96:$H$96=3)*($D121:$H121&gt;0))&gt;0,3,IF(SUMPRODUCT(($D$96:$H$96=4)*($D121:$H121&gt;0))&gt;0,4,IF(SUMPRODUCT(($D$96:$H$96=5)*($D121:$H121&gt;0))&gt;0,5,0)))))</f>
        <v/>
      </c>
      <c r="J121" s="305">
        <f>$D$21+SUMPRODUCT(($D121:$H121=0)*$D$95:$H$95)</f>
        <v/>
      </c>
      <c r="K121" s="305">
        <f>IF(D121&lt;=0,0,MIN(ROUND(D121*(1+D$94/12),2),D$95+IF(D$96=$I121,$J121,0)))</f>
        <v/>
      </c>
      <c r="L121" s="305">
        <f>IF(E121&lt;=0,0,MIN(ROUND(E121*(1+E$94/12),2),E$95+IF(E$96=$I121,$J121,0)))</f>
        <v/>
      </c>
      <c r="M121" s="305">
        <f>IF(F121&lt;=0,0,MIN(ROUND(F121*(1+F$94/12),2),F$95+IF(F$96=$I121,$J121,0)))</f>
        <v/>
      </c>
      <c r="N121" s="305">
        <f>IF(G121&lt;=0,0,MIN(ROUND(G121*(1+G$94/12),2),G$95+IF(G$96=$I121,$J121,0)))</f>
        <v/>
      </c>
      <c r="O121" s="305">
        <f>IF(H121&lt;=0,0,MIN(ROUND(H121*(1+H$94/12),2),H$95+IF(H$96=$I121,$J121,0)))</f>
        <v/>
      </c>
      <c r="P121" s="305">
        <f>SUMPRODUCT($D121:$H121,$D$94:$H$94)/12</f>
        <v/>
      </c>
      <c r="Q121" s="305">
        <f>SUM($K121:$O121)</f>
        <v/>
      </c>
      <c r="R121" s="306">
        <f>SUM($D121:$H121)</f>
        <v/>
      </c>
      <c r="S121" s="1" t="n"/>
      <c r="T121" s="1" t="n"/>
      <c r="U121" s="1" t="n"/>
      <c r="V121" s="1" t="n"/>
      <c r="W121" s="1" t="n"/>
      <c r="X121" s="1" t="n"/>
      <c r="Y121" s="1" t="n"/>
      <c r="Z121" s="1" t="n"/>
    </row>
    <row r="122" ht="15.75" customHeight="1" s="311">
      <c r="A122" s="1" t="n"/>
      <c r="B122" s="303" t="n">
        <v>25</v>
      </c>
      <c r="C122" s="304">
        <f>EDATE(TODAY(),24)</f>
        <v/>
      </c>
      <c r="D122" s="305">
        <f>MAX(0,ROUND(D121*(1+D$94/12)-K121,2))</f>
        <v/>
      </c>
      <c r="E122" s="305">
        <f>MAX(0,ROUND(E121*(1+E$94/12)-L121,2))</f>
        <v/>
      </c>
      <c r="F122" s="305">
        <f>MAX(0,ROUND(F121*(1+F$94/12)-M121,2))</f>
        <v/>
      </c>
      <c r="G122" s="305">
        <f>MAX(0,ROUND(G121*(1+G$94/12)-N121,2))</f>
        <v/>
      </c>
      <c r="H122" s="305">
        <f>MAX(0,ROUND(H121*(1+H$94/12)-O121,2))</f>
        <v/>
      </c>
      <c r="I122" s="303">
        <f>IF(SUMPRODUCT(($D$96:$H$96=1)*($D122:$H122&gt;0))&gt;0,1,IF(SUMPRODUCT(($D$96:$H$96=2)*($D122:$H122&gt;0))&gt;0,2,IF(SUMPRODUCT(($D$96:$H$96=3)*($D122:$H122&gt;0))&gt;0,3,IF(SUMPRODUCT(($D$96:$H$96=4)*($D122:$H122&gt;0))&gt;0,4,IF(SUMPRODUCT(($D$96:$H$96=5)*($D122:$H122&gt;0))&gt;0,5,0)))))</f>
        <v/>
      </c>
      <c r="J122" s="305">
        <f>$D$21+SUMPRODUCT(($D122:$H122=0)*$D$95:$H$95)</f>
        <v/>
      </c>
      <c r="K122" s="305">
        <f>IF(D122&lt;=0,0,MIN(ROUND(D122*(1+D$94/12),2),D$95+IF(D$96=$I122,$J122,0)))</f>
        <v/>
      </c>
      <c r="L122" s="305">
        <f>IF(E122&lt;=0,0,MIN(ROUND(E122*(1+E$94/12),2),E$95+IF(E$96=$I122,$J122,0)))</f>
        <v/>
      </c>
      <c r="M122" s="305">
        <f>IF(F122&lt;=0,0,MIN(ROUND(F122*(1+F$94/12),2),F$95+IF(F$96=$I122,$J122,0)))</f>
        <v/>
      </c>
      <c r="N122" s="305">
        <f>IF(G122&lt;=0,0,MIN(ROUND(G122*(1+G$94/12),2),G$95+IF(G$96=$I122,$J122,0)))</f>
        <v/>
      </c>
      <c r="O122" s="305">
        <f>IF(H122&lt;=0,0,MIN(ROUND(H122*(1+H$94/12),2),H$95+IF(H$96=$I122,$J122,0)))</f>
        <v/>
      </c>
      <c r="P122" s="305">
        <f>SUMPRODUCT($D122:$H122,$D$94:$H$94)/12</f>
        <v/>
      </c>
      <c r="Q122" s="305">
        <f>SUM($K122:$O122)</f>
        <v/>
      </c>
      <c r="R122" s="306">
        <f>SUM($D122:$H122)</f>
        <v/>
      </c>
      <c r="S122" s="1" t="n"/>
      <c r="T122" s="1" t="n"/>
      <c r="U122" s="1" t="n"/>
      <c r="V122" s="1" t="n"/>
      <c r="W122" s="1" t="n"/>
      <c r="X122" s="1" t="n"/>
      <c r="Y122" s="1" t="n"/>
      <c r="Z122" s="1" t="n"/>
    </row>
    <row r="123" ht="15.75" customHeight="1" s="311">
      <c r="A123" s="1" t="n"/>
      <c r="B123" s="303" t="n">
        <v>26</v>
      </c>
      <c r="C123" s="304">
        <f>EDATE(TODAY(),25)</f>
        <v/>
      </c>
      <c r="D123" s="305">
        <f>MAX(0,ROUND(D122*(1+D$94/12)-K122,2))</f>
        <v/>
      </c>
      <c r="E123" s="305">
        <f>MAX(0,ROUND(E122*(1+E$94/12)-L122,2))</f>
        <v/>
      </c>
      <c r="F123" s="305">
        <f>MAX(0,ROUND(F122*(1+F$94/12)-M122,2))</f>
        <v/>
      </c>
      <c r="G123" s="305">
        <f>MAX(0,ROUND(G122*(1+G$94/12)-N122,2))</f>
        <v/>
      </c>
      <c r="H123" s="305">
        <f>MAX(0,ROUND(H122*(1+H$94/12)-O122,2))</f>
        <v/>
      </c>
      <c r="I123" s="303">
        <f>IF(SUMPRODUCT(($D$96:$H$96=1)*($D123:$H123&gt;0))&gt;0,1,IF(SUMPRODUCT(($D$96:$H$96=2)*($D123:$H123&gt;0))&gt;0,2,IF(SUMPRODUCT(($D$96:$H$96=3)*($D123:$H123&gt;0))&gt;0,3,IF(SUMPRODUCT(($D$96:$H$96=4)*($D123:$H123&gt;0))&gt;0,4,IF(SUMPRODUCT(($D$96:$H$96=5)*($D123:$H123&gt;0))&gt;0,5,0)))))</f>
        <v/>
      </c>
      <c r="J123" s="305">
        <f>$D$21+SUMPRODUCT(($D123:$H123=0)*$D$95:$H$95)</f>
        <v/>
      </c>
      <c r="K123" s="305">
        <f>IF(D123&lt;=0,0,MIN(ROUND(D123*(1+D$94/12),2),D$95+IF(D$96=$I123,$J123,0)))</f>
        <v/>
      </c>
      <c r="L123" s="305">
        <f>IF(E123&lt;=0,0,MIN(ROUND(E123*(1+E$94/12),2),E$95+IF(E$96=$I123,$J123,0)))</f>
        <v/>
      </c>
      <c r="M123" s="305">
        <f>IF(F123&lt;=0,0,MIN(ROUND(F123*(1+F$94/12),2),F$95+IF(F$96=$I123,$J123,0)))</f>
        <v/>
      </c>
      <c r="N123" s="305">
        <f>IF(G123&lt;=0,0,MIN(ROUND(G123*(1+G$94/12),2),G$95+IF(G$96=$I123,$J123,0)))</f>
        <v/>
      </c>
      <c r="O123" s="305">
        <f>IF(H123&lt;=0,0,MIN(ROUND(H123*(1+H$94/12),2),H$95+IF(H$96=$I123,$J123,0)))</f>
        <v/>
      </c>
      <c r="P123" s="305">
        <f>SUMPRODUCT($D123:$H123,$D$94:$H$94)/12</f>
        <v/>
      </c>
      <c r="Q123" s="305">
        <f>SUM($K123:$O123)</f>
        <v/>
      </c>
      <c r="R123" s="306">
        <f>SUM($D123:$H123)</f>
        <v/>
      </c>
      <c r="S123" s="1" t="n"/>
      <c r="T123" s="1" t="n"/>
      <c r="U123" s="1" t="n"/>
      <c r="V123" s="1" t="n"/>
      <c r="W123" s="1" t="n"/>
      <c r="X123" s="1" t="n"/>
      <c r="Y123" s="1" t="n"/>
      <c r="Z123" s="1" t="n"/>
    </row>
    <row r="124" ht="15.75" customHeight="1" s="311">
      <c r="A124" s="1" t="n"/>
      <c r="B124" s="303" t="n">
        <v>27</v>
      </c>
      <c r="C124" s="304">
        <f>EDATE(TODAY(),26)</f>
        <v/>
      </c>
      <c r="D124" s="305">
        <f>MAX(0,ROUND(D123*(1+D$94/12)-K123,2))</f>
        <v/>
      </c>
      <c r="E124" s="305">
        <f>MAX(0,ROUND(E123*(1+E$94/12)-L123,2))</f>
        <v/>
      </c>
      <c r="F124" s="305">
        <f>MAX(0,ROUND(F123*(1+F$94/12)-M123,2))</f>
        <v/>
      </c>
      <c r="G124" s="305">
        <f>MAX(0,ROUND(G123*(1+G$94/12)-N123,2))</f>
        <v/>
      </c>
      <c r="H124" s="305">
        <f>MAX(0,ROUND(H123*(1+H$94/12)-O123,2))</f>
        <v/>
      </c>
      <c r="I124" s="303">
        <f>IF(SUMPRODUCT(($D$96:$H$96=1)*($D124:$H124&gt;0))&gt;0,1,IF(SUMPRODUCT(($D$96:$H$96=2)*($D124:$H124&gt;0))&gt;0,2,IF(SUMPRODUCT(($D$96:$H$96=3)*($D124:$H124&gt;0))&gt;0,3,IF(SUMPRODUCT(($D$96:$H$96=4)*($D124:$H124&gt;0))&gt;0,4,IF(SUMPRODUCT(($D$96:$H$96=5)*($D124:$H124&gt;0))&gt;0,5,0)))))</f>
        <v/>
      </c>
      <c r="J124" s="305">
        <f>$D$21+SUMPRODUCT(($D124:$H124=0)*$D$95:$H$95)</f>
        <v/>
      </c>
      <c r="K124" s="305">
        <f>IF(D124&lt;=0,0,MIN(ROUND(D124*(1+D$94/12),2),D$95+IF(D$96=$I124,$J124,0)))</f>
        <v/>
      </c>
      <c r="L124" s="305">
        <f>IF(E124&lt;=0,0,MIN(ROUND(E124*(1+E$94/12),2),E$95+IF(E$96=$I124,$J124,0)))</f>
        <v/>
      </c>
      <c r="M124" s="305">
        <f>IF(F124&lt;=0,0,MIN(ROUND(F124*(1+F$94/12),2),F$95+IF(F$96=$I124,$J124,0)))</f>
        <v/>
      </c>
      <c r="N124" s="305">
        <f>IF(G124&lt;=0,0,MIN(ROUND(G124*(1+G$94/12),2),G$95+IF(G$96=$I124,$J124,0)))</f>
        <v/>
      </c>
      <c r="O124" s="305">
        <f>IF(H124&lt;=0,0,MIN(ROUND(H124*(1+H$94/12),2),H$95+IF(H$96=$I124,$J124,0)))</f>
        <v/>
      </c>
      <c r="P124" s="305">
        <f>SUMPRODUCT($D124:$H124,$D$94:$H$94)/12</f>
        <v/>
      </c>
      <c r="Q124" s="305">
        <f>SUM($K124:$O124)</f>
        <v/>
      </c>
      <c r="R124" s="306">
        <f>SUM($D124:$H124)</f>
        <v/>
      </c>
      <c r="S124" s="1" t="n"/>
      <c r="T124" s="1" t="n"/>
      <c r="U124" s="1" t="n"/>
      <c r="V124" s="1" t="n"/>
      <c r="W124" s="1" t="n"/>
      <c r="X124" s="1" t="n"/>
      <c r="Y124" s="1" t="n"/>
      <c r="Z124" s="1" t="n"/>
    </row>
    <row r="125" ht="15.75" customHeight="1" s="311">
      <c r="A125" s="1" t="n"/>
      <c r="B125" s="303" t="n">
        <v>28</v>
      </c>
      <c r="C125" s="304">
        <f>EDATE(TODAY(),27)</f>
        <v/>
      </c>
      <c r="D125" s="305">
        <f>MAX(0,ROUND(D124*(1+D$94/12)-K124,2))</f>
        <v/>
      </c>
      <c r="E125" s="305">
        <f>MAX(0,ROUND(E124*(1+E$94/12)-L124,2))</f>
        <v/>
      </c>
      <c r="F125" s="305">
        <f>MAX(0,ROUND(F124*(1+F$94/12)-M124,2))</f>
        <v/>
      </c>
      <c r="G125" s="305">
        <f>MAX(0,ROUND(G124*(1+G$94/12)-N124,2))</f>
        <v/>
      </c>
      <c r="H125" s="305">
        <f>MAX(0,ROUND(H124*(1+H$94/12)-O124,2))</f>
        <v/>
      </c>
      <c r="I125" s="303">
        <f>IF(SUMPRODUCT(($D$96:$H$96=1)*($D125:$H125&gt;0))&gt;0,1,IF(SUMPRODUCT(($D$96:$H$96=2)*($D125:$H125&gt;0))&gt;0,2,IF(SUMPRODUCT(($D$96:$H$96=3)*($D125:$H125&gt;0))&gt;0,3,IF(SUMPRODUCT(($D$96:$H$96=4)*($D125:$H125&gt;0))&gt;0,4,IF(SUMPRODUCT(($D$96:$H$96=5)*($D125:$H125&gt;0))&gt;0,5,0)))))</f>
        <v/>
      </c>
      <c r="J125" s="305">
        <f>$D$21+SUMPRODUCT(($D125:$H125=0)*$D$95:$H$95)</f>
        <v/>
      </c>
      <c r="K125" s="305">
        <f>IF(D125&lt;=0,0,MIN(ROUND(D125*(1+D$94/12),2),D$95+IF(D$96=$I125,$J125,0)))</f>
        <v/>
      </c>
      <c r="L125" s="305">
        <f>IF(E125&lt;=0,0,MIN(ROUND(E125*(1+E$94/12),2),E$95+IF(E$96=$I125,$J125,0)))</f>
        <v/>
      </c>
      <c r="M125" s="305">
        <f>IF(F125&lt;=0,0,MIN(ROUND(F125*(1+F$94/12),2),F$95+IF(F$96=$I125,$J125,0)))</f>
        <v/>
      </c>
      <c r="N125" s="305">
        <f>IF(G125&lt;=0,0,MIN(ROUND(G125*(1+G$94/12),2),G$95+IF(G$96=$I125,$J125,0)))</f>
        <v/>
      </c>
      <c r="O125" s="305">
        <f>IF(H125&lt;=0,0,MIN(ROUND(H125*(1+H$94/12),2),H$95+IF(H$96=$I125,$J125,0)))</f>
        <v/>
      </c>
      <c r="P125" s="305">
        <f>SUMPRODUCT($D125:$H125,$D$94:$H$94)/12</f>
        <v/>
      </c>
      <c r="Q125" s="305">
        <f>SUM($K125:$O125)</f>
        <v/>
      </c>
      <c r="R125" s="306">
        <f>SUM($D125:$H125)</f>
        <v/>
      </c>
      <c r="S125" s="1" t="n"/>
      <c r="T125" s="1" t="n"/>
      <c r="U125" s="1" t="n"/>
      <c r="V125" s="1" t="n"/>
      <c r="W125" s="1" t="n"/>
      <c r="X125" s="1" t="n"/>
      <c r="Y125" s="1" t="n"/>
      <c r="Z125" s="1" t="n"/>
    </row>
    <row r="126" ht="15.75" customHeight="1" s="311">
      <c r="A126" s="1" t="n"/>
      <c r="B126" s="303" t="n">
        <v>29</v>
      </c>
      <c r="C126" s="304">
        <f>EDATE(TODAY(),28)</f>
        <v/>
      </c>
      <c r="D126" s="305">
        <f>MAX(0,ROUND(D125*(1+D$94/12)-K125,2))</f>
        <v/>
      </c>
      <c r="E126" s="305">
        <f>MAX(0,ROUND(E125*(1+E$94/12)-L125,2))</f>
        <v/>
      </c>
      <c r="F126" s="305">
        <f>MAX(0,ROUND(F125*(1+F$94/12)-M125,2))</f>
        <v/>
      </c>
      <c r="G126" s="305">
        <f>MAX(0,ROUND(G125*(1+G$94/12)-N125,2))</f>
        <v/>
      </c>
      <c r="H126" s="305">
        <f>MAX(0,ROUND(H125*(1+H$94/12)-O125,2))</f>
        <v/>
      </c>
      <c r="I126" s="303">
        <f>IF(SUMPRODUCT(($D$96:$H$96=1)*($D126:$H126&gt;0))&gt;0,1,IF(SUMPRODUCT(($D$96:$H$96=2)*($D126:$H126&gt;0))&gt;0,2,IF(SUMPRODUCT(($D$96:$H$96=3)*($D126:$H126&gt;0))&gt;0,3,IF(SUMPRODUCT(($D$96:$H$96=4)*($D126:$H126&gt;0))&gt;0,4,IF(SUMPRODUCT(($D$96:$H$96=5)*($D126:$H126&gt;0))&gt;0,5,0)))))</f>
        <v/>
      </c>
      <c r="J126" s="305">
        <f>$D$21+SUMPRODUCT(($D126:$H126=0)*$D$95:$H$95)</f>
        <v/>
      </c>
      <c r="K126" s="305">
        <f>IF(D126&lt;=0,0,MIN(ROUND(D126*(1+D$94/12),2),D$95+IF(D$96=$I126,$J126,0)))</f>
        <v/>
      </c>
      <c r="L126" s="305">
        <f>IF(E126&lt;=0,0,MIN(ROUND(E126*(1+E$94/12),2),E$95+IF(E$96=$I126,$J126,0)))</f>
        <v/>
      </c>
      <c r="M126" s="305">
        <f>IF(F126&lt;=0,0,MIN(ROUND(F126*(1+F$94/12),2),F$95+IF(F$96=$I126,$J126,0)))</f>
        <v/>
      </c>
      <c r="N126" s="305">
        <f>IF(G126&lt;=0,0,MIN(ROUND(G126*(1+G$94/12),2),G$95+IF(G$96=$I126,$J126,0)))</f>
        <v/>
      </c>
      <c r="O126" s="305">
        <f>IF(H126&lt;=0,0,MIN(ROUND(H126*(1+H$94/12),2),H$95+IF(H$96=$I126,$J126,0)))</f>
        <v/>
      </c>
      <c r="P126" s="305">
        <f>SUMPRODUCT($D126:$H126,$D$94:$H$94)/12</f>
        <v/>
      </c>
      <c r="Q126" s="305">
        <f>SUM($K126:$O126)</f>
        <v/>
      </c>
      <c r="R126" s="306">
        <f>SUM($D126:$H126)</f>
        <v/>
      </c>
      <c r="S126" s="1" t="n"/>
      <c r="T126" s="1" t="n"/>
      <c r="U126" s="1" t="n"/>
      <c r="V126" s="1" t="n"/>
      <c r="W126" s="1" t="n"/>
      <c r="X126" s="1" t="n"/>
      <c r="Y126" s="1" t="n"/>
      <c r="Z126" s="1" t="n"/>
    </row>
    <row r="127" ht="15.75" customHeight="1" s="311">
      <c r="A127" s="1" t="n"/>
      <c r="B127" s="303" t="n">
        <v>30</v>
      </c>
      <c r="C127" s="304">
        <f>EDATE(TODAY(),29)</f>
        <v/>
      </c>
      <c r="D127" s="305">
        <f>MAX(0,ROUND(D126*(1+D$94/12)-K126,2))</f>
        <v/>
      </c>
      <c r="E127" s="305">
        <f>MAX(0,ROUND(E126*(1+E$94/12)-L126,2))</f>
        <v/>
      </c>
      <c r="F127" s="305">
        <f>MAX(0,ROUND(F126*(1+F$94/12)-M126,2))</f>
        <v/>
      </c>
      <c r="G127" s="305">
        <f>MAX(0,ROUND(G126*(1+G$94/12)-N126,2))</f>
        <v/>
      </c>
      <c r="H127" s="305">
        <f>MAX(0,ROUND(H126*(1+H$94/12)-O126,2))</f>
        <v/>
      </c>
      <c r="I127" s="303">
        <f>IF(SUMPRODUCT(($D$96:$H$96=1)*($D127:$H127&gt;0))&gt;0,1,IF(SUMPRODUCT(($D$96:$H$96=2)*($D127:$H127&gt;0))&gt;0,2,IF(SUMPRODUCT(($D$96:$H$96=3)*($D127:$H127&gt;0))&gt;0,3,IF(SUMPRODUCT(($D$96:$H$96=4)*($D127:$H127&gt;0))&gt;0,4,IF(SUMPRODUCT(($D$96:$H$96=5)*($D127:$H127&gt;0))&gt;0,5,0)))))</f>
        <v/>
      </c>
      <c r="J127" s="305">
        <f>$D$21+SUMPRODUCT(($D127:$H127=0)*$D$95:$H$95)</f>
        <v/>
      </c>
      <c r="K127" s="305">
        <f>IF(D127&lt;=0,0,MIN(ROUND(D127*(1+D$94/12),2),D$95+IF(D$96=$I127,$J127,0)))</f>
        <v/>
      </c>
      <c r="L127" s="305">
        <f>IF(E127&lt;=0,0,MIN(ROUND(E127*(1+E$94/12),2),E$95+IF(E$96=$I127,$J127,0)))</f>
        <v/>
      </c>
      <c r="M127" s="305">
        <f>IF(F127&lt;=0,0,MIN(ROUND(F127*(1+F$94/12),2),F$95+IF(F$96=$I127,$J127,0)))</f>
        <v/>
      </c>
      <c r="N127" s="305">
        <f>IF(G127&lt;=0,0,MIN(ROUND(G127*(1+G$94/12),2),G$95+IF(G$96=$I127,$J127,0)))</f>
        <v/>
      </c>
      <c r="O127" s="305">
        <f>IF(H127&lt;=0,0,MIN(ROUND(H127*(1+H$94/12),2),H$95+IF(H$96=$I127,$J127,0)))</f>
        <v/>
      </c>
      <c r="P127" s="305">
        <f>SUMPRODUCT($D127:$H127,$D$94:$H$94)/12</f>
        <v/>
      </c>
      <c r="Q127" s="305">
        <f>SUM($K127:$O127)</f>
        <v/>
      </c>
      <c r="R127" s="306">
        <f>SUM($D127:$H127)</f>
        <v/>
      </c>
      <c r="S127" s="1" t="n"/>
      <c r="T127" s="1" t="n"/>
      <c r="U127" s="1" t="n"/>
      <c r="V127" s="1" t="n"/>
      <c r="W127" s="1" t="n"/>
      <c r="X127" s="1" t="n"/>
      <c r="Y127" s="1" t="n"/>
      <c r="Z127" s="1" t="n"/>
    </row>
    <row r="128" ht="15.75" customHeight="1" s="311">
      <c r="A128" s="1" t="n"/>
      <c r="B128" s="303" t="n">
        <v>31</v>
      </c>
      <c r="C128" s="304">
        <f>EDATE(TODAY(),30)</f>
        <v/>
      </c>
      <c r="D128" s="305">
        <f>MAX(0,ROUND(D127*(1+D$94/12)-K127,2))</f>
        <v/>
      </c>
      <c r="E128" s="305">
        <f>MAX(0,ROUND(E127*(1+E$94/12)-L127,2))</f>
        <v/>
      </c>
      <c r="F128" s="305">
        <f>MAX(0,ROUND(F127*(1+F$94/12)-M127,2))</f>
        <v/>
      </c>
      <c r="G128" s="305">
        <f>MAX(0,ROUND(G127*(1+G$94/12)-N127,2))</f>
        <v/>
      </c>
      <c r="H128" s="305">
        <f>MAX(0,ROUND(H127*(1+H$94/12)-O127,2))</f>
        <v/>
      </c>
      <c r="I128" s="303">
        <f>IF(SUMPRODUCT(($D$96:$H$96=1)*($D128:$H128&gt;0))&gt;0,1,IF(SUMPRODUCT(($D$96:$H$96=2)*($D128:$H128&gt;0))&gt;0,2,IF(SUMPRODUCT(($D$96:$H$96=3)*($D128:$H128&gt;0))&gt;0,3,IF(SUMPRODUCT(($D$96:$H$96=4)*($D128:$H128&gt;0))&gt;0,4,IF(SUMPRODUCT(($D$96:$H$96=5)*($D128:$H128&gt;0))&gt;0,5,0)))))</f>
        <v/>
      </c>
      <c r="J128" s="305">
        <f>$D$21+SUMPRODUCT(($D128:$H128=0)*$D$95:$H$95)</f>
        <v/>
      </c>
      <c r="K128" s="305">
        <f>IF(D128&lt;=0,0,MIN(ROUND(D128*(1+D$94/12),2),D$95+IF(D$96=$I128,$J128,0)))</f>
        <v/>
      </c>
      <c r="L128" s="305">
        <f>IF(E128&lt;=0,0,MIN(ROUND(E128*(1+E$94/12),2),E$95+IF(E$96=$I128,$J128,0)))</f>
        <v/>
      </c>
      <c r="M128" s="305">
        <f>IF(F128&lt;=0,0,MIN(ROUND(F128*(1+F$94/12),2),F$95+IF(F$96=$I128,$J128,0)))</f>
        <v/>
      </c>
      <c r="N128" s="305">
        <f>IF(G128&lt;=0,0,MIN(ROUND(G128*(1+G$94/12),2),G$95+IF(G$96=$I128,$J128,0)))</f>
        <v/>
      </c>
      <c r="O128" s="305">
        <f>IF(H128&lt;=0,0,MIN(ROUND(H128*(1+H$94/12),2),H$95+IF(H$96=$I128,$J128,0)))</f>
        <v/>
      </c>
      <c r="P128" s="305">
        <f>SUMPRODUCT($D128:$H128,$D$94:$H$94)/12</f>
        <v/>
      </c>
      <c r="Q128" s="305">
        <f>SUM($K128:$O128)</f>
        <v/>
      </c>
      <c r="R128" s="306">
        <f>SUM($D128:$H128)</f>
        <v/>
      </c>
      <c r="S128" s="1" t="n"/>
      <c r="T128" s="1" t="n"/>
      <c r="U128" s="1" t="n"/>
      <c r="V128" s="1" t="n"/>
      <c r="W128" s="1" t="n"/>
      <c r="X128" s="1" t="n"/>
      <c r="Y128" s="1" t="n"/>
      <c r="Z128" s="1" t="n"/>
    </row>
    <row r="129" ht="15.75" customHeight="1" s="311">
      <c r="A129" s="1" t="n"/>
      <c r="B129" s="303" t="n">
        <v>32</v>
      </c>
      <c r="C129" s="304">
        <f>EDATE(TODAY(),31)</f>
        <v/>
      </c>
      <c r="D129" s="305">
        <f>MAX(0,ROUND(D128*(1+D$94/12)-K128,2))</f>
        <v/>
      </c>
      <c r="E129" s="305">
        <f>MAX(0,ROUND(E128*(1+E$94/12)-L128,2))</f>
        <v/>
      </c>
      <c r="F129" s="305">
        <f>MAX(0,ROUND(F128*(1+F$94/12)-M128,2))</f>
        <v/>
      </c>
      <c r="G129" s="305">
        <f>MAX(0,ROUND(G128*(1+G$94/12)-N128,2))</f>
        <v/>
      </c>
      <c r="H129" s="305">
        <f>MAX(0,ROUND(H128*(1+H$94/12)-O128,2))</f>
        <v/>
      </c>
      <c r="I129" s="303">
        <f>IF(SUMPRODUCT(($D$96:$H$96=1)*($D129:$H129&gt;0))&gt;0,1,IF(SUMPRODUCT(($D$96:$H$96=2)*($D129:$H129&gt;0))&gt;0,2,IF(SUMPRODUCT(($D$96:$H$96=3)*($D129:$H129&gt;0))&gt;0,3,IF(SUMPRODUCT(($D$96:$H$96=4)*($D129:$H129&gt;0))&gt;0,4,IF(SUMPRODUCT(($D$96:$H$96=5)*($D129:$H129&gt;0))&gt;0,5,0)))))</f>
        <v/>
      </c>
      <c r="J129" s="305">
        <f>$D$21+SUMPRODUCT(($D129:$H129=0)*$D$95:$H$95)</f>
        <v/>
      </c>
      <c r="K129" s="305">
        <f>IF(D129&lt;=0,0,MIN(ROUND(D129*(1+D$94/12),2),D$95+IF(D$96=$I129,$J129,0)))</f>
        <v/>
      </c>
      <c r="L129" s="305">
        <f>IF(E129&lt;=0,0,MIN(ROUND(E129*(1+E$94/12),2),E$95+IF(E$96=$I129,$J129,0)))</f>
        <v/>
      </c>
      <c r="M129" s="305">
        <f>IF(F129&lt;=0,0,MIN(ROUND(F129*(1+F$94/12),2),F$95+IF(F$96=$I129,$J129,0)))</f>
        <v/>
      </c>
      <c r="N129" s="305">
        <f>IF(G129&lt;=0,0,MIN(ROUND(G129*(1+G$94/12),2),G$95+IF(G$96=$I129,$J129,0)))</f>
        <v/>
      </c>
      <c r="O129" s="305">
        <f>IF(H129&lt;=0,0,MIN(ROUND(H129*(1+H$94/12),2),H$95+IF(H$96=$I129,$J129,0)))</f>
        <v/>
      </c>
      <c r="P129" s="305">
        <f>SUMPRODUCT($D129:$H129,$D$94:$H$94)/12</f>
        <v/>
      </c>
      <c r="Q129" s="305">
        <f>SUM($K129:$O129)</f>
        <v/>
      </c>
      <c r="R129" s="306">
        <f>SUM($D129:$H129)</f>
        <v/>
      </c>
      <c r="S129" s="1" t="n"/>
      <c r="T129" s="1" t="n"/>
      <c r="U129" s="1" t="n"/>
      <c r="V129" s="1" t="n"/>
      <c r="W129" s="1" t="n"/>
      <c r="X129" s="1" t="n"/>
      <c r="Y129" s="1" t="n"/>
      <c r="Z129" s="1" t="n"/>
    </row>
    <row r="130" ht="15.75" customHeight="1" s="311">
      <c r="A130" s="1" t="n"/>
      <c r="B130" s="303" t="n">
        <v>33</v>
      </c>
      <c r="C130" s="304">
        <f>EDATE(TODAY(),32)</f>
        <v/>
      </c>
      <c r="D130" s="305">
        <f>MAX(0,ROUND(D129*(1+D$94/12)-K129,2))</f>
        <v/>
      </c>
      <c r="E130" s="305">
        <f>MAX(0,ROUND(E129*(1+E$94/12)-L129,2))</f>
        <v/>
      </c>
      <c r="F130" s="305">
        <f>MAX(0,ROUND(F129*(1+F$94/12)-M129,2))</f>
        <v/>
      </c>
      <c r="G130" s="305">
        <f>MAX(0,ROUND(G129*(1+G$94/12)-N129,2))</f>
        <v/>
      </c>
      <c r="H130" s="305">
        <f>MAX(0,ROUND(H129*(1+H$94/12)-O129,2))</f>
        <v/>
      </c>
      <c r="I130" s="303">
        <f>IF(SUMPRODUCT(($D$96:$H$96=1)*($D130:$H130&gt;0))&gt;0,1,IF(SUMPRODUCT(($D$96:$H$96=2)*($D130:$H130&gt;0))&gt;0,2,IF(SUMPRODUCT(($D$96:$H$96=3)*($D130:$H130&gt;0))&gt;0,3,IF(SUMPRODUCT(($D$96:$H$96=4)*($D130:$H130&gt;0))&gt;0,4,IF(SUMPRODUCT(($D$96:$H$96=5)*($D130:$H130&gt;0))&gt;0,5,0)))))</f>
        <v/>
      </c>
      <c r="J130" s="305">
        <f>$D$21+SUMPRODUCT(($D130:$H130=0)*$D$95:$H$95)</f>
        <v/>
      </c>
      <c r="K130" s="305">
        <f>IF(D130&lt;=0,0,MIN(ROUND(D130*(1+D$94/12),2),D$95+IF(D$96=$I130,$J130,0)))</f>
        <v/>
      </c>
      <c r="L130" s="305">
        <f>IF(E130&lt;=0,0,MIN(ROUND(E130*(1+E$94/12),2),E$95+IF(E$96=$I130,$J130,0)))</f>
        <v/>
      </c>
      <c r="M130" s="305">
        <f>IF(F130&lt;=0,0,MIN(ROUND(F130*(1+F$94/12),2),F$95+IF(F$96=$I130,$J130,0)))</f>
        <v/>
      </c>
      <c r="N130" s="305">
        <f>IF(G130&lt;=0,0,MIN(ROUND(G130*(1+G$94/12),2),G$95+IF(G$96=$I130,$J130,0)))</f>
        <v/>
      </c>
      <c r="O130" s="305">
        <f>IF(H130&lt;=0,0,MIN(ROUND(H130*(1+H$94/12),2),H$95+IF(H$96=$I130,$J130,0)))</f>
        <v/>
      </c>
      <c r="P130" s="305">
        <f>SUMPRODUCT($D130:$H130,$D$94:$H$94)/12</f>
        <v/>
      </c>
      <c r="Q130" s="305">
        <f>SUM($K130:$O130)</f>
        <v/>
      </c>
      <c r="R130" s="306">
        <f>SUM($D130:$H130)</f>
        <v/>
      </c>
      <c r="S130" s="1" t="n"/>
      <c r="T130" s="1" t="n"/>
      <c r="U130" s="1" t="n"/>
      <c r="V130" s="1" t="n"/>
      <c r="W130" s="1" t="n"/>
      <c r="X130" s="1" t="n"/>
      <c r="Y130" s="1" t="n"/>
      <c r="Z130" s="1" t="n"/>
    </row>
    <row r="131" ht="15.75" customHeight="1" s="311">
      <c r="A131" s="1" t="n"/>
      <c r="B131" s="303" t="n">
        <v>34</v>
      </c>
      <c r="C131" s="304">
        <f>EDATE(TODAY(),33)</f>
        <v/>
      </c>
      <c r="D131" s="305">
        <f>MAX(0,ROUND(D130*(1+D$94/12)-K130,2))</f>
        <v/>
      </c>
      <c r="E131" s="305">
        <f>MAX(0,ROUND(E130*(1+E$94/12)-L130,2))</f>
        <v/>
      </c>
      <c r="F131" s="305">
        <f>MAX(0,ROUND(F130*(1+F$94/12)-M130,2))</f>
        <v/>
      </c>
      <c r="G131" s="305">
        <f>MAX(0,ROUND(G130*(1+G$94/12)-N130,2))</f>
        <v/>
      </c>
      <c r="H131" s="305">
        <f>MAX(0,ROUND(H130*(1+H$94/12)-O130,2))</f>
        <v/>
      </c>
      <c r="I131" s="303">
        <f>IF(SUMPRODUCT(($D$96:$H$96=1)*($D131:$H131&gt;0))&gt;0,1,IF(SUMPRODUCT(($D$96:$H$96=2)*($D131:$H131&gt;0))&gt;0,2,IF(SUMPRODUCT(($D$96:$H$96=3)*($D131:$H131&gt;0))&gt;0,3,IF(SUMPRODUCT(($D$96:$H$96=4)*($D131:$H131&gt;0))&gt;0,4,IF(SUMPRODUCT(($D$96:$H$96=5)*($D131:$H131&gt;0))&gt;0,5,0)))))</f>
        <v/>
      </c>
      <c r="J131" s="305">
        <f>$D$21+SUMPRODUCT(($D131:$H131=0)*$D$95:$H$95)</f>
        <v/>
      </c>
      <c r="K131" s="305">
        <f>IF(D131&lt;=0,0,MIN(ROUND(D131*(1+D$94/12),2),D$95+IF(D$96=$I131,$J131,0)))</f>
        <v/>
      </c>
      <c r="L131" s="305">
        <f>IF(E131&lt;=0,0,MIN(ROUND(E131*(1+E$94/12),2),E$95+IF(E$96=$I131,$J131,0)))</f>
        <v/>
      </c>
      <c r="M131" s="305">
        <f>IF(F131&lt;=0,0,MIN(ROUND(F131*(1+F$94/12),2),F$95+IF(F$96=$I131,$J131,0)))</f>
        <v/>
      </c>
      <c r="N131" s="305">
        <f>IF(G131&lt;=0,0,MIN(ROUND(G131*(1+G$94/12),2),G$95+IF(G$96=$I131,$J131,0)))</f>
        <v/>
      </c>
      <c r="O131" s="305">
        <f>IF(H131&lt;=0,0,MIN(ROUND(H131*(1+H$94/12),2),H$95+IF(H$96=$I131,$J131,0)))</f>
        <v/>
      </c>
      <c r="P131" s="305">
        <f>SUMPRODUCT($D131:$H131,$D$94:$H$94)/12</f>
        <v/>
      </c>
      <c r="Q131" s="305">
        <f>SUM($K131:$O131)</f>
        <v/>
      </c>
      <c r="R131" s="306">
        <f>SUM($D131:$H131)</f>
        <v/>
      </c>
      <c r="S131" s="1" t="n"/>
      <c r="T131" s="1" t="n"/>
      <c r="U131" s="1" t="n"/>
      <c r="V131" s="1" t="n"/>
      <c r="W131" s="1" t="n"/>
      <c r="X131" s="1" t="n"/>
      <c r="Y131" s="1" t="n"/>
      <c r="Z131" s="1" t="n"/>
    </row>
    <row r="132" ht="15.75" customHeight="1" s="311">
      <c r="A132" s="1" t="n"/>
      <c r="B132" s="303" t="n">
        <v>35</v>
      </c>
      <c r="C132" s="304">
        <f>EDATE(TODAY(),34)</f>
        <v/>
      </c>
      <c r="D132" s="305">
        <f>MAX(0,ROUND(D131*(1+D$94/12)-K131,2))</f>
        <v/>
      </c>
      <c r="E132" s="305">
        <f>MAX(0,ROUND(E131*(1+E$94/12)-L131,2))</f>
        <v/>
      </c>
      <c r="F132" s="305">
        <f>MAX(0,ROUND(F131*(1+F$94/12)-M131,2))</f>
        <v/>
      </c>
      <c r="G132" s="305">
        <f>MAX(0,ROUND(G131*(1+G$94/12)-N131,2))</f>
        <v/>
      </c>
      <c r="H132" s="305">
        <f>MAX(0,ROUND(H131*(1+H$94/12)-O131,2))</f>
        <v/>
      </c>
      <c r="I132" s="303">
        <f>IF(SUMPRODUCT(($D$96:$H$96=1)*($D132:$H132&gt;0))&gt;0,1,IF(SUMPRODUCT(($D$96:$H$96=2)*($D132:$H132&gt;0))&gt;0,2,IF(SUMPRODUCT(($D$96:$H$96=3)*($D132:$H132&gt;0))&gt;0,3,IF(SUMPRODUCT(($D$96:$H$96=4)*($D132:$H132&gt;0))&gt;0,4,IF(SUMPRODUCT(($D$96:$H$96=5)*($D132:$H132&gt;0))&gt;0,5,0)))))</f>
        <v/>
      </c>
      <c r="J132" s="305">
        <f>$D$21+SUMPRODUCT(($D132:$H132=0)*$D$95:$H$95)</f>
        <v/>
      </c>
      <c r="K132" s="305">
        <f>IF(D132&lt;=0,0,MIN(ROUND(D132*(1+D$94/12),2),D$95+IF(D$96=$I132,$J132,0)))</f>
        <v/>
      </c>
      <c r="L132" s="305">
        <f>IF(E132&lt;=0,0,MIN(ROUND(E132*(1+E$94/12),2),E$95+IF(E$96=$I132,$J132,0)))</f>
        <v/>
      </c>
      <c r="M132" s="305">
        <f>IF(F132&lt;=0,0,MIN(ROUND(F132*(1+F$94/12),2),F$95+IF(F$96=$I132,$J132,0)))</f>
        <v/>
      </c>
      <c r="N132" s="305">
        <f>IF(G132&lt;=0,0,MIN(ROUND(G132*(1+G$94/12),2),G$95+IF(G$96=$I132,$J132,0)))</f>
        <v/>
      </c>
      <c r="O132" s="305">
        <f>IF(H132&lt;=0,0,MIN(ROUND(H132*(1+H$94/12),2),H$95+IF(H$96=$I132,$J132,0)))</f>
        <v/>
      </c>
      <c r="P132" s="305">
        <f>SUMPRODUCT($D132:$H132,$D$94:$H$94)/12</f>
        <v/>
      </c>
      <c r="Q132" s="305">
        <f>SUM($K132:$O132)</f>
        <v/>
      </c>
      <c r="R132" s="306">
        <f>SUM($D132:$H132)</f>
        <v/>
      </c>
      <c r="S132" s="1" t="n"/>
      <c r="T132" s="1" t="n"/>
      <c r="U132" s="1" t="n"/>
      <c r="V132" s="1" t="n"/>
      <c r="W132" s="1" t="n"/>
      <c r="X132" s="1" t="n"/>
      <c r="Y132" s="1" t="n"/>
      <c r="Z132" s="1" t="n"/>
    </row>
    <row r="133" ht="15.75" customHeight="1" s="311">
      <c r="A133" s="1" t="n"/>
      <c r="B133" s="303" t="n">
        <v>36</v>
      </c>
      <c r="C133" s="304">
        <f>EDATE(TODAY(),35)</f>
        <v/>
      </c>
      <c r="D133" s="305">
        <f>MAX(0,ROUND(D132*(1+D$94/12)-K132,2))</f>
        <v/>
      </c>
      <c r="E133" s="305">
        <f>MAX(0,ROUND(E132*(1+E$94/12)-L132,2))</f>
        <v/>
      </c>
      <c r="F133" s="305">
        <f>MAX(0,ROUND(F132*(1+F$94/12)-M132,2))</f>
        <v/>
      </c>
      <c r="G133" s="305">
        <f>MAX(0,ROUND(G132*(1+G$94/12)-N132,2))</f>
        <v/>
      </c>
      <c r="H133" s="305">
        <f>MAX(0,ROUND(H132*(1+H$94/12)-O132,2))</f>
        <v/>
      </c>
      <c r="I133" s="303">
        <f>IF(SUMPRODUCT(($D$96:$H$96=1)*($D133:$H133&gt;0))&gt;0,1,IF(SUMPRODUCT(($D$96:$H$96=2)*($D133:$H133&gt;0))&gt;0,2,IF(SUMPRODUCT(($D$96:$H$96=3)*($D133:$H133&gt;0))&gt;0,3,IF(SUMPRODUCT(($D$96:$H$96=4)*($D133:$H133&gt;0))&gt;0,4,IF(SUMPRODUCT(($D$96:$H$96=5)*($D133:$H133&gt;0))&gt;0,5,0)))))</f>
        <v/>
      </c>
      <c r="J133" s="305">
        <f>$D$21+SUMPRODUCT(($D133:$H133=0)*$D$95:$H$95)</f>
        <v/>
      </c>
      <c r="K133" s="305">
        <f>IF(D133&lt;=0,0,MIN(ROUND(D133*(1+D$94/12),2),D$95+IF(D$96=$I133,$J133,0)))</f>
        <v/>
      </c>
      <c r="L133" s="305">
        <f>IF(E133&lt;=0,0,MIN(ROUND(E133*(1+E$94/12),2),E$95+IF(E$96=$I133,$J133,0)))</f>
        <v/>
      </c>
      <c r="M133" s="305">
        <f>IF(F133&lt;=0,0,MIN(ROUND(F133*(1+F$94/12),2),F$95+IF(F$96=$I133,$J133,0)))</f>
        <v/>
      </c>
      <c r="N133" s="305">
        <f>IF(G133&lt;=0,0,MIN(ROUND(G133*(1+G$94/12),2),G$95+IF(G$96=$I133,$J133,0)))</f>
        <v/>
      </c>
      <c r="O133" s="305">
        <f>IF(H133&lt;=0,0,MIN(ROUND(H133*(1+H$94/12),2),H$95+IF(H$96=$I133,$J133,0)))</f>
        <v/>
      </c>
      <c r="P133" s="305">
        <f>SUMPRODUCT($D133:$H133,$D$94:$H$94)/12</f>
        <v/>
      </c>
      <c r="Q133" s="305">
        <f>SUM($K133:$O133)</f>
        <v/>
      </c>
      <c r="R133" s="306">
        <f>SUM($D133:$H133)</f>
        <v/>
      </c>
      <c r="S133" s="1" t="n"/>
      <c r="T133" s="1" t="n"/>
      <c r="U133" s="1" t="n"/>
      <c r="V133" s="1" t="n"/>
      <c r="W133" s="1" t="n"/>
      <c r="X133" s="1" t="n"/>
      <c r="Y133" s="1" t="n"/>
      <c r="Z133" s="1" t="n"/>
    </row>
    <row r="134" ht="15.75" customHeight="1" s="311">
      <c r="A134" s="1" t="n"/>
      <c r="B134" s="303" t="n">
        <v>37</v>
      </c>
      <c r="C134" s="304">
        <f>EDATE(TODAY(),36)</f>
        <v/>
      </c>
      <c r="D134" s="305">
        <f>MAX(0,ROUND(D133*(1+D$94/12)-K133,2))</f>
        <v/>
      </c>
      <c r="E134" s="305">
        <f>MAX(0,ROUND(E133*(1+E$94/12)-L133,2))</f>
        <v/>
      </c>
      <c r="F134" s="305">
        <f>MAX(0,ROUND(F133*(1+F$94/12)-M133,2))</f>
        <v/>
      </c>
      <c r="G134" s="305">
        <f>MAX(0,ROUND(G133*(1+G$94/12)-N133,2))</f>
        <v/>
      </c>
      <c r="H134" s="305">
        <f>MAX(0,ROUND(H133*(1+H$94/12)-O133,2))</f>
        <v/>
      </c>
      <c r="I134" s="303">
        <f>IF(SUMPRODUCT(($D$96:$H$96=1)*($D134:$H134&gt;0))&gt;0,1,IF(SUMPRODUCT(($D$96:$H$96=2)*($D134:$H134&gt;0))&gt;0,2,IF(SUMPRODUCT(($D$96:$H$96=3)*($D134:$H134&gt;0))&gt;0,3,IF(SUMPRODUCT(($D$96:$H$96=4)*($D134:$H134&gt;0))&gt;0,4,IF(SUMPRODUCT(($D$96:$H$96=5)*($D134:$H134&gt;0))&gt;0,5,0)))))</f>
        <v/>
      </c>
      <c r="J134" s="305">
        <f>$D$21+SUMPRODUCT(($D134:$H134=0)*$D$95:$H$95)</f>
        <v/>
      </c>
      <c r="K134" s="305">
        <f>IF(D134&lt;=0,0,MIN(ROUND(D134*(1+D$94/12),2),D$95+IF(D$96=$I134,$J134,0)))</f>
        <v/>
      </c>
      <c r="L134" s="305">
        <f>IF(E134&lt;=0,0,MIN(ROUND(E134*(1+E$94/12),2),E$95+IF(E$96=$I134,$J134,0)))</f>
        <v/>
      </c>
      <c r="M134" s="305">
        <f>IF(F134&lt;=0,0,MIN(ROUND(F134*(1+F$94/12),2),F$95+IF(F$96=$I134,$J134,0)))</f>
        <v/>
      </c>
      <c r="N134" s="305">
        <f>IF(G134&lt;=0,0,MIN(ROUND(G134*(1+G$94/12),2),G$95+IF(G$96=$I134,$J134,0)))</f>
        <v/>
      </c>
      <c r="O134" s="305">
        <f>IF(H134&lt;=0,0,MIN(ROUND(H134*(1+H$94/12),2),H$95+IF(H$96=$I134,$J134,0)))</f>
        <v/>
      </c>
      <c r="P134" s="305">
        <f>SUMPRODUCT($D134:$H134,$D$94:$H$94)/12</f>
        <v/>
      </c>
      <c r="Q134" s="305">
        <f>SUM($K134:$O134)</f>
        <v/>
      </c>
      <c r="R134" s="306">
        <f>SUM($D134:$H134)</f>
        <v/>
      </c>
      <c r="S134" s="1" t="n"/>
      <c r="T134" s="1" t="n"/>
      <c r="U134" s="1" t="n"/>
      <c r="V134" s="1" t="n"/>
      <c r="W134" s="1" t="n"/>
      <c r="X134" s="1" t="n"/>
      <c r="Y134" s="1" t="n"/>
      <c r="Z134" s="1" t="n"/>
    </row>
    <row r="135" ht="15.75" customHeight="1" s="311">
      <c r="A135" s="1" t="n"/>
      <c r="B135" s="303" t="n">
        <v>38</v>
      </c>
      <c r="C135" s="304">
        <f>EDATE(TODAY(),37)</f>
        <v/>
      </c>
      <c r="D135" s="305">
        <f>MAX(0,ROUND(D134*(1+D$94/12)-K134,2))</f>
        <v/>
      </c>
      <c r="E135" s="305">
        <f>MAX(0,ROUND(E134*(1+E$94/12)-L134,2))</f>
        <v/>
      </c>
      <c r="F135" s="305">
        <f>MAX(0,ROUND(F134*(1+F$94/12)-M134,2))</f>
        <v/>
      </c>
      <c r="G135" s="305">
        <f>MAX(0,ROUND(G134*(1+G$94/12)-N134,2))</f>
        <v/>
      </c>
      <c r="H135" s="305">
        <f>MAX(0,ROUND(H134*(1+H$94/12)-O134,2))</f>
        <v/>
      </c>
      <c r="I135" s="303">
        <f>IF(SUMPRODUCT(($D$96:$H$96=1)*($D135:$H135&gt;0))&gt;0,1,IF(SUMPRODUCT(($D$96:$H$96=2)*($D135:$H135&gt;0))&gt;0,2,IF(SUMPRODUCT(($D$96:$H$96=3)*($D135:$H135&gt;0))&gt;0,3,IF(SUMPRODUCT(($D$96:$H$96=4)*($D135:$H135&gt;0))&gt;0,4,IF(SUMPRODUCT(($D$96:$H$96=5)*($D135:$H135&gt;0))&gt;0,5,0)))))</f>
        <v/>
      </c>
      <c r="J135" s="305">
        <f>$D$21+SUMPRODUCT(($D135:$H135=0)*$D$95:$H$95)</f>
        <v/>
      </c>
      <c r="K135" s="305">
        <f>IF(D135&lt;=0,0,MIN(ROUND(D135*(1+D$94/12),2),D$95+IF(D$96=$I135,$J135,0)))</f>
        <v/>
      </c>
      <c r="L135" s="305">
        <f>IF(E135&lt;=0,0,MIN(ROUND(E135*(1+E$94/12),2),E$95+IF(E$96=$I135,$J135,0)))</f>
        <v/>
      </c>
      <c r="M135" s="305">
        <f>IF(F135&lt;=0,0,MIN(ROUND(F135*(1+F$94/12),2),F$95+IF(F$96=$I135,$J135,0)))</f>
        <v/>
      </c>
      <c r="N135" s="305">
        <f>IF(G135&lt;=0,0,MIN(ROUND(G135*(1+G$94/12),2),G$95+IF(G$96=$I135,$J135,0)))</f>
        <v/>
      </c>
      <c r="O135" s="305">
        <f>IF(H135&lt;=0,0,MIN(ROUND(H135*(1+H$94/12),2),H$95+IF(H$96=$I135,$J135,0)))</f>
        <v/>
      </c>
      <c r="P135" s="305">
        <f>SUMPRODUCT($D135:$H135,$D$94:$H$94)/12</f>
        <v/>
      </c>
      <c r="Q135" s="305">
        <f>SUM($K135:$O135)</f>
        <v/>
      </c>
      <c r="R135" s="306">
        <f>SUM($D135:$H135)</f>
        <v/>
      </c>
      <c r="S135" s="1" t="n"/>
      <c r="T135" s="1" t="n"/>
      <c r="U135" s="1" t="n"/>
      <c r="V135" s="1" t="n"/>
      <c r="W135" s="1" t="n"/>
      <c r="X135" s="1" t="n"/>
      <c r="Y135" s="1" t="n"/>
      <c r="Z135" s="1" t="n"/>
    </row>
    <row r="136" ht="15.75" customHeight="1" s="311">
      <c r="A136" s="1" t="n"/>
      <c r="B136" s="303" t="n">
        <v>39</v>
      </c>
      <c r="C136" s="304">
        <f>EDATE(TODAY(),38)</f>
        <v/>
      </c>
      <c r="D136" s="305">
        <f>MAX(0,ROUND(D135*(1+D$94/12)-K135,2))</f>
        <v/>
      </c>
      <c r="E136" s="305">
        <f>MAX(0,ROUND(E135*(1+E$94/12)-L135,2))</f>
        <v/>
      </c>
      <c r="F136" s="305">
        <f>MAX(0,ROUND(F135*(1+F$94/12)-M135,2))</f>
        <v/>
      </c>
      <c r="G136" s="305">
        <f>MAX(0,ROUND(G135*(1+G$94/12)-N135,2))</f>
        <v/>
      </c>
      <c r="H136" s="305">
        <f>MAX(0,ROUND(H135*(1+H$94/12)-O135,2))</f>
        <v/>
      </c>
      <c r="I136" s="303">
        <f>IF(SUMPRODUCT(($D$96:$H$96=1)*($D136:$H136&gt;0))&gt;0,1,IF(SUMPRODUCT(($D$96:$H$96=2)*($D136:$H136&gt;0))&gt;0,2,IF(SUMPRODUCT(($D$96:$H$96=3)*($D136:$H136&gt;0))&gt;0,3,IF(SUMPRODUCT(($D$96:$H$96=4)*($D136:$H136&gt;0))&gt;0,4,IF(SUMPRODUCT(($D$96:$H$96=5)*($D136:$H136&gt;0))&gt;0,5,0)))))</f>
        <v/>
      </c>
      <c r="J136" s="305">
        <f>$D$21+SUMPRODUCT(($D136:$H136=0)*$D$95:$H$95)</f>
        <v/>
      </c>
      <c r="K136" s="305">
        <f>IF(D136&lt;=0,0,MIN(ROUND(D136*(1+D$94/12),2),D$95+IF(D$96=$I136,$J136,0)))</f>
        <v/>
      </c>
      <c r="L136" s="305">
        <f>IF(E136&lt;=0,0,MIN(ROUND(E136*(1+E$94/12),2),E$95+IF(E$96=$I136,$J136,0)))</f>
        <v/>
      </c>
      <c r="M136" s="305">
        <f>IF(F136&lt;=0,0,MIN(ROUND(F136*(1+F$94/12),2),F$95+IF(F$96=$I136,$J136,0)))</f>
        <v/>
      </c>
      <c r="N136" s="305">
        <f>IF(G136&lt;=0,0,MIN(ROUND(G136*(1+G$94/12),2),G$95+IF(G$96=$I136,$J136,0)))</f>
        <v/>
      </c>
      <c r="O136" s="305">
        <f>IF(H136&lt;=0,0,MIN(ROUND(H136*(1+H$94/12),2),H$95+IF(H$96=$I136,$J136,0)))</f>
        <v/>
      </c>
      <c r="P136" s="305">
        <f>SUMPRODUCT($D136:$H136,$D$94:$H$94)/12</f>
        <v/>
      </c>
      <c r="Q136" s="305">
        <f>SUM($K136:$O136)</f>
        <v/>
      </c>
      <c r="R136" s="306">
        <f>SUM($D136:$H136)</f>
        <v/>
      </c>
      <c r="S136" s="1" t="n"/>
      <c r="T136" s="1" t="n"/>
      <c r="U136" s="1" t="n"/>
      <c r="V136" s="1" t="n"/>
      <c r="W136" s="1" t="n"/>
      <c r="X136" s="1" t="n"/>
      <c r="Y136" s="1" t="n"/>
      <c r="Z136" s="1" t="n"/>
    </row>
    <row r="137" ht="15.75" customHeight="1" s="311">
      <c r="A137" s="1" t="n"/>
      <c r="B137" s="303" t="n">
        <v>40</v>
      </c>
      <c r="C137" s="304">
        <f>EDATE(TODAY(),39)</f>
        <v/>
      </c>
      <c r="D137" s="305">
        <f>MAX(0,ROUND(D136*(1+D$94/12)-K136,2))</f>
        <v/>
      </c>
      <c r="E137" s="305">
        <f>MAX(0,ROUND(E136*(1+E$94/12)-L136,2))</f>
        <v/>
      </c>
      <c r="F137" s="305">
        <f>MAX(0,ROUND(F136*(1+F$94/12)-M136,2))</f>
        <v/>
      </c>
      <c r="G137" s="305">
        <f>MAX(0,ROUND(G136*(1+G$94/12)-N136,2))</f>
        <v/>
      </c>
      <c r="H137" s="305">
        <f>MAX(0,ROUND(H136*(1+H$94/12)-O136,2))</f>
        <v/>
      </c>
      <c r="I137" s="303">
        <f>IF(SUMPRODUCT(($D$96:$H$96=1)*($D137:$H137&gt;0))&gt;0,1,IF(SUMPRODUCT(($D$96:$H$96=2)*($D137:$H137&gt;0))&gt;0,2,IF(SUMPRODUCT(($D$96:$H$96=3)*($D137:$H137&gt;0))&gt;0,3,IF(SUMPRODUCT(($D$96:$H$96=4)*($D137:$H137&gt;0))&gt;0,4,IF(SUMPRODUCT(($D$96:$H$96=5)*($D137:$H137&gt;0))&gt;0,5,0)))))</f>
        <v/>
      </c>
      <c r="J137" s="305">
        <f>$D$21+SUMPRODUCT(($D137:$H137=0)*$D$95:$H$95)</f>
        <v/>
      </c>
      <c r="K137" s="305">
        <f>IF(D137&lt;=0,0,MIN(ROUND(D137*(1+D$94/12),2),D$95+IF(D$96=$I137,$J137,0)))</f>
        <v/>
      </c>
      <c r="L137" s="305">
        <f>IF(E137&lt;=0,0,MIN(ROUND(E137*(1+E$94/12),2),E$95+IF(E$96=$I137,$J137,0)))</f>
        <v/>
      </c>
      <c r="M137" s="305">
        <f>IF(F137&lt;=0,0,MIN(ROUND(F137*(1+F$94/12),2),F$95+IF(F$96=$I137,$J137,0)))</f>
        <v/>
      </c>
      <c r="N137" s="305">
        <f>IF(G137&lt;=0,0,MIN(ROUND(G137*(1+G$94/12),2),G$95+IF(G$96=$I137,$J137,0)))</f>
        <v/>
      </c>
      <c r="O137" s="305">
        <f>IF(H137&lt;=0,0,MIN(ROUND(H137*(1+H$94/12),2),H$95+IF(H$96=$I137,$J137,0)))</f>
        <v/>
      </c>
      <c r="P137" s="305">
        <f>SUMPRODUCT($D137:$H137,$D$94:$H$94)/12</f>
        <v/>
      </c>
      <c r="Q137" s="305">
        <f>SUM($K137:$O137)</f>
        <v/>
      </c>
      <c r="R137" s="306">
        <f>SUM($D137:$H137)</f>
        <v/>
      </c>
      <c r="S137" s="1" t="n"/>
      <c r="T137" s="1" t="n"/>
      <c r="U137" s="1" t="n"/>
      <c r="V137" s="1" t="n"/>
      <c r="W137" s="1" t="n"/>
      <c r="X137" s="1" t="n"/>
      <c r="Y137" s="1" t="n"/>
      <c r="Z137" s="1" t="n"/>
    </row>
    <row r="138" ht="15.75" customHeight="1" s="311">
      <c r="A138" s="1" t="n"/>
      <c r="B138" s="303" t="n">
        <v>41</v>
      </c>
      <c r="C138" s="304">
        <f>EDATE(TODAY(),40)</f>
        <v/>
      </c>
      <c r="D138" s="305">
        <f>MAX(0,ROUND(D137*(1+D$94/12)-K137,2))</f>
        <v/>
      </c>
      <c r="E138" s="305">
        <f>MAX(0,ROUND(E137*(1+E$94/12)-L137,2))</f>
        <v/>
      </c>
      <c r="F138" s="305">
        <f>MAX(0,ROUND(F137*(1+F$94/12)-M137,2))</f>
        <v/>
      </c>
      <c r="G138" s="305">
        <f>MAX(0,ROUND(G137*(1+G$94/12)-N137,2))</f>
        <v/>
      </c>
      <c r="H138" s="305">
        <f>MAX(0,ROUND(H137*(1+H$94/12)-O137,2))</f>
        <v/>
      </c>
      <c r="I138" s="303">
        <f>IF(SUMPRODUCT(($D$96:$H$96=1)*($D138:$H138&gt;0))&gt;0,1,IF(SUMPRODUCT(($D$96:$H$96=2)*($D138:$H138&gt;0))&gt;0,2,IF(SUMPRODUCT(($D$96:$H$96=3)*($D138:$H138&gt;0))&gt;0,3,IF(SUMPRODUCT(($D$96:$H$96=4)*($D138:$H138&gt;0))&gt;0,4,IF(SUMPRODUCT(($D$96:$H$96=5)*($D138:$H138&gt;0))&gt;0,5,0)))))</f>
        <v/>
      </c>
      <c r="J138" s="305">
        <f>$D$21+SUMPRODUCT(($D138:$H138=0)*$D$95:$H$95)</f>
        <v/>
      </c>
      <c r="K138" s="305">
        <f>IF(D138&lt;=0,0,MIN(ROUND(D138*(1+D$94/12),2),D$95+IF(D$96=$I138,$J138,0)))</f>
        <v/>
      </c>
      <c r="L138" s="305">
        <f>IF(E138&lt;=0,0,MIN(ROUND(E138*(1+E$94/12),2),E$95+IF(E$96=$I138,$J138,0)))</f>
        <v/>
      </c>
      <c r="M138" s="305">
        <f>IF(F138&lt;=0,0,MIN(ROUND(F138*(1+F$94/12),2),F$95+IF(F$96=$I138,$J138,0)))</f>
        <v/>
      </c>
      <c r="N138" s="305">
        <f>IF(G138&lt;=0,0,MIN(ROUND(G138*(1+G$94/12),2),G$95+IF(G$96=$I138,$J138,0)))</f>
        <v/>
      </c>
      <c r="O138" s="305">
        <f>IF(H138&lt;=0,0,MIN(ROUND(H138*(1+H$94/12),2),H$95+IF(H$96=$I138,$J138,0)))</f>
        <v/>
      </c>
      <c r="P138" s="305">
        <f>SUMPRODUCT($D138:$H138,$D$94:$H$94)/12</f>
        <v/>
      </c>
      <c r="Q138" s="305">
        <f>SUM($K138:$O138)</f>
        <v/>
      </c>
      <c r="R138" s="306">
        <f>SUM($D138:$H138)</f>
        <v/>
      </c>
      <c r="S138" s="1" t="n"/>
      <c r="T138" s="1" t="n"/>
      <c r="U138" s="1" t="n"/>
      <c r="V138" s="1" t="n"/>
      <c r="W138" s="1" t="n"/>
      <c r="X138" s="1" t="n"/>
      <c r="Y138" s="1" t="n"/>
      <c r="Z138" s="1" t="n"/>
    </row>
    <row r="139" ht="15.75" customHeight="1" s="311">
      <c r="A139" s="1" t="n"/>
      <c r="B139" s="303" t="n">
        <v>42</v>
      </c>
      <c r="C139" s="304">
        <f>EDATE(TODAY(),41)</f>
        <v/>
      </c>
      <c r="D139" s="305">
        <f>MAX(0,ROUND(D138*(1+D$94/12)-K138,2))</f>
        <v/>
      </c>
      <c r="E139" s="305">
        <f>MAX(0,ROUND(E138*(1+E$94/12)-L138,2))</f>
        <v/>
      </c>
      <c r="F139" s="305">
        <f>MAX(0,ROUND(F138*(1+F$94/12)-M138,2))</f>
        <v/>
      </c>
      <c r="G139" s="305">
        <f>MAX(0,ROUND(G138*(1+G$94/12)-N138,2))</f>
        <v/>
      </c>
      <c r="H139" s="305">
        <f>MAX(0,ROUND(H138*(1+H$94/12)-O138,2))</f>
        <v/>
      </c>
      <c r="I139" s="303">
        <f>IF(SUMPRODUCT(($D$96:$H$96=1)*($D139:$H139&gt;0))&gt;0,1,IF(SUMPRODUCT(($D$96:$H$96=2)*($D139:$H139&gt;0))&gt;0,2,IF(SUMPRODUCT(($D$96:$H$96=3)*($D139:$H139&gt;0))&gt;0,3,IF(SUMPRODUCT(($D$96:$H$96=4)*($D139:$H139&gt;0))&gt;0,4,IF(SUMPRODUCT(($D$96:$H$96=5)*($D139:$H139&gt;0))&gt;0,5,0)))))</f>
        <v/>
      </c>
      <c r="J139" s="305">
        <f>$D$21+SUMPRODUCT(($D139:$H139=0)*$D$95:$H$95)</f>
        <v/>
      </c>
      <c r="K139" s="305">
        <f>IF(D139&lt;=0,0,MIN(ROUND(D139*(1+D$94/12),2),D$95+IF(D$96=$I139,$J139,0)))</f>
        <v/>
      </c>
      <c r="L139" s="305">
        <f>IF(E139&lt;=0,0,MIN(ROUND(E139*(1+E$94/12),2),E$95+IF(E$96=$I139,$J139,0)))</f>
        <v/>
      </c>
      <c r="M139" s="305">
        <f>IF(F139&lt;=0,0,MIN(ROUND(F139*(1+F$94/12),2),F$95+IF(F$96=$I139,$J139,0)))</f>
        <v/>
      </c>
      <c r="N139" s="305">
        <f>IF(G139&lt;=0,0,MIN(ROUND(G139*(1+G$94/12),2),G$95+IF(G$96=$I139,$J139,0)))</f>
        <v/>
      </c>
      <c r="O139" s="305">
        <f>IF(H139&lt;=0,0,MIN(ROUND(H139*(1+H$94/12),2),H$95+IF(H$96=$I139,$J139,0)))</f>
        <v/>
      </c>
      <c r="P139" s="305">
        <f>SUMPRODUCT($D139:$H139,$D$94:$H$94)/12</f>
        <v/>
      </c>
      <c r="Q139" s="305">
        <f>SUM($K139:$O139)</f>
        <v/>
      </c>
      <c r="R139" s="306">
        <f>SUM($D139:$H139)</f>
        <v/>
      </c>
      <c r="S139" s="1" t="n"/>
      <c r="T139" s="1" t="n"/>
      <c r="U139" s="1" t="n"/>
      <c r="V139" s="1" t="n"/>
      <c r="W139" s="1" t="n"/>
      <c r="X139" s="1" t="n"/>
      <c r="Y139" s="1" t="n"/>
      <c r="Z139" s="1" t="n"/>
    </row>
    <row r="140" ht="15.75" customHeight="1" s="311">
      <c r="A140" s="1" t="n"/>
      <c r="B140" s="303" t="n">
        <v>43</v>
      </c>
      <c r="C140" s="304">
        <f>EDATE(TODAY(),42)</f>
        <v/>
      </c>
      <c r="D140" s="305">
        <f>MAX(0,ROUND(D139*(1+D$94/12)-K139,2))</f>
        <v/>
      </c>
      <c r="E140" s="305">
        <f>MAX(0,ROUND(E139*(1+E$94/12)-L139,2))</f>
        <v/>
      </c>
      <c r="F140" s="305">
        <f>MAX(0,ROUND(F139*(1+F$94/12)-M139,2))</f>
        <v/>
      </c>
      <c r="G140" s="305">
        <f>MAX(0,ROUND(G139*(1+G$94/12)-N139,2))</f>
        <v/>
      </c>
      <c r="H140" s="305">
        <f>MAX(0,ROUND(H139*(1+H$94/12)-O139,2))</f>
        <v/>
      </c>
      <c r="I140" s="303">
        <f>IF(SUMPRODUCT(($D$96:$H$96=1)*($D140:$H140&gt;0))&gt;0,1,IF(SUMPRODUCT(($D$96:$H$96=2)*($D140:$H140&gt;0))&gt;0,2,IF(SUMPRODUCT(($D$96:$H$96=3)*($D140:$H140&gt;0))&gt;0,3,IF(SUMPRODUCT(($D$96:$H$96=4)*($D140:$H140&gt;0))&gt;0,4,IF(SUMPRODUCT(($D$96:$H$96=5)*($D140:$H140&gt;0))&gt;0,5,0)))))</f>
        <v/>
      </c>
      <c r="J140" s="305">
        <f>$D$21+SUMPRODUCT(($D140:$H140=0)*$D$95:$H$95)</f>
        <v/>
      </c>
      <c r="K140" s="305">
        <f>IF(D140&lt;=0,0,MIN(ROUND(D140*(1+D$94/12),2),D$95+IF(D$96=$I140,$J140,0)))</f>
        <v/>
      </c>
      <c r="L140" s="305">
        <f>IF(E140&lt;=0,0,MIN(ROUND(E140*(1+E$94/12),2),E$95+IF(E$96=$I140,$J140,0)))</f>
        <v/>
      </c>
      <c r="M140" s="305">
        <f>IF(F140&lt;=0,0,MIN(ROUND(F140*(1+F$94/12),2),F$95+IF(F$96=$I140,$J140,0)))</f>
        <v/>
      </c>
      <c r="N140" s="305">
        <f>IF(G140&lt;=0,0,MIN(ROUND(G140*(1+G$94/12),2),G$95+IF(G$96=$I140,$J140,0)))</f>
        <v/>
      </c>
      <c r="O140" s="305">
        <f>IF(H140&lt;=0,0,MIN(ROUND(H140*(1+H$94/12),2),H$95+IF(H$96=$I140,$J140,0)))</f>
        <v/>
      </c>
      <c r="P140" s="305">
        <f>SUMPRODUCT($D140:$H140,$D$94:$H$94)/12</f>
        <v/>
      </c>
      <c r="Q140" s="305">
        <f>SUM($K140:$O140)</f>
        <v/>
      </c>
      <c r="R140" s="306">
        <f>SUM($D140:$H140)</f>
        <v/>
      </c>
      <c r="S140" s="1" t="n"/>
      <c r="T140" s="1" t="n"/>
      <c r="U140" s="1" t="n"/>
      <c r="V140" s="1" t="n"/>
      <c r="W140" s="1" t="n"/>
      <c r="X140" s="1" t="n"/>
      <c r="Y140" s="1" t="n"/>
      <c r="Z140" s="1" t="n"/>
    </row>
    <row r="141" ht="15.75" customHeight="1" s="311">
      <c r="A141" s="1" t="n"/>
      <c r="B141" s="303" t="n">
        <v>44</v>
      </c>
      <c r="C141" s="304">
        <f>EDATE(TODAY(),43)</f>
        <v/>
      </c>
      <c r="D141" s="305">
        <f>MAX(0,ROUND(D140*(1+D$94/12)-K140,2))</f>
        <v/>
      </c>
      <c r="E141" s="305">
        <f>MAX(0,ROUND(E140*(1+E$94/12)-L140,2))</f>
        <v/>
      </c>
      <c r="F141" s="305">
        <f>MAX(0,ROUND(F140*(1+F$94/12)-M140,2))</f>
        <v/>
      </c>
      <c r="G141" s="305">
        <f>MAX(0,ROUND(G140*(1+G$94/12)-N140,2))</f>
        <v/>
      </c>
      <c r="H141" s="305">
        <f>MAX(0,ROUND(H140*(1+H$94/12)-O140,2))</f>
        <v/>
      </c>
      <c r="I141" s="303">
        <f>IF(SUMPRODUCT(($D$96:$H$96=1)*($D141:$H141&gt;0))&gt;0,1,IF(SUMPRODUCT(($D$96:$H$96=2)*($D141:$H141&gt;0))&gt;0,2,IF(SUMPRODUCT(($D$96:$H$96=3)*($D141:$H141&gt;0))&gt;0,3,IF(SUMPRODUCT(($D$96:$H$96=4)*($D141:$H141&gt;0))&gt;0,4,IF(SUMPRODUCT(($D$96:$H$96=5)*($D141:$H141&gt;0))&gt;0,5,0)))))</f>
        <v/>
      </c>
      <c r="J141" s="305">
        <f>$D$21+SUMPRODUCT(($D141:$H141=0)*$D$95:$H$95)</f>
        <v/>
      </c>
      <c r="K141" s="305">
        <f>IF(D141&lt;=0,0,MIN(ROUND(D141*(1+D$94/12),2),D$95+IF(D$96=$I141,$J141,0)))</f>
        <v/>
      </c>
      <c r="L141" s="305">
        <f>IF(E141&lt;=0,0,MIN(ROUND(E141*(1+E$94/12),2),E$95+IF(E$96=$I141,$J141,0)))</f>
        <v/>
      </c>
      <c r="M141" s="305">
        <f>IF(F141&lt;=0,0,MIN(ROUND(F141*(1+F$94/12),2),F$95+IF(F$96=$I141,$J141,0)))</f>
        <v/>
      </c>
      <c r="N141" s="305">
        <f>IF(G141&lt;=0,0,MIN(ROUND(G141*(1+G$94/12),2),G$95+IF(G$96=$I141,$J141,0)))</f>
        <v/>
      </c>
      <c r="O141" s="305">
        <f>IF(H141&lt;=0,0,MIN(ROUND(H141*(1+H$94/12),2),H$95+IF(H$96=$I141,$J141,0)))</f>
        <v/>
      </c>
      <c r="P141" s="305">
        <f>SUMPRODUCT($D141:$H141,$D$94:$H$94)/12</f>
        <v/>
      </c>
      <c r="Q141" s="305">
        <f>SUM($K141:$O141)</f>
        <v/>
      </c>
      <c r="R141" s="306">
        <f>SUM($D141:$H141)</f>
        <v/>
      </c>
      <c r="S141" s="1" t="n"/>
      <c r="T141" s="1" t="n"/>
      <c r="U141" s="1" t="n"/>
      <c r="V141" s="1" t="n"/>
      <c r="W141" s="1" t="n"/>
      <c r="X141" s="1" t="n"/>
      <c r="Y141" s="1" t="n"/>
      <c r="Z141" s="1" t="n"/>
    </row>
    <row r="142" ht="15.75" customHeight="1" s="311">
      <c r="A142" s="1" t="n"/>
      <c r="B142" s="303" t="n">
        <v>45</v>
      </c>
      <c r="C142" s="304">
        <f>EDATE(TODAY(),44)</f>
        <v/>
      </c>
      <c r="D142" s="305">
        <f>MAX(0,ROUND(D141*(1+D$94/12)-K141,2))</f>
        <v/>
      </c>
      <c r="E142" s="305">
        <f>MAX(0,ROUND(E141*(1+E$94/12)-L141,2))</f>
        <v/>
      </c>
      <c r="F142" s="305">
        <f>MAX(0,ROUND(F141*(1+F$94/12)-M141,2))</f>
        <v/>
      </c>
      <c r="G142" s="305">
        <f>MAX(0,ROUND(G141*(1+G$94/12)-N141,2))</f>
        <v/>
      </c>
      <c r="H142" s="305">
        <f>MAX(0,ROUND(H141*(1+H$94/12)-O141,2))</f>
        <v/>
      </c>
      <c r="I142" s="303">
        <f>IF(SUMPRODUCT(($D$96:$H$96=1)*($D142:$H142&gt;0))&gt;0,1,IF(SUMPRODUCT(($D$96:$H$96=2)*($D142:$H142&gt;0))&gt;0,2,IF(SUMPRODUCT(($D$96:$H$96=3)*($D142:$H142&gt;0))&gt;0,3,IF(SUMPRODUCT(($D$96:$H$96=4)*($D142:$H142&gt;0))&gt;0,4,IF(SUMPRODUCT(($D$96:$H$96=5)*($D142:$H142&gt;0))&gt;0,5,0)))))</f>
        <v/>
      </c>
      <c r="J142" s="305">
        <f>$D$21+SUMPRODUCT(($D142:$H142=0)*$D$95:$H$95)</f>
        <v/>
      </c>
      <c r="K142" s="305">
        <f>IF(D142&lt;=0,0,MIN(ROUND(D142*(1+D$94/12),2),D$95+IF(D$96=$I142,$J142,0)))</f>
        <v/>
      </c>
      <c r="L142" s="305">
        <f>IF(E142&lt;=0,0,MIN(ROUND(E142*(1+E$94/12),2),E$95+IF(E$96=$I142,$J142,0)))</f>
        <v/>
      </c>
      <c r="M142" s="305">
        <f>IF(F142&lt;=0,0,MIN(ROUND(F142*(1+F$94/12),2),F$95+IF(F$96=$I142,$J142,0)))</f>
        <v/>
      </c>
      <c r="N142" s="305">
        <f>IF(G142&lt;=0,0,MIN(ROUND(G142*(1+G$94/12),2),G$95+IF(G$96=$I142,$J142,0)))</f>
        <v/>
      </c>
      <c r="O142" s="305">
        <f>IF(H142&lt;=0,0,MIN(ROUND(H142*(1+H$94/12),2),H$95+IF(H$96=$I142,$J142,0)))</f>
        <v/>
      </c>
      <c r="P142" s="305">
        <f>SUMPRODUCT($D142:$H142,$D$94:$H$94)/12</f>
        <v/>
      </c>
      <c r="Q142" s="305">
        <f>SUM($K142:$O142)</f>
        <v/>
      </c>
      <c r="R142" s="306">
        <f>SUM($D142:$H142)</f>
        <v/>
      </c>
      <c r="S142" s="1" t="n"/>
      <c r="T142" s="1" t="n"/>
      <c r="U142" s="1" t="n"/>
      <c r="V142" s="1" t="n"/>
      <c r="W142" s="1" t="n"/>
      <c r="X142" s="1" t="n"/>
      <c r="Y142" s="1" t="n"/>
      <c r="Z142" s="1" t="n"/>
    </row>
    <row r="143" ht="15.75" customHeight="1" s="311">
      <c r="A143" s="1" t="n"/>
      <c r="B143" s="303" t="n">
        <v>46</v>
      </c>
      <c r="C143" s="304">
        <f>EDATE(TODAY(),45)</f>
        <v/>
      </c>
      <c r="D143" s="305">
        <f>MAX(0,ROUND(D142*(1+D$94/12)-K142,2))</f>
        <v/>
      </c>
      <c r="E143" s="305">
        <f>MAX(0,ROUND(E142*(1+E$94/12)-L142,2))</f>
        <v/>
      </c>
      <c r="F143" s="305">
        <f>MAX(0,ROUND(F142*(1+F$94/12)-M142,2))</f>
        <v/>
      </c>
      <c r="G143" s="305">
        <f>MAX(0,ROUND(G142*(1+G$94/12)-N142,2))</f>
        <v/>
      </c>
      <c r="H143" s="305">
        <f>MAX(0,ROUND(H142*(1+H$94/12)-O142,2))</f>
        <v/>
      </c>
      <c r="I143" s="303">
        <f>IF(SUMPRODUCT(($D$96:$H$96=1)*($D143:$H143&gt;0))&gt;0,1,IF(SUMPRODUCT(($D$96:$H$96=2)*($D143:$H143&gt;0))&gt;0,2,IF(SUMPRODUCT(($D$96:$H$96=3)*($D143:$H143&gt;0))&gt;0,3,IF(SUMPRODUCT(($D$96:$H$96=4)*($D143:$H143&gt;0))&gt;0,4,IF(SUMPRODUCT(($D$96:$H$96=5)*($D143:$H143&gt;0))&gt;0,5,0)))))</f>
        <v/>
      </c>
      <c r="J143" s="305">
        <f>$D$21+SUMPRODUCT(($D143:$H143=0)*$D$95:$H$95)</f>
        <v/>
      </c>
      <c r="K143" s="305">
        <f>IF(D143&lt;=0,0,MIN(ROUND(D143*(1+D$94/12),2),D$95+IF(D$96=$I143,$J143,0)))</f>
        <v/>
      </c>
      <c r="L143" s="305">
        <f>IF(E143&lt;=0,0,MIN(ROUND(E143*(1+E$94/12),2),E$95+IF(E$96=$I143,$J143,0)))</f>
        <v/>
      </c>
      <c r="M143" s="305">
        <f>IF(F143&lt;=0,0,MIN(ROUND(F143*(1+F$94/12),2),F$95+IF(F$96=$I143,$J143,0)))</f>
        <v/>
      </c>
      <c r="N143" s="305">
        <f>IF(G143&lt;=0,0,MIN(ROUND(G143*(1+G$94/12),2),G$95+IF(G$96=$I143,$J143,0)))</f>
        <v/>
      </c>
      <c r="O143" s="305">
        <f>IF(H143&lt;=0,0,MIN(ROUND(H143*(1+H$94/12),2),H$95+IF(H$96=$I143,$J143,0)))</f>
        <v/>
      </c>
      <c r="P143" s="305">
        <f>SUMPRODUCT($D143:$H143,$D$94:$H$94)/12</f>
        <v/>
      </c>
      <c r="Q143" s="305">
        <f>SUM($K143:$O143)</f>
        <v/>
      </c>
      <c r="R143" s="306">
        <f>SUM($D143:$H143)</f>
        <v/>
      </c>
      <c r="S143" s="1" t="n"/>
      <c r="T143" s="1" t="n"/>
      <c r="U143" s="1" t="n"/>
      <c r="V143" s="1" t="n"/>
      <c r="W143" s="1" t="n"/>
      <c r="X143" s="1" t="n"/>
      <c r="Y143" s="1" t="n"/>
      <c r="Z143" s="1" t="n"/>
    </row>
    <row r="144" ht="15.75" customHeight="1" s="311">
      <c r="A144" s="1" t="n"/>
      <c r="B144" s="303" t="n">
        <v>47</v>
      </c>
      <c r="C144" s="304">
        <f>EDATE(TODAY(),46)</f>
        <v/>
      </c>
      <c r="D144" s="305">
        <f>MAX(0,ROUND(D143*(1+D$94/12)-K143,2))</f>
        <v/>
      </c>
      <c r="E144" s="305">
        <f>MAX(0,ROUND(E143*(1+E$94/12)-L143,2))</f>
        <v/>
      </c>
      <c r="F144" s="305">
        <f>MAX(0,ROUND(F143*(1+F$94/12)-M143,2))</f>
        <v/>
      </c>
      <c r="G144" s="305">
        <f>MAX(0,ROUND(G143*(1+G$94/12)-N143,2))</f>
        <v/>
      </c>
      <c r="H144" s="305">
        <f>MAX(0,ROUND(H143*(1+H$94/12)-O143,2))</f>
        <v/>
      </c>
      <c r="I144" s="303">
        <f>IF(SUMPRODUCT(($D$96:$H$96=1)*($D144:$H144&gt;0))&gt;0,1,IF(SUMPRODUCT(($D$96:$H$96=2)*($D144:$H144&gt;0))&gt;0,2,IF(SUMPRODUCT(($D$96:$H$96=3)*($D144:$H144&gt;0))&gt;0,3,IF(SUMPRODUCT(($D$96:$H$96=4)*($D144:$H144&gt;0))&gt;0,4,IF(SUMPRODUCT(($D$96:$H$96=5)*($D144:$H144&gt;0))&gt;0,5,0)))))</f>
        <v/>
      </c>
      <c r="J144" s="305">
        <f>$D$21+SUMPRODUCT(($D144:$H144=0)*$D$95:$H$95)</f>
        <v/>
      </c>
      <c r="K144" s="305">
        <f>IF(D144&lt;=0,0,MIN(ROUND(D144*(1+D$94/12),2),D$95+IF(D$96=$I144,$J144,0)))</f>
        <v/>
      </c>
      <c r="L144" s="305">
        <f>IF(E144&lt;=0,0,MIN(ROUND(E144*(1+E$94/12),2),E$95+IF(E$96=$I144,$J144,0)))</f>
        <v/>
      </c>
      <c r="M144" s="305">
        <f>IF(F144&lt;=0,0,MIN(ROUND(F144*(1+F$94/12),2),F$95+IF(F$96=$I144,$J144,0)))</f>
        <v/>
      </c>
      <c r="N144" s="305">
        <f>IF(G144&lt;=0,0,MIN(ROUND(G144*(1+G$94/12),2),G$95+IF(G$96=$I144,$J144,0)))</f>
        <v/>
      </c>
      <c r="O144" s="305">
        <f>IF(H144&lt;=0,0,MIN(ROUND(H144*(1+H$94/12),2),H$95+IF(H$96=$I144,$J144,0)))</f>
        <v/>
      </c>
      <c r="P144" s="305">
        <f>SUMPRODUCT($D144:$H144,$D$94:$H$94)/12</f>
        <v/>
      </c>
      <c r="Q144" s="305">
        <f>SUM($K144:$O144)</f>
        <v/>
      </c>
      <c r="R144" s="306">
        <f>SUM($D144:$H144)</f>
        <v/>
      </c>
      <c r="S144" s="1" t="n"/>
      <c r="T144" s="1" t="n"/>
      <c r="U144" s="1" t="n"/>
      <c r="V144" s="1" t="n"/>
      <c r="W144" s="1" t="n"/>
      <c r="X144" s="1" t="n"/>
      <c r="Y144" s="1" t="n"/>
      <c r="Z144" s="1" t="n"/>
    </row>
    <row r="145" ht="15.75" customHeight="1" s="311">
      <c r="A145" s="1" t="n"/>
      <c r="B145" s="303" t="n">
        <v>48</v>
      </c>
      <c r="C145" s="304">
        <f>EDATE(TODAY(),47)</f>
        <v/>
      </c>
      <c r="D145" s="305">
        <f>MAX(0,ROUND(D144*(1+D$94/12)-K144,2))</f>
        <v/>
      </c>
      <c r="E145" s="305">
        <f>MAX(0,ROUND(E144*(1+E$94/12)-L144,2))</f>
        <v/>
      </c>
      <c r="F145" s="305">
        <f>MAX(0,ROUND(F144*(1+F$94/12)-M144,2))</f>
        <v/>
      </c>
      <c r="G145" s="305">
        <f>MAX(0,ROUND(G144*(1+G$94/12)-N144,2))</f>
        <v/>
      </c>
      <c r="H145" s="305">
        <f>MAX(0,ROUND(H144*(1+H$94/12)-O144,2))</f>
        <v/>
      </c>
      <c r="I145" s="303">
        <f>IF(SUMPRODUCT(($D$96:$H$96=1)*($D145:$H145&gt;0))&gt;0,1,IF(SUMPRODUCT(($D$96:$H$96=2)*($D145:$H145&gt;0))&gt;0,2,IF(SUMPRODUCT(($D$96:$H$96=3)*($D145:$H145&gt;0))&gt;0,3,IF(SUMPRODUCT(($D$96:$H$96=4)*($D145:$H145&gt;0))&gt;0,4,IF(SUMPRODUCT(($D$96:$H$96=5)*($D145:$H145&gt;0))&gt;0,5,0)))))</f>
        <v/>
      </c>
      <c r="J145" s="305">
        <f>$D$21+SUMPRODUCT(($D145:$H145=0)*$D$95:$H$95)</f>
        <v/>
      </c>
      <c r="K145" s="305">
        <f>IF(D145&lt;=0,0,MIN(ROUND(D145*(1+D$94/12),2),D$95+IF(D$96=$I145,$J145,0)))</f>
        <v/>
      </c>
      <c r="L145" s="305">
        <f>IF(E145&lt;=0,0,MIN(ROUND(E145*(1+E$94/12),2),E$95+IF(E$96=$I145,$J145,0)))</f>
        <v/>
      </c>
      <c r="M145" s="305">
        <f>IF(F145&lt;=0,0,MIN(ROUND(F145*(1+F$94/12),2),F$95+IF(F$96=$I145,$J145,0)))</f>
        <v/>
      </c>
      <c r="N145" s="305">
        <f>IF(G145&lt;=0,0,MIN(ROUND(G145*(1+G$94/12),2),G$95+IF(G$96=$I145,$J145,0)))</f>
        <v/>
      </c>
      <c r="O145" s="305">
        <f>IF(H145&lt;=0,0,MIN(ROUND(H145*(1+H$94/12),2),H$95+IF(H$96=$I145,$J145,0)))</f>
        <v/>
      </c>
      <c r="P145" s="305">
        <f>SUMPRODUCT($D145:$H145,$D$94:$H$94)/12</f>
        <v/>
      </c>
      <c r="Q145" s="305">
        <f>SUM($K145:$O145)</f>
        <v/>
      </c>
      <c r="R145" s="306">
        <f>SUM($D145:$H145)</f>
        <v/>
      </c>
      <c r="S145" s="1" t="n"/>
      <c r="T145" s="1" t="n"/>
      <c r="U145" s="1" t="n"/>
      <c r="V145" s="1" t="n"/>
      <c r="W145" s="1" t="n"/>
      <c r="X145" s="1" t="n"/>
      <c r="Y145" s="1" t="n"/>
      <c r="Z145" s="1" t="n"/>
    </row>
    <row r="146" ht="15.75" customHeight="1" s="311">
      <c r="A146" s="1" t="n"/>
      <c r="B146" s="303" t="n">
        <v>49</v>
      </c>
      <c r="C146" s="304">
        <f>EDATE(TODAY(),48)</f>
        <v/>
      </c>
      <c r="D146" s="305">
        <f>MAX(0,ROUND(D145*(1+D$94/12)-K145,2))</f>
        <v/>
      </c>
      <c r="E146" s="305">
        <f>MAX(0,ROUND(E145*(1+E$94/12)-L145,2))</f>
        <v/>
      </c>
      <c r="F146" s="305">
        <f>MAX(0,ROUND(F145*(1+F$94/12)-M145,2))</f>
        <v/>
      </c>
      <c r="G146" s="305">
        <f>MAX(0,ROUND(G145*(1+G$94/12)-N145,2))</f>
        <v/>
      </c>
      <c r="H146" s="305">
        <f>MAX(0,ROUND(H145*(1+H$94/12)-O145,2))</f>
        <v/>
      </c>
      <c r="I146" s="303">
        <f>IF(SUMPRODUCT(($D$96:$H$96=1)*($D146:$H146&gt;0))&gt;0,1,IF(SUMPRODUCT(($D$96:$H$96=2)*($D146:$H146&gt;0))&gt;0,2,IF(SUMPRODUCT(($D$96:$H$96=3)*($D146:$H146&gt;0))&gt;0,3,IF(SUMPRODUCT(($D$96:$H$96=4)*($D146:$H146&gt;0))&gt;0,4,IF(SUMPRODUCT(($D$96:$H$96=5)*($D146:$H146&gt;0))&gt;0,5,0)))))</f>
        <v/>
      </c>
      <c r="J146" s="305">
        <f>$D$21+SUMPRODUCT(($D146:$H146=0)*$D$95:$H$95)</f>
        <v/>
      </c>
      <c r="K146" s="305">
        <f>IF(D146&lt;=0,0,MIN(ROUND(D146*(1+D$94/12),2),D$95+IF(D$96=$I146,$J146,0)))</f>
        <v/>
      </c>
      <c r="L146" s="305">
        <f>IF(E146&lt;=0,0,MIN(ROUND(E146*(1+E$94/12),2),E$95+IF(E$96=$I146,$J146,0)))</f>
        <v/>
      </c>
      <c r="M146" s="305">
        <f>IF(F146&lt;=0,0,MIN(ROUND(F146*(1+F$94/12),2),F$95+IF(F$96=$I146,$J146,0)))</f>
        <v/>
      </c>
      <c r="N146" s="305">
        <f>IF(G146&lt;=0,0,MIN(ROUND(G146*(1+G$94/12),2),G$95+IF(G$96=$I146,$J146,0)))</f>
        <v/>
      </c>
      <c r="O146" s="305">
        <f>IF(H146&lt;=0,0,MIN(ROUND(H146*(1+H$94/12),2),H$95+IF(H$96=$I146,$J146,0)))</f>
        <v/>
      </c>
      <c r="P146" s="305">
        <f>SUMPRODUCT($D146:$H146,$D$94:$H$94)/12</f>
        <v/>
      </c>
      <c r="Q146" s="305">
        <f>SUM($K146:$O146)</f>
        <v/>
      </c>
      <c r="R146" s="306">
        <f>SUM($D146:$H146)</f>
        <v/>
      </c>
      <c r="S146" s="1" t="n"/>
      <c r="T146" s="1" t="n"/>
      <c r="U146" s="1" t="n"/>
      <c r="V146" s="1" t="n"/>
      <c r="W146" s="1" t="n"/>
      <c r="X146" s="1" t="n"/>
      <c r="Y146" s="1" t="n"/>
      <c r="Z146" s="1" t="n"/>
    </row>
    <row r="147" ht="15.75" customHeight="1" s="311">
      <c r="A147" s="1" t="n"/>
      <c r="B147" s="303" t="n">
        <v>50</v>
      </c>
      <c r="C147" s="304">
        <f>EDATE(TODAY(),49)</f>
        <v/>
      </c>
      <c r="D147" s="305">
        <f>MAX(0,ROUND(D146*(1+D$94/12)-K146,2))</f>
        <v/>
      </c>
      <c r="E147" s="305">
        <f>MAX(0,ROUND(E146*(1+E$94/12)-L146,2))</f>
        <v/>
      </c>
      <c r="F147" s="305">
        <f>MAX(0,ROUND(F146*(1+F$94/12)-M146,2))</f>
        <v/>
      </c>
      <c r="G147" s="305">
        <f>MAX(0,ROUND(G146*(1+G$94/12)-N146,2))</f>
        <v/>
      </c>
      <c r="H147" s="305">
        <f>MAX(0,ROUND(H146*(1+H$94/12)-O146,2))</f>
        <v/>
      </c>
      <c r="I147" s="303">
        <f>IF(SUMPRODUCT(($D$96:$H$96=1)*($D147:$H147&gt;0))&gt;0,1,IF(SUMPRODUCT(($D$96:$H$96=2)*($D147:$H147&gt;0))&gt;0,2,IF(SUMPRODUCT(($D$96:$H$96=3)*($D147:$H147&gt;0))&gt;0,3,IF(SUMPRODUCT(($D$96:$H$96=4)*($D147:$H147&gt;0))&gt;0,4,IF(SUMPRODUCT(($D$96:$H$96=5)*($D147:$H147&gt;0))&gt;0,5,0)))))</f>
        <v/>
      </c>
      <c r="J147" s="305">
        <f>$D$21+SUMPRODUCT(($D147:$H147=0)*$D$95:$H$95)</f>
        <v/>
      </c>
      <c r="K147" s="305">
        <f>IF(D147&lt;=0,0,MIN(ROUND(D147*(1+D$94/12),2),D$95+IF(D$96=$I147,$J147,0)))</f>
        <v/>
      </c>
      <c r="L147" s="305">
        <f>IF(E147&lt;=0,0,MIN(ROUND(E147*(1+E$94/12),2),E$95+IF(E$96=$I147,$J147,0)))</f>
        <v/>
      </c>
      <c r="M147" s="305">
        <f>IF(F147&lt;=0,0,MIN(ROUND(F147*(1+F$94/12),2),F$95+IF(F$96=$I147,$J147,0)))</f>
        <v/>
      </c>
      <c r="N147" s="305">
        <f>IF(G147&lt;=0,0,MIN(ROUND(G147*(1+G$94/12),2),G$95+IF(G$96=$I147,$J147,0)))</f>
        <v/>
      </c>
      <c r="O147" s="305">
        <f>IF(H147&lt;=0,0,MIN(ROUND(H147*(1+H$94/12),2),H$95+IF(H$96=$I147,$J147,0)))</f>
        <v/>
      </c>
      <c r="P147" s="305">
        <f>SUMPRODUCT($D147:$H147,$D$94:$H$94)/12</f>
        <v/>
      </c>
      <c r="Q147" s="305">
        <f>SUM($K147:$O147)</f>
        <v/>
      </c>
      <c r="R147" s="306">
        <f>SUM($D147:$H147)</f>
        <v/>
      </c>
      <c r="S147" s="1" t="n"/>
      <c r="T147" s="1" t="n"/>
      <c r="U147" s="1" t="n"/>
      <c r="V147" s="1" t="n"/>
      <c r="W147" s="1" t="n"/>
      <c r="X147" s="1" t="n"/>
      <c r="Y147" s="1" t="n"/>
      <c r="Z147" s="1" t="n"/>
    </row>
    <row r="148" ht="15.75" customHeight="1" s="311">
      <c r="A148" s="1" t="n"/>
      <c r="B148" s="303" t="n">
        <v>51</v>
      </c>
      <c r="C148" s="304">
        <f>EDATE(TODAY(),50)</f>
        <v/>
      </c>
      <c r="D148" s="305">
        <f>MAX(0,ROUND(D147*(1+D$94/12)-K147,2))</f>
        <v/>
      </c>
      <c r="E148" s="305">
        <f>MAX(0,ROUND(E147*(1+E$94/12)-L147,2))</f>
        <v/>
      </c>
      <c r="F148" s="305">
        <f>MAX(0,ROUND(F147*(1+F$94/12)-M147,2))</f>
        <v/>
      </c>
      <c r="G148" s="305">
        <f>MAX(0,ROUND(G147*(1+G$94/12)-N147,2))</f>
        <v/>
      </c>
      <c r="H148" s="305">
        <f>MAX(0,ROUND(H147*(1+H$94/12)-O147,2))</f>
        <v/>
      </c>
      <c r="I148" s="303">
        <f>IF(SUMPRODUCT(($D$96:$H$96=1)*($D148:$H148&gt;0))&gt;0,1,IF(SUMPRODUCT(($D$96:$H$96=2)*($D148:$H148&gt;0))&gt;0,2,IF(SUMPRODUCT(($D$96:$H$96=3)*($D148:$H148&gt;0))&gt;0,3,IF(SUMPRODUCT(($D$96:$H$96=4)*($D148:$H148&gt;0))&gt;0,4,IF(SUMPRODUCT(($D$96:$H$96=5)*($D148:$H148&gt;0))&gt;0,5,0)))))</f>
        <v/>
      </c>
      <c r="J148" s="305">
        <f>$D$21+SUMPRODUCT(($D148:$H148=0)*$D$95:$H$95)</f>
        <v/>
      </c>
      <c r="K148" s="305">
        <f>IF(D148&lt;=0,0,MIN(ROUND(D148*(1+D$94/12),2),D$95+IF(D$96=$I148,$J148,0)))</f>
        <v/>
      </c>
      <c r="L148" s="305">
        <f>IF(E148&lt;=0,0,MIN(ROUND(E148*(1+E$94/12),2),E$95+IF(E$96=$I148,$J148,0)))</f>
        <v/>
      </c>
      <c r="M148" s="305">
        <f>IF(F148&lt;=0,0,MIN(ROUND(F148*(1+F$94/12),2),F$95+IF(F$96=$I148,$J148,0)))</f>
        <v/>
      </c>
      <c r="N148" s="305">
        <f>IF(G148&lt;=0,0,MIN(ROUND(G148*(1+G$94/12),2),G$95+IF(G$96=$I148,$J148,0)))</f>
        <v/>
      </c>
      <c r="O148" s="305">
        <f>IF(H148&lt;=0,0,MIN(ROUND(H148*(1+H$94/12),2),H$95+IF(H$96=$I148,$J148,0)))</f>
        <v/>
      </c>
      <c r="P148" s="305">
        <f>SUMPRODUCT($D148:$H148,$D$94:$H$94)/12</f>
        <v/>
      </c>
      <c r="Q148" s="305">
        <f>SUM($K148:$O148)</f>
        <v/>
      </c>
      <c r="R148" s="306">
        <f>SUM($D148:$H148)</f>
        <v/>
      </c>
      <c r="S148" s="1" t="n"/>
      <c r="T148" s="1" t="n"/>
      <c r="U148" s="1" t="n"/>
      <c r="V148" s="1" t="n"/>
      <c r="W148" s="1" t="n"/>
      <c r="X148" s="1" t="n"/>
      <c r="Y148" s="1" t="n"/>
      <c r="Z148" s="1" t="n"/>
    </row>
    <row r="149" ht="15.75" customHeight="1" s="311">
      <c r="A149" s="1" t="n"/>
      <c r="B149" s="303" t="n">
        <v>52</v>
      </c>
      <c r="C149" s="304">
        <f>EDATE(TODAY(),51)</f>
        <v/>
      </c>
      <c r="D149" s="305">
        <f>MAX(0,ROUND(D148*(1+D$94/12)-K148,2))</f>
        <v/>
      </c>
      <c r="E149" s="305">
        <f>MAX(0,ROUND(E148*(1+E$94/12)-L148,2))</f>
        <v/>
      </c>
      <c r="F149" s="305">
        <f>MAX(0,ROUND(F148*(1+F$94/12)-M148,2))</f>
        <v/>
      </c>
      <c r="G149" s="305">
        <f>MAX(0,ROUND(G148*(1+G$94/12)-N148,2))</f>
        <v/>
      </c>
      <c r="H149" s="305">
        <f>MAX(0,ROUND(H148*(1+H$94/12)-O148,2))</f>
        <v/>
      </c>
      <c r="I149" s="303">
        <f>IF(SUMPRODUCT(($D$96:$H$96=1)*($D149:$H149&gt;0))&gt;0,1,IF(SUMPRODUCT(($D$96:$H$96=2)*($D149:$H149&gt;0))&gt;0,2,IF(SUMPRODUCT(($D$96:$H$96=3)*($D149:$H149&gt;0))&gt;0,3,IF(SUMPRODUCT(($D$96:$H$96=4)*($D149:$H149&gt;0))&gt;0,4,IF(SUMPRODUCT(($D$96:$H$96=5)*($D149:$H149&gt;0))&gt;0,5,0)))))</f>
        <v/>
      </c>
      <c r="J149" s="305">
        <f>$D$21+SUMPRODUCT(($D149:$H149=0)*$D$95:$H$95)</f>
        <v/>
      </c>
      <c r="K149" s="305">
        <f>IF(D149&lt;=0,0,MIN(ROUND(D149*(1+D$94/12),2),D$95+IF(D$96=$I149,$J149,0)))</f>
        <v/>
      </c>
      <c r="L149" s="305">
        <f>IF(E149&lt;=0,0,MIN(ROUND(E149*(1+E$94/12),2),E$95+IF(E$96=$I149,$J149,0)))</f>
        <v/>
      </c>
      <c r="M149" s="305">
        <f>IF(F149&lt;=0,0,MIN(ROUND(F149*(1+F$94/12),2),F$95+IF(F$96=$I149,$J149,0)))</f>
        <v/>
      </c>
      <c r="N149" s="305">
        <f>IF(G149&lt;=0,0,MIN(ROUND(G149*(1+G$94/12),2),G$95+IF(G$96=$I149,$J149,0)))</f>
        <v/>
      </c>
      <c r="O149" s="305">
        <f>IF(H149&lt;=0,0,MIN(ROUND(H149*(1+H$94/12),2),H$95+IF(H$96=$I149,$J149,0)))</f>
        <v/>
      </c>
      <c r="P149" s="305">
        <f>SUMPRODUCT($D149:$H149,$D$94:$H$94)/12</f>
        <v/>
      </c>
      <c r="Q149" s="305">
        <f>SUM($K149:$O149)</f>
        <v/>
      </c>
      <c r="R149" s="306">
        <f>SUM($D149:$H149)</f>
        <v/>
      </c>
      <c r="S149" s="1" t="n"/>
      <c r="T149" s="1" t="n"/>
      <c r="U149" s="1" t="n"/>
      <c r="V149" s="1" t="n"/>
      <c r="W149" s="1" t="n"/>
      <c r="X149" s="1" t="n"/>
      <c r="Y149" s="1" t="n"/>
      <c r="Z149" s="1" t="n"/>
    </row>
    <row r="150" ht="15.75" customHeight="1" s="311">
      <c r="A150" s="1" t="n"/>
      <c r="B150" s="303" t="n">
        <v>53</v>
      </c>
      <c r="C150" s="304">
        <f>EDATE(TODAY(),52)</f>
        <v/>
      </c>
      <c r="D150" s="305">
        <f>MAX(0,ROUND(D149*(1+D$94/12)-K149,2))</f>
        <v/>
      </c>
      <c r="E150" s="305">
        <f>MAX(0,ROUND(E149*(1+E$94/12)-L149,2))</f>
        <v/>
      </c>
      <c r="F150" s="305">
        <f>MAX(0,ROUND(F149*(1+F$94/12)-M149,2))</f>
        <v/>
      </c>
      <c r="G150" s="305">
        <f>MAX(0,ROUND(G149*(1+G$94/12)-N149,2))</f>
        <v/>
      </c>
      <c r="H150" s="305">
        <f>MAX(0,ROUND(H149*(1+H$94/12)-O149,2))</f>
        <v/>
      </c>
      <c r="I150" s="303">
        <f>IF(SUMPRODUCT(($D$96:$H$96=1)*($D150:$H150&gt;0))&gt;0,1,IF(SUMPRODUCT(($D$96:$H$96=2)*($D150:$H150&gt;0))&gt;0,2,IF(SUMPRODUCT(($D$96:$H$96=3)*($D150:$H150&gt;0))&gt;0,3,IF(SUMPRODUCT(($D$96:$H$96=4)*($D150:$H150&gt;0))&gt;0,4,IF(SUMPRODUCT(($D$96:$H$96=5)*($D150:$H150&gt;0))&gt;0,5,0)))))</f>
        <v/>
      </c>
      <c r="J150" s="305">
        <f>$D$21+SUMPRODUCT(($D150:$H150=0)*$D$95:$H$95)</f>
        <v/>
      </c>
      <c r="K150" s="305">
        <f>IF(D150&lt;=0,0,MIN(ROUND(D150*(1+D$94/12),2),D$95+IF(D$96=$I150,$J150,0)))</f>
        <v/>
      </c>
      <c r="L150" s="305">
        <f>IF(E150&lt;=0,0,MIN(ROUND(E150*(1+E$94/12),2),E$95+IF(E$96=$I150,$J150,0)))</f>
        <v/>
      </c>
      <c r="M150" s="305">
        <f>IF(F150&lt;=0,0,MIN(ROUND(F150*(1+F$94/12),2),F$95+IF(F$96=$I150,$J150,0)))</f>
        <v/>
      </c>
      <c r="N150" s="305">
        <f>IF(G150&lt;=0,0,MIN(ROUND(G150*(1+G$94/12),2),G$95+IF(G$96=$I150,$J150,0)))</f>
        <v/>
      </c>
      <c r="O150" s="305">
        <f>IF(H150&lt;=0,0,MIN(ROUND(H150*(1+H$94/12),2),H$95+IF(H$96=$I150,$J150,0)))</f>
        <v/>
      </c>
      <c r="P150" s="305">
        <f>SUMPRODUCT($D150:$H150,$D$94:$H$94)/12</f>
        <v/>
      </c>
      <c r="Q150" s="305">
        <f>SUM($K150:$O150)</f>
        <v/>
      </c>
      <c r="R150" s="306">
        <f>SUM($D150:$H150)</f>
        <v/>
      </c>
      <c r="S150" s="1" t="n"/>
      <c r="T150" s="1" t="n"/>
      <c r="U150" s="1" t="n"/>
      <c r="V150" s="1" t="n"/>
      <c r="W150" s="1" t="n"/>
      <c r="X150" s="1" t="n"/>
      <c r="Y150" s="1" t="n"/>
      <c r="Z150" s="1" t="n"/>
    </row>
    <row r="151" ht="15.75" customHeight="1" s="311">
      <c r="A151" s="1" t="n"/>
      <c r="B151" s="303" t="n">
        <v>54</v>
      </c>
      <c r="C151" s="304">
        <f>EDATE(TODAY(),53)</f>
        <v/>
      </c>
      <c r="D151" s="305">
        <f>MAX(0,ROUND(D150*(1+D$94/12)-K150,2))</f>
        <v/>
      </c>
      <c r="E151" s="305">
        <f>MAX(0,ROUND(E150*(1+E$94/12)-L150,2))</f>
        <v/>
      </c>
      <c r="F151" s="305">
        <f>MAX(0,ROUND(F150*(1+F$94/12)-M150,2))</f>
        <v/>
      </c>
      <c r="G151" s="305">
        <f>MAX(0,ROUND(G150*(1+G$94/12)-N150,2))</f>
        <v/>
      </c>
      <c r="H151" s="305">
        <f>MAX(0,ROUND(H150*(1+H$94/12)-O150,2))</f>
        <v/>
      </c>
      <c r="I151" s="303">
        <f>IF(SUMPRODUCT(($D$96:$H$96=1)*($D151:$H151&gt;0))&gt;0,1,IF(SUMPRODUCT(($D$96:$H$96=2)*($D151:$H151&gt;0))&gt;0,2,IF(SUMPRODUCT(($D$96:$H$96=3)*($D151:$H151&gt;0))&gt;0,3,IF(SUMPRODUCT(($D$96:$H$96=4)*($D151:$H151&gt;0))&gt;0,4,IF(SUMPRODUCT(($D$96:$H$96=5)*($D151:$H151&gt;0))&gt;0,5,0)))))</f>
        <v/>
      </c>
      <c r="J151" s="305">
        <f>$D$21+SUMPRODUCT(($D151:$H151=0)*$D$95:$H$95)</f>
        <v/>
      </c>
      <c r="K151" s="305">
        <f>IF(D151&lt;=0,0,MIN(ROUND(D151*(1+D$94/12),2),D$95+IF(D$96=$I151,$J151,0)))</f>
        <v/>
      </c>
      <c r="L151" s="305">
        <f>IF(E151&lt;=0,0,MIN(ROUND(E151*(1+E$94/12),2),E$95+IF(E$96=$I151,$J151,0)))</f>
        <v/>
      </c>
      <c r="M151" s="305">
        <f>IF(F151&lt;=0,0,MIN(ROUND(F151*(1+F$94/12),2),F$95+IF(F$96=$I151,$J151,0)))</f>
        <v/>
      </c>
      <c r="N151" s="305">
        <f>IF(G151&lt;=0,0,MIN(ROUND(G151*(1+G$94/12),2),G$95+IF(G$96=$I151,$J151,0)))</f>
        <v/>
      </c>
      <c r="O151" s="305">
        <f>IF(H151&lt;=0,0,MIN(ROUND(H151*(1+H$94/12),2),H$95+IF(H$96=$I151,$J151,0)))</f>
        <v/>
      </c>
      <c r="P151" s="305">
        <f>SUMPRODUCT($D151:$H151,$D$94:$H$94)/12</f>
        <v/>
      </c>
      <c r="Q151" s="305">
        <f>SUM($K151:$O151)</f>
        <v/>
      </c>
      <c r="R151" s="306">
        <f>SUM($D151:$H151)</f>
        <v/>
      </c>
      <c r="S151" s="1" t="n"/>
      <c r="T151" s="1" t="n"/>
      <c r="U151" s="1" t="n"/>
      <c r="V151" s="1" t="n"/>
      <c r="W151" s="1" t="n"/>
      <c r="X151" s="1" t="n"/>
      <c r="Y151" s="1" t="n"/>
      <c r="Z151" s="1" t="n"/>
    </row>
    <row r="152" ht="15.75" customHeight="1" s="311">
      <c r="A152" s="1" t="n"/>
      <c r="B152" s="303" t="n">
        <v>55</v>
      </c>
      <c r="C152" s="304">
        <f>EDATE(TODAY(),54)</f>
        <v/>
      </c>
      <c r="D152" s="305">
        <f>MAX(0,ROUND(D151*(1+D$94/12)-K151,2))</f>
        <v/>
      </c>
      <c r="E152" s="305">
        <f>MAX(0,ROUND(E151*(1+E$94/12)-L151,2))</f>
        <v/>
      </c>
      <c r="F152" s="305">
        <f>MAX(0,ROUND(F151*(1+F$94/12)-M151,2))</f>
        <v/>
      </c>
      <c r="G152" s="305">
        <f>MAX(0,ROUND(G151*(1+G$94/12)-N151,2))</f>
        <v/>
      </c>
      <c r="H152" s="305">
        <f>MAX(0,ROUND(H151*(1+H$94/12)-O151,2))</f>
        <v/>
      </c>
      <c r="I152" s="303">
        <f>IF(SUMPRODUCT(($D$96:$H$96=1)*($D152:$H152&gt;0))&gt;0,1,IF(SUMPRODUCT(($D$96:$H$96=2)*($D152:$H152&gt;0))&gt;0,2,IF(SUMPRODUCT(($D$96:$H$96=3)*($D152:$H152&gt;0))&gt;0,3,IF(SUMPRODUCT(($D$96:$H$96=4)*($D152:$H152&gt;0))&gt;0,4,IF(SUMPRODUCT(($D$96:$H$96=5)*($D152:$H152&gt;0))&gt;0,5,0)))))</f>
        <v/>
      </c>
      <c r="J152" s="305">
        <f>$D$21+SUMPRODUCT(($D152:$H152=0)*$D$95:$H$95)</f>
        <v/>
      </c>
      <c r="K152" s="305">
        <f>IF(D152&lt;=0,0,MIN(ROUND(D152*(1+D$94/12),2),D$95+IF(D$96=$I152,$J152,0)))</f>
        <v/>
      </c>
      <c r="L152" s="305">
        <f>IF(E152&lt;=0,0,MIN(ROUND(E152*(1+E$94/12),2),E$95+IF(E$96=$I152,$J152,0)))</f>
        <v/>
      </c>
      <c r="M152" s="305">
        <f>IF(F152&lt;=0,0,MIN(ROUND(F152*(1+F$94/12),2),F$95+IF(F$96=$I152,$J152,0)))</f>
        <v/>
      </c>
      <c r="N152" s="305">
        <f>IF(G152&lt;=0,0,MIN(ROUND(G152*(1+G$94/12),2),G$95+IF(G$96=$I152,$J152,0)))</f>
        <v/>
      </c>
      <c r="O152" s="305">
        <f>IF(H152&lt;=0,0,MIN(ROUND(H152*(1+H$94/12),2),H$95+IF(H$96=$I152,$J152,0)))</f>
        <v/>
      </c>
      <c r="P152" s="305">
        <f>SUMPRODUCT($D152:$H152,$D$94:$H$94)/12</f>
        <v/>
      </c>
      <c r="Q152" s="305">
        <f>SUM($K152:$O152)</f>
        <v/>
      </c>
      <c r="R152" s="306">
        <f>SUM($D152:$H152)</f>
        <v/>
      </c>
      <c r="S152" s="1" t="n"/>
      <c r="T152" s="1" t="n"/>
      <c r="U152" s="1" t="n"/>
      <c r="V152" s="1" t="n"/>
      <c r="W152" s="1" t="n"/>
      <c r="X152" s="1" t="n"/>
      <c r="Y152" s="1" t="n"/>
      <c r="Z152" s="1" t="n"/>
    </row>
    <row r="153" ht="15.75" customHeight="1" s="311">
      <c r="A153" s="1" t="n"/>
      <c r="B153" s="303" t="n">
        <v>56</v>
      </c>
      <c r="C153" s="304">
        <f>EDATE(TODAY(),55)</f>
        <v/>
      </c>
      <c r="D153" s="305">
        <f>MAX(0,ROUND(D152*(1+D$94/12)-K152,2))</f>
        <v/>
      </c>
      <c r="E153" s="305">
        <f>MAX(0,ROUND(E152*(1+E$94/12)-L152,2))</f>
        <v/>
      </c>
      <c r="F153" s="305">
        <f>MAX(0,ROUND(F152*(1+F$94/12)-M152,2))</f>
        <v/>
      </c>
      <c r="G153" s="305">
        <f>MAX(0,ROUND(G152*(1+G$94/12)-N152,2))</f>
        <v/>
      </c>
      <c r="H153" s="305">
        <f>MAX(0,ROUND(H152*(1+H$94/12)-O152,2))</f>
        <v/>
      </c>
      <c r="I153" s="303">
        <f>IF(SUMPRODUCT(($D$96:$H$96=1)*($D153:$H153&gt;0))&gt;0,1,IF(SUMPRODUCT(($D$96:$H$96=2)*($D153:$H153&gt;0))&gt;0,2,IF(SUMPRODUCT(($D$96:$H$96=3)*($D153:$H153&gt;0))&gt;0,3,IF(SUMPRODUCT(($D$96:$H$96=4)*($D153:$H153&gt;0))&gt;0,4,IF(SUMPRODUCT(($D$96:$H$96=5)*($D153:$H153&gt;0))&gt;0,5,0)))))</f>
        <v/>
      </c>
      <c r="J153" s="305">
        <f>$D$21+SUMPRODUCT(($D153:$H153=0)*$D$95:$H$95)</f>
        <v/>
      </c>
      <c r="K153" s="305">
        <f>IF(D153&lt;=0,0,MIN(ROUND(D153*(1+D$94/12),2),D$95+IF(D$96=$I153,$J153,0)))</f>
        <v/>
      </c>
      <c r="L153" s="305">
        <f>IF(E153&lt;=0,0,MIN(ROUND(E153*(1+E$94/12),2),E$95+IF(E$96=$I153,$J153,0)))</f>
        <v/>
      </c>
      <c r="M153" s="305">
        <f>IF(F153&lt;=0,0,MIN(ROUND(F153*(1+F$94/12),2),F$95+IF(F$96=$I153,$J153,0)))</f>
        <v/>
      </c>
      <c r="N153" s="305">
        <f>IF(G153&lt;=0,0,MIN(ROUND(G153*(1+G$94/12),2),G$95+IF(G$96=$I153,$J153,0)))</f>
        <v/>
      </c>
      <c r="O153" s="305">
        <f>IF(H153&lt;=0,0,MIN(ROUND(H153*(1+H$94/12),2),H$95+IF(H$96=$I153,$J153,0)))</f>
        <v/>
      </c>
      <c r="P153" s="305">
        <f>SUMPRODUCT($D153:$H153,$D$94:$H$94)/12</f>
        <v/>
      </c>
      <c r="Q153" s="305">
        <f>SUM($K153:$O153)</f>
        <v/>
      </c>
      <c r="R153" s="306">
        <f>SUM($D153:$H153)</f>
        <v/>
      </c>
      <c r="S153" s="1" t="n"/>
      <c r="T153" s="1" t="n"/>
      <c r="U153" s="1" t="n"/>
      <c r="V153" s="1" t="n"/>
      <c r="W153" s="1" t="n"/>
      <c r="X153" s="1" t="n"/>
      <c r="Y153" s="1" t="n"/>
      <c r="Z153" s="1" t="n"/>
    </row>
    <row r="154" ht="15.75" customHeight="1" s="311">
      <c r="A154" s="1" t="n"/>
      <c r="B154" s="303" t="n">
        <v>57</v>
      </c>
      <c r="C154" s="304">
        <f>EDATE(TODAY(),56)</f>
        <v/>
      </c>
      <c r="D154" s="305">
        <f>MAX(0,ROUND(D153*(1+D$94/12)-K153,2))</f>
        <v/>
      </c>
      <c r="E154" s="305">
        <f>MAX(0,ROUND(E153*(1+E$94/12)-L153,2))</f>
        <v/>
      </c>
      <c r="F154" s="305">
        <f>MAX(0,ROUND(F153*(1+F$94/12)-M153,2))</f>
        <v/>
      </c>
      <c r="G154" s="305">
        <f>MAX(0,ROUND(G153*(1+G$94/12)-N153,2))</f>
        <v/>
      </c>
      <c r="H154" s="305">
        <f>MAX(0,ROUND(H153*(1+H$94/12)-O153,2))</f>
        <v/>
      </c>
      <c r="I154" s="303">
        <f>IF(SUMPRODUCT(($D$96:$H$96=1)*($D154:$H154&gt;0))&gt;0,1,IF(SUMPRODUCT(($D$96:$H$96=2)*($D154:$H154&gt;0))&gt;0,2,IF(SUMPRODUCT(($D$96:$H$96=3)*($D154:$H154&gt;0))&gt;0,3,IF(SUMPRODUCT(($D$96:$H$96=4)*($D154:$H154&gt;0))&gt;0,4,IF(SUMPRODUCT(($D$96:$H$96=5)*($D154:$H154&gt;0))&gt;0,5,0)))))</f>
        <v/>
      </c>
      <c r="J154" s="305">
        <f>$D$21+SUMPRODUCT(($D154:$H154=0)*$D$95:$H$95)</f>
        <v/>
      </c>
      <c r="K154" s="305">
        <f>IF(D154&lt;=0,0,MIN(ROUND(D154*(1+D$94/12),2),D$95+IF(D$96=$I154,$J154,0)))</f>
        <v/>
      </c>
      <c r="L154" s="305">
        <f>IF(E154&lt;=0,0,MIN(ROUND(E154*(1+E$94/12),2),E$95+IF(E$96=$I154,$J154,0)))</f>
        <v/>
      </c>
      <c r="M154" s="305">
        <f>IF(F154&lt;=0,0,MIN(ROUND(F154*(1+F$94/12),2),F$95+IF(F$96=$I154,$J154,0)))</f>
        <v/>
      </c>
      <c r="N154" s="305">
        <f>IF(G154&lt;=0,0,MIN(ROUND(G154*(1+G$94/12),2),G$95+IF(G$96=$I154,$J154,0)))</f>
        <v/>
      </c>
      <c r="O154" s="305">
        <f>IF(H154&lt;=0,0,MIN(ROUND(H154*(1+H$94/12),2),H$95+IF(H$96=$I154,$J154,0)))</f>
        <v/>
      </c>
      <c r="P154" s="305">
        <f>SUMPRODUCT($D154:$H154,$D$94:$H$94)/12</f>
        <v/>
      </c>
      <c r="Q154" s="305">
        <f>SUM($K154:$O154)</f>
        <v/>
      </c>
      <c r="R154" s="306">
        <f>SUM($D154:$H154)</f>
        <v/>
      </c>
      <c r="S154" s="1" t="n"/>
      <c r="T154" s="1" t="n"/>
      <c r="U154" s="1" t="n"/>
      <c r="V154" s="1" t="n"/>
      <c r="W154" s="1" t="n"/>
      <c r="X154" s="1" t="n"/>
      <c r="Y154" s="1" t="n"/>
      <c r="Z154" s="1" t="n"/>
    </row>
    <row r="155" ht="15.75" customHeight="1" s="311">
      <c r="A155" s="1" t="n"/>
      <c r="B155" s="303" t="n">
        <v>58</v>
      </c>
      <c r="C155" s="304">
        <f>EDATE(TODAY(),57)</f>
        <v/>
      </c>
      <c r="D155" s="305">
        <f>MAX(0,ROUND(D154*(1+D$94/12)-K154,2))</f>
        <v/>
      </c>
      <c r="E155" s="305">
        <f>MAX(0,ROUND(E154*(1+E$94/12)-L154,2))</f>
        <v/>
      </c>
      <c r="F155" s="305">
        <f>MAX(0,ROUND(F154*(1+F$94/12)-M154,2))</f>
        <v/>
      </c>
      <c r="G155" s="305">
        <f>MAX(0,ROUND(G154*(1+G$94/12)-N154,2))</f>
        <v/>
      </c>
      <c r="H155" s="305">
        <f>MAX(0,ROUND(H154*(1+H$94/12)-O154,2))</f>
        <v/>
      </c>
      <c r="I155" s="303">
        <f>IF(SUMPRODUCT(($D$96:$H$96=1)*($D155:$H155&gt;0))&gt;0,1,IF(SUMPRODUCT(($D$96:$H$96=2)*($D155:$H155&gt;0))&gt;0,2,IF(SUMPRODUCT(($D$96:$H$96=3)*($D155:$H155&gt;0))&gt;0,3,IF(SUMPRODUCT(($D$96:$H$96=4)*($D155:$H155&gt;0))&gt;0,4,IF(SUMPRODUCT(($D$96:$H$96=5)*($D155:$H155&gt;0))&gt;0,5,0)))))</f>
        <v/>
      </c>
      <c r="J155" s="305">
        <f>$D$21+SUMPRODUCT(($D155:$H155=0)*$D$95:$H$95)</f>
        <v/>
      </c>
      <c r="K155" s="305">
        <f>IF(D155&lt;=0,0,MIN(ROUND(D155*(1+D$94/12),2),D$95+IF(D$96=$I155,$J155,0)))</f>
        <v/>
      </c>
      <c r="L155" s="305">
        <f>IF(E155&lt;=0,0,MIN(ROUND(E155*(1+E$94/12),2),E$95+IF(E$96=$I155,$J155,0)))</f>
        <v/>
      </c>
      <c r="M155" s="305">
        <f>IF(F155&lt;=0,0,MIN(ROUND(F155*(1+F$94/12),2),F$95+IF(F$96=$I155,$J155,0)))</f>
        <v/>
      </c>
      <c r="N155" s="305">
        <f>IF(G155&lt;=0,0,MIN(ROUND(G155*(1+G$94/12),2),G$95+IF(G$96=$I155,$J155,0)))</f>
        <v/>
      </c>
      <c r="O155" s="305">
        <f>IF(H155&lt;=0,0,MIN(ROUND(H155*(1+H$94/12),2),H$95+IF(H$96=$I155,$J155,0)))</f>
        <v/>
      </c>
      <c r="P155" s="305">
        <f>SUMPRODUCT($D155:$H155,$D$94:$H$94)/12</f>
        <v/>
      </c>
      <c r="Q155" s="305">
        <f>SUM($K155:$O155)</f>
        <v/>
      </c>
      <c r="R155" s="306">
        <f>SUM($D155:$H155)</f>
        <v/>
      </c>
      <c r="S155" s="1" t="n"/>
      <c r="T155" s="1" t="n"/>
      <c r="U155" s="1" t="n"/>
      <c r="V155" s="1" t="n"/>
      <c r="W155" s="1" t="n"/>
      <c r="X155" s="1" t="n"/>
      <c r="Y155" s="1" t="n"/>
      <c r="Z155" s="1" t="n"/>
    </row>
    <row r="156" ht="15.75" customHeight="1" s="311">
      <c r="A156" s="1" t="n"/>
      <c r="B156" s="303" t="n">
        <v>59</v>
      </c>
      <c r="C156" s="304">
        <f>EDATE(TODAY(),58)</f>
        <v/>
      </c>
      <c r="D156" s="305">
        <f>MAX(0,ROUND(D155*(1+D$94/12)-K155,2))</f>
        <v/>
      </c>
      <c r="E156" s="305">
        <f>MAX(0,ROUND(E155*(1+E$94/12)-L155,2))</f>
        <v/>
      </c>
      <c r="F156" s="305">
        <f>MAX(0,ROUND(F155*(1+F$94/12)-M155,2))</f>
        <v/>
      </c>
      <c r="G156" s="305">
        <f>MAX(0,ROUND(G155*(1+G$94/12)-N155,2))</f>
        <v/>
      </c>
      <c r="H156" s="305">
        <f>MAX(0,ROUND(H155*(1+H$94/12)-O155,2))</f>
        <v/>
      </c>
      <c r="I156" s="303">
        <f>IF(SUMPRODUCT(($D$96:$H$96=1)*($D156:$H156&gt;0))&gt;0,1,IF(SUMPRODUCT(($D$96:$H$96=2)*($D156:$H156&gt;0))&gt;0,2,IF(SUMPRODUCT(($D$96:$H$96=3)*($D156:$H156&gt;0))&gt;0,3,IF(SUMPRODUCT(($D$96:$H$96=4)*($D156:$H156&gt;0))&gt;0,4,IF(SUMPRODUCT(($D$96:$H$96=5)*($D156:$H156&gt;0))&gt;0,5,0)))))</f>
        <v/>
      </c>
      <c r="J156" s="305">
        <f>$D$21+SUMPRODUCT(($D156:$H156=0)*$D$95:$H$95)</f>
        <v/>
      </c>
      <c r="K156" s="305">
        <f>IF(D156&lt;=0,0,MIN(ROUND(D156*(1+D$94/12),2),D$95+IF(D$96=$I156,$J156,0)))</f>
        <v/>
      </c>
      <c r="L156" s="305">
        <f>IF(E156&lt;=0,0,MIN(ROUND(E156*(1+E$94/12),2),E$95+IF(E$96=$I156,$J156,0)))</f>
        <v/>
      </c>
      <c r="M156" s="305">
        <f>IF(F156&lt;=0,0,MIN(ROUND(F156*(1+F$94/12),2),F$95+IF(F$96=$I156,$J156,0)))</f>
        <v/>
      </c>
      <c r="N156" s="305">
        <f>IF(G156&lt;=0,0,MIN(ROUND(G156*(1+G$94/12),2),G$95+IF(G$96=$I156,$J156,0)))</f>
        <v/>
      </c>
      <c r="O156" s="305">
        <f>IF(H156&lt;=0,0,MIN(ROUND(H156*(1+H$94/12),2),H$95+IF(H$96=$I156,$J156,0)))</f>
        <v/>
      </c>
      <c r="P156" s="305">
        <f>SUMPRODUCT($D156:$H156,$D$94:$H$94)/12</f>
        <v/>
      </c>
      <c r="Q156" s="305">
        <f>SUM($K156:$O156)</f>
        <v/>
      </c>
      <c r="R156" s="306">
        <f>SUM($D156:$H156)</f>
        <v/>
      </c>
      <c r="S156" s="1" t="n"/>
      <c r="T156" s="1" t="n"/>
      <c r="U156" s="1" t="n"/>
      <c r="V156" s="1" t="n"/>
      <c r="W156" s="1" t="n"/>
      <c r="X156" s="1" t="n"/>
      <c r="Y156" s="1" t="n"/>
      <c r="Z156" s="1" t="n"/>
    </row>
    <row r="157" ht="15.75" customHeight="1" s="311">
      <c r="A157" s="1" t="n"/>
      <c r="B157" s="303" t="n">
        <v>60</v>
      </c>
      <c r="C157" s="304">
        <f>EDATE(TODAY(),59)</f>
        <v/>
      </c>
      <c r="D157" s="305">
        <f>MAX(0,ROUND(D156*(1+D$94/12)-K156,2))</f>
        <v/>
      </c>
      <c r="E157" s="305">
        <f>MAX(0,ROUND(E156*(1+E$94/12)-L156,2))</f>
        <v/>
      </c>
      <c r="F157" s="305">
        <f>MAX(0,ROUND(F156*(1+F$94/12)-M156,2))</f>
        <v/>
      </c>
      <c r="G157" s="305">
        <f>MAX(0,ROUND(G156*(1+G$94/12)-N156,2))</f>
        <v/>
      </c>
      <c r="H157" s="305">
        <f>MAX(0,ROUND(H156*(1+H$94/12)-O156,2))</f>
        <v/>
      </c>
      <c r="I157" s="303">
        <f>IF(SUMPRODUCT(($D$96:$H$96=1)*($D157:$H157&gt;0))&gt;0,1,IF(SUMPRODUCT(($D$96:$H$96=2)*($D157:$H157&gt;0))&gt;0,2,IF(SUMPRODUCT(($D$96:$H$96=3)*($D157:$H157&gt;0))&gt;0,3,IF(SUMPRODUCT(($D$96:$H$96=4)*($D157:$H157&gt;0))&gt;0,4,IF(SUMPRODUCT(($D$96:$H$96=5)*($D157:$H157&gt;0))&gt;0,5,0)))))</f>
        <v/>
      </c>
      <c r="J157" s="305">
        <f>$D$21+SUMPRODUCT(($D157:$H157=0)*$D$95:$H$95)</f>
        <v/>
      </c>
      <c r="K157" s="305">
        <f>IF(D157&lt;=0,0,MIN(ROUND(D157*(1+D$94/12),2),D$95+IF(D$96=$I157,$J157,0)))</f>
        <v/>
      </c>
      <c r="L157" s="305">
        <f>IF(E157&lt;=0,0,MIN(ROUND(E157*(1+E$94/12),2),E$95+IF(E$96=$I157,$J157,0)))</f>
        <v/>
      </c>
      <c r="M157" s="305">
        <f>IF(F157&lt;=0,0,MIN(ROUND(F157*(1+F$94/12),2),F$95+IF(F$96=$I157,$J157,0)))</f>
        <v/>
      </c>
      <c r="N157" s="305">
        <f>IF(G157&lt;=0,0,MIN(ROUND(G157*(1+G$94/12),2),G$95+IF(G$96=$I157,$J157,0)))</f>
        <v/>
      </c>
      <c r="O157" s="305">
        <f>IF(H157&lt;=0,0,MIN(ROUND(H157*(1+H$94/12),2),H$95+IF(H$96=$I157,$J157,0)))</f>
        <v/>
      </c>
      <c r="P157" s="305">
        <f>SUMPRODUCT($D157:$H157,$D$94:$H$94)/12</f>
        <v/>
      </c>
      <c r="Q157" s="305">
        <f>SUM($K157:$O157)</f>
        <v/>
      </c>
      <c r="R157" s="306">
        <f>SUM($D157:$H157)</f>
        <v/>
      </c>
      <c r="S157" s="1" t="n"/>
      <c r="T157" s="1" t="n"/>
      <c r="U157" s="1" t="n"/>
      <c r="V157" s="1" t="n"/>
      <c r="W157" s="1" t="n"/>
      <c r="X157" s="1" t="n"/>
      <c r="Y157" s="1" t="n"/>
      <c r="Z157" s="1" t="n"/>
    </row>
    <row r="158" ht="15.75" customHeight="1" s="31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31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31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24" customHeight="1" s="311">
      <c r="A161" s="1" t="n"/>
      <c r="B161" s="10" t="inlineStr">
        <is>
          <t>C3.  SOLO MÍNIMOS  —  si no haces nada</t>
        </is>
      </c>
      <c r="S161" s="1" t="n"/>
      <c r="T161" s="1" t="n"/>
      <c r="U161" s="1" t="n"/>
      <c r="V161" s="1" t="n"/>
      <c r="W161" s="1" t="n"/>
      <c r="X161" s="1" t="n"/>
      <c r="Y161" s="1" t="n"/>
      <c r="Z161" s="1" t="n"/>
    </row>
    <row r="162" ht="12" customHeight="1" s="311">
      <c r="A162" s="1" t="n"/>
      <c r="B162" s="1" t="n"/>
      <c r="C162" s="299" t="inlineStr">
        <is>
          <t>tipo anual →</t>
        </is>
      </c>
      <c r="D162" s="300">
        <f>$E$6</f>
        <v/>
      </c>
      <c r="E162" s="300">
        <f>$E$7</f>
        <v/>
      </c>
      <c r="F162" s="300">
        <f>$E$8</f>
        <v/>
      </c>
      <c r="G162" s="300">
        <f>$E$9</f>
        <v/>
      </c>
      <c r="H162" s="300">
        <f>$E$10</f>
        <v/>
      </c>
      <c r="I162" s="1" t="n"/>
      <c r="J162" s="1" t="n"/>
      <c r="K162" s="1" t="n"/>
      <c r="L162" s="1" t="n"/>
      <c r="M162" s="1" t="n"/>
      <c r="N162" s="1" t="n"/>
      <c r="O162" s="1" t="n"/>
      <c r="P162" s="1" t="n"/>
      <c r="Q162" s="1" t="n"/>
      <c r="R162" s="1" t="n"/>
      <c r="S162" s="1" t="n"/>
      <c r="T162" s="1" t="n"/>
      <c r="U162" s="1" t="n"/>
      <c r="V162" s="1" t="n"/>
      <c r="W162" s="1" t="n"/>
      <c r="X162" s="1" t="n"/>
      <c r="Y162" s="1" t="n"/>
      <c r="Z162" s="1" t="n"/>
    </row>
    <row r="163" ht="12" customHeight="1" s="311">
      <c r="A163" s="1" t="n"/>
      <c r="B163" s="1" t="n"/>
      <c r="C163" s="299" t="inlineStr">
        <is>
          <t>cuota mínima →</t>
        </is>
      </c>
      <c r="D163" s="301">
        <f>$F$6</f>
        <v/>
      </c>
      <c r="E163" s="301">
        <f>$F$7</f>
        <v/>
      </c>
      <c r="F163" s="301">
        <f>$F$8</f>
        <v/>
      </c>
      <c r="G163" s="301">
        <f>$F$9</f>
        <v/>
      </c>
      <c r="H163" s="301">
        <f>$F$10</f>
        <v/>
      </c>
      <c r="I163" s="1" t="n"/>
      <c r="J163" s="1" t="n"/>
      <c r="K163" s="1" t="n"/>
      <c r="L163" s="1" t="n"/>
      <c r="M163" s="1" t="n"/>
      <c r="N163" s="1" t="n"/>
      <c r="O163" s="1" t="n"/>
      <c r="P163" s="1" t="n"/>
      <c r="Q163" s="1" t="n"/>
      <c r="R163" s="1" t="n"/>
      <c r="S163" s="1" t="n"/>
      <c r="T163" s="1" t="n"/>
      <c r="U163" s="1" t="n"/>
      <c r="V163" s="1" t="n"/>
      <c r="W163" s="1" t="n"/>
      <c r="X163" s="1" t="n"/>
      <c r="Y163" s="1" t="n"/>
      <c r="Z163" s="1" t="n"/>
    </row>
    <row r="164" ht="12" customHeight="1" s="311">
      <c r="A164" s="1" t="n"/>
      <c r="B164" s="1" t="n"/>
      <c r="C164" s="299" t="inlineStr">
        <is>
          <t>orden de ataque →</t>
        </is>
      </c>
      <c r="D164" s="302">
        <f>$H$6</f>
        <v/>
      </c>
      <c r="E164" s="302">
        <f>$H$7</f>
        <v/>
      </c>
      <c r="F164" s="302">
        <f>$H$8</f>
        <v/>
      </c>
      <c r="G164" s="302">
        <f>$H$9</f>
        <v/>
      </c>
      <c r="H164" s="302">
        <f>$H$10</f>
        <v/>
      </c>
      <c r="I164" s="1" t="n"/>
      <c r="J164" s="1" t="n"/>
      <c r="K164" s="1" t="n"/>
      <c r="L164" s="1" t="n"/>
      <c r="M164" s="1" t="n"/>
      <c r="N164" s="1" t="n"/>
      <c r="O164" s="1" t="n"/>
      <c r="P164" s="1" t="n"/>
      <c r="Q164" s="1" t="n"/>
      <c r="R164" s="1" t="n"/>
      <c r="S164" s="1" t="n"/>
      <c r="T164" s="1" t="n"/>
      <c r="U164" s="1" t="n"/>
      <c r="V164" s="1" t="n"/>
      <c r="W164" s="1" t="n"/>
      <c r="X164" s="1" t="n"/>
      <c r="Y164" s="1" t="n"/>
      <c r="Z164" s="1" t="n"/>
    </row>
    <row r="165" ht="30" customHeight="1" s="311">
      <c r="A165" s="1" t="n"/>
      <c r="B165" s="11" t="inlineStr">
        <is>
          <t>Mes</t>
        </is>
      </c>
      <c r="C165" s="11" t="inlineStr">
        <is>
          <t>Fecha</t>
        </is>
      </c>
      <c r="D165" s="11" t="inlineStr">
        <is>
          <t>Saldo
1</t>
        </is>
      </c>
      <c r="E165" s="11" t="inlineStr">
        <is>
          <t>Saldo
2</t>
        </is>
      </c>
      <c r="F165" s="11" t="inlineStr">
        <is>
          <t>Saldo
3</t>
        </is>
      </c>
      <c r="G165" s="11" t="inlineStr">
        <is>
          <t>Saldo
4</t>
        </is>
      </c>
      <c r="H165" s="11" t="inlineStr">
        <is>
          <t>Saldo
5</t>
        </is>
      </c>
      <c r="I165" s="11" t="inlineStr">
        <is>
          <t>Objetivo</t>
        </is>
      </c>
      <c r="J165" s="11" t="inlineStr">
        <is>
          <t>Extra
disponible</t>
        </is>
      </c>
      <c r="K165" s="11" t="inlineStr">
        <is>
          <t>Pago
1</t>
        </is>
      </c>
      <c r="L165" s="11" t="inlineStr">
        <is>
          <t>Pago
2</t>
        </is>
      </c>
      <c r="M165" s="11" t="inlineStr">
        <is>
          <t>Pago
3</t>
        </is>
      </c>
      <c r="N165" s="11" t="inlineStr">
        <is>
          <t>Pago
4</t>
        </is>
      </c>
      <c r="O165" s="11" t="inlineStr">
        <is>
          <t>Pago
5</t>
        </is>
      </c>
      <c r="P165" s="11" t="inlineStr">
        <is>
          <t>Intereses
del mes</t>
        </is>
      </c>
      <c r="Q165" s="11" t="inlineStr">
        <is>
          <t>Pagado
total</t>
        </is>
      </c>
      <c r="R165" s="11" t="inlineStr">
        <is>
          <t>DEUDA TOTAL
(€)</t>
        </is>
      </c>
      <c r="S165" s="1" t="n"/>
      <c r="T165" s="1" t="n"/>
      <c r="U165" s="1" t="n"/>
      <c r="V165" s="1" t="n"/>
      <c r="W165" s="1" t="n"/>
      <c r="X165" s="1" t="n"/>
      <c r="Y165" s="1" t="n"/>
      <c r="Z165" s="1" t="n"/>
    </row>
    <row r="166" ht="15.75" customHeight="1" s="311">
      <c r="A166" s="1" t="n"/>
      <c r="B166" s="303" t="n">
        <v>1</v>
      </c>
      <c r="C166" s="304">
        <f>EDATE(TODAY(),0)</f>
        <v/>
      </c>
      <c r="D166" s="305">
        <f>$D$6</f>
        <v/>
      </c>
      <c r="E166" s="305">
        <f>$D$7</f>
        <v/>
      </c>
      <c r="F166" s="305">
        <f>$D$8</f>
        <v/>
      </c>
      <c r="G166" s="305">
        <f>$D$9</f>
        <v/>
      </c>
      <c r="H166" s="305">
        <f>$D$10</f>
        <v/>
      </c>
      <c r="I166" s="303">
        <f>IF(SUMPRODUCT(($D$164:$H$164=1)*($D166:$H166&gt;0))&gt;0,1,IF(SUMPRODUCT(($D$164:$H$164=2)*($D166:$H166&gt;0))&gt;0,2,IF(SUMPRODUCT(($D$164:$H$164=3)*($D166:$H166&gt;0))&gt;0,3,IF(SUMPRODUCT(($D$164:$H$164=4)*($D166:$H166&gt;0))&gt;0,4,IF(SUMPRODUCT(($D$164:$H$164=5)*($D166:$H166&gt;0))&gt;0,5,0)))))</f>
        <v/>
      </c>
      <c r="J166" s="305" t="n">
        <v>0</v>
      </c>
      <c r="K166" s="305">
        <f>IF(D166&lt;=0,0,MIN(ROUND(D166*(1+D$162/12),2),D$163+IF(D$164=$I166,$J166,0)))</f>
        <v/>
      </c>
      <c r="L166" s="305">
        <f>IF(E166&lt;=0,0,MIN(ROUND(E166*(1+E$162/12),2),E$163+IF(E$164=$I166,$J166,0)))</f>
        <v/>
      </c>
      <c r="M166" s="305">
        <f>IF(F166&lt;=0,0,MIN(ROUND(F166*(1+F$162/12),2),F$163+IF(F$164=$I166,$J166,0)))</f>
        <v/>
      </c>
      <c r="N166" s="305">
        <f>IF(G166&lt;=0,0,MIN(ROUND(G166*(1+G$162/12),2),G$163+IF(G$164=$I166,$J166,0)))</f>
        <v/>
      </c>
      <c r="O166" s="305">
        <f>IF(H166&lt;=0,0,MIN(ROUND(H166*(1+H$162/12),2),H$163+IF(H$164=$I166,$J166,0)))</f>
        <v/>
      </c>
      <c r="P166" s="305">
        <f>SUMPRODUCT($D166:$H166,$D$162:$H$162)/12</f>
        <v/>
      </c>
      <c r="Q166" s="305">
        <f>SUM($K166:$O166)</f>
        <v/>
      </c>
      <c r="R166" s="306">
        <f>SUM($D166:$H166)</f>
        <v/>
      </c>
      <c r="S166" s="1" t="n"/>
      <c r="T166" s="1" t="n"/>
      <c r="U166" s="1" t="n"/>
      <c r="V166" s="1" t="n"/>
      <c r="W166" s="1" t="n"/>
      <c r="X166" s="1" t="n"/>
      <c r="Y166" s="1" t="n"/>
      <c r="Z166" s="1" t="n"/>
    </row>
    <row r="167" ht="15.75" customHeight="1" s="311">
      <c r="A167" s="1" t="n"/>
      <c r="B167" s="303" t="n">
        <v>2</v>
      </c>
      <c r="C167" s="304">
        <f>EDATE(TODAY(),1)</f>
        <v/>
      </c>
      <c r="D167" s="305">
        <f>MAX(0,ROUND(D166*(1+D$162/12)-K166,2))</f>
        <v/>
      </c>
      <c r="E167" s="305">
        <f>MAX(0,ROUND(E166*(1+E$162/12)-L166,2))</f>
        <v/>
      </c>
      <c r="F167" s="305">
        <f>MAX(0,ROUND(F166*(1+F$162/12)-M166,2))</f>
        <v/>
      </c>
      <c r="G167" s="305">
        <f>MAX(0,ROUND(G166*(1+G$162/12)-N166,2))</f>
        <v/>
      </c>
      <c r="H167" s="305">
        <f>MAX(0,ROUND(H166*(1+H$162/12)-O166,2))</f>
        <v/>
      </c>
      <c r="I167" s="303">
        <f>IF(SUMPRODUCT(($D$164:$H$164=1)*($D167:$H167&gt;0))&gt;0,1,IF(SUMPRODUCT(($D$164:$H$164=2)*($D167:$H167&gt;0))&gt;0,2,IF(SUMPRODUCT(($D$164:$H$164=3)*($D167:$H167&gt;0))&gt;0,3,IF(SUMPRODUCT(($D$164:$H$164=4)*($D167:$H167&gt;0))&gt;0,4,IF(SUMPRODUCT(($D$164:$H$164=5)*($D167:$H167&gt;0))&gt;0,5,0)))))</f>
        <v/>
      </c>
      <c r="J167" s="305" t="n">
        <v>0</v>
      </c>
      <c r="K167" s="305">
        <f>IF(D167&lt;=0,0,MIN(ROUND(D167*(1+D$162/12),2),D$163+IF(D$164=$I167,$J167,0)))</f>
        <v/>
      </c>
      <c r="L167" s="305">
        <f>IF(E167&lt;=0,0,MIN(ROUND(E167*(1+E$162/12),2),E$163+IF(E$164=$I167,$J167,0)))</f>
        <v/>
      </c>
      <c r="M167" s="305">
        <f>IF(F167&lt;=0,0,MIN(ROUND(F167*(1+F$162/12),2),F$163+IF(F$164=$I167,$J167,0)))</f>
        <v/>
      </c>
      <c r="N167" s="305">
        <f>IF(G167&lt;=0,0,MIN(ROUND(G167*(1+G$162/12),2),G$163+IF(G$164=$I167,$J167,0)))</f>
        <v/>
      </c>
      <c r="O167" s="305">
        <f>IF(H167&lt;=0,0,MIN(ROUND(H167*(1+H$162/12),2),H$163+IF(H$164=$I167,$J167,0)))</f>
        <v/>
      </c>
      <c r="P167" s="305">
        <f>SUMPRODUCT($D167:$H167,$D$162:$H$162)/12</f>
        <v/>
      </c>
      <c r="Q167" s="305">
        <f>SUM($K167:$O167)</f>
        <v/>
      </c>
      <c r="R167" s="306">
        <f>SUM($D167:$H167)</f>
        <v/>
      </c>
      <c r="S167" s="1" t="n"/>
      <c r="T167" s="1" t="n"/>
      <c r="U167" s="1" t="n"/>
      <c r="V167" s="1" t="n"/>
      <c r="W167" s="1" t="n"/>
      <c r="X167" s="1" t="n"/>
      <c r="Y167" s="1" t="n"/>
      <c r="Z167" s="1" t="n"/>
    </row>
    <row r="168" ht="15.75" customHeight="1" s="311">
      <c r="A168" s="1" t="n"/>
      <c r="B168" s="303" t="n">
        <v>3</v>
      </c>
      <c r="C168" s="304">
        <f>EDATE(TODAY(),2)</f>
        <v/>
      </c>
      <c r="D168" s="305">
        <f>MAX(0,ROUND(D167*(1+D$162/12)-K167,2))</f>
        <v/>
      </c>
      <c r="E168" s="305">
        <f>MAX(0,ROUND(E167*(1+E$162/12)-L167,2))</f>
        <v/>
      </c>
      <c r="F168" s="305">
        <f>MAX(0,ROUND(F167*(1+F$162/12)-M167,2))</f>
        <v/>
      </c>
      <c r="G168" s="305">
        <f>MAX(0,ROUND(G167*(1+G$162/12)-N167,2))</f>
        <v/>
      </c>
      <c r="H168" s="305">
        <f>MAX(0,ROUND(H167*(1+H$162/12)-O167,2))</f>
        <v/>
      </c>
      <c r="I168" s="303">
        <f>IF(SUMPRODUCT(($D$164:$H$164=1)*($D168:$H168&gt;0))&gt;0,1,IF(SUMPRODUCT(($D$164:$H$164=2)*($D168:$H168&gt;0))&gt;0,2,IF(SUMPRODUCT(($D$164:$H$164=3)*($D168:$H168&gt;0))&gt;0,3,IF(SUMPRODUCT(($D$164:$H$164=4)*($D168:$H168&gt;0))&gt;0,4,IF(SUMPRODUCT(($D$164:$H$164=5)*($D168:$H168&gt;0))&gt;0,5,0)))))</f>
        <v/>
      </c>
      <c r="J168" s="305" t="n">
        <v>0</v>
      </c>
      <c r="K168" s="305">
        <f>IF(D168&lt;=0,0,MIN(ROUND(D168*(1+D$162/12),2),D$163+IF(D$164=$I168,$J168,0)))</f>
        <v/>
      </c>
      <c r="L168" s="305">
        <f>IF(E168&lt;=0,0,MIN(ROUND(E168*(1+E$162/12),2),E$163+IF(E$164=$I168,$J168,0)))</f>
        <v/>
      </c>
      <c r="M168" s="305">
        <f>IF(F168&lt;=0,0,MIN(ROUND(F168*(1+F$162/12),2),F$163+IF(F$164=$I168,$J168,0)))</f>
        <v/>
      </c>
      <c r="N168" s="305">
        <f>IF(G168&lt;=0,0,MIN(ROUND(G168*(1+G$162/12),2),G$163+IF(G$164=$I168,$J168,0)))</f>
        <v/>
      </c>
      <c r="O168" s="305">
        <f>IF(H168&lt;=0,0,MIN(ROUND(H168*(1+H$162/12),2),H$163+IF(H$164=$I168,$J168,0)))</f>
        <v/>
      </c>
      <c r="P168" s="305">
        <f>SUMPRODUCT($D168:$H168,$D$162:$H$162)/12</f>
        <v/>
      </c>
      <c r="Q168" s="305">
        <f>SUM($K168:$O168)</f>
        <v/>
      </c>
      <c r="R168" s="306">
        <f>SUM($D168:$H168)</f>
        <v/>
      </c>
      <c r="S168" s="1" t="n"/>
      <c r="T168" s="1" t="n"/>
      <c r="U168" s="1" t="n"/>
      <c r="V168" s="1" t="n"/>
      <c r="W168" s="1" t="n"/>
      <c r="X168" s="1" t="n"/>
      <c r="Y168" s="1" t="n"/>
      <c r="Z168" s="1" t="n"/>
    </row>
    <row r="169" ht="15.75" customHeight="1" s="311">
      <c r="A169" s="1" t="n"/>
      <c r="B169" s="303" t="n">
        <v>4</v>
      </c>
      <c r="C169" s="304">
        <f>EDATE(TODAY(),3)</f>
        <v/>
      </c>
      <c r="D169" s="305">
        <f>MAX(0,ROUND(D168*(1+D$162/12)-K168,2))</f>
        <v/>
      </c>
      <c r="E169" s="305">
        <f>MAX(0,ROUND(E168*(1+E$162/12)-L168,2))</f>
        <v/>
      </c>
      <c r="F169" s="305">
        <f>MAX(0,ROUND(F168*(1+F$162/12)-M168,2))</f>
        <v/>
      </c>
      <c r="G169" s="305">
        <f>MAX(0,ROUND(G168*(1+G$162/12)-N168,2))</f>
        <v/>
      </c>
      <c r="H169" s="305">
        <f>MAX(0,ROUND(H168*(1+H$162/12)-O168,2))</f>
        <v/>
      </c>
      <c r="I169" s="303">
        <f>IF(SUMPRODUCT(($D$164:$H$164=1)*($D169:$H169&gt;0))&gt;0,1,IF(SUMPRODUCT(($D$164:$H$164=2)*($D169:$H169&gt;0))&gt;0,2,IF(SUMPRODUCT(($D$164:$H$164=3)*($D169:$H169&gt;0))&gt;0,3,IF(SUMPRODUCT(($D$164:$H$164=4)*($D169:$H169&gt;0))&gt;0,4,IF(SUMPRODUCT(($D$164:$H$164=5)*($D169:$H169&gt;0))&gt;0,5,0)))))</f>
        <v/>
      </c>
      <c r="J169" s="305" t="n">
        <v>0</v>
      </c>
      <c r="K169" s="305">
        <f>IF(D169&lt;=0,0,MIN(ROUND(D169*(1+D$162/12),2),D$163+IF(D$164=$I169,$J169,0)))</f>
        <v/>
      </c>
      <c r="L169" s="305">
        <f>IF(E169&lt;=0,0,MIN(ROUND(E169*(1+E$162/12),2),E$163+IF(E$164=$I169,$J169,0)))</f>
        <v/>
      </c>
      <c r="M169" s="305">
        <f>IF(F169&lt;=0,0,MIN(ROUND(F169*(1+F$162/12),2),F$163+IF(F$164=$I169,$J169,0)))</f>
        <v/>
      </c>
      <c r="N169" s="305">
        <f>IF(G169&lt;=0,0,MIN(ROUND(G169*(1+G$162/12),2),G$163+IF(G$164=$I169,$J169,0)))</f>
        <v/>
      </c>
      <c r="O169" s="305">
        <f>IF(H169&lt;=0,0,MIN(ROUND(H169*(1+H$162/12),2),H$163+IF(H$164=$I169,$J169,0)))</f>
        <v/>
      </c>
      <c r="P169" s="305">
        <f>SUMPRODUCT($D169:$H169,$D$162:$H$162)/12</f>
        <v/>
      </c>
      <c r="Q169" s="305">
        <f>SUM($K169:$O169)</f>
        <v/>
      </c>
      <c r="R169" s="306">
        <f>SUM($D169:$H169)</f>
        <v/>
      </c>
      <c r="S169" s="1" t="n"/>
      <c r="T169" s="1" t="n"/>
      <c r="U169" s="1" t="n"/>
      <c r="V169" s="1" t="n"/>
      <c r="W169" s="1" t="n"/>
      <c r="X169" s="1" t="n"/>
      <c r="Y169" s="1" t="n"/>
      <c r="Z169" s="1" t="n"/>
    </row>
    <row r="170" ht="15.75" customHeight="1" s="311">
      <c r="A170" s="1" t="n"/>
      <c r="B170" s="303" t="n">
        <v>5</v>
      </c>
      <c r="C170" s="304">
        <f>EDATE(TODAY(),4)</f>
        <v/>
      </c>
      <c r="D170" s="305">
        <f>MAX(0,ROUND(D169*(1+D$162/12)-K169,2))</f>
        <v/>
      </c>
      <c r="E170" s="305">
        <f>MAX(0,ROUND(E169*(1+E$162/12)-L169,2))</f>
        <v/>
      </c>
      <c r="F170" s="305">
        <f>MAX(0,ROUND(F169*(1+F$162/12)-M169,2))</f>
        <v/>
      </c>
      <c r="G170" s="305">
        <f>MAX(0,ROUND(G169*(1+G$162/12)-N169,2))</f>
        <v/>
      </c>
      <c r="H170" s="305">
        <f>MAX(0,ROUND(H169*(1+H$162/12)-O169,2))</f>
        <v/>
      </c>
      <c r="I170" s="303">
        <f>IF(SUMPRODUCT(($D$164:$H$164=1)*($D170:$H170&gt;0))&gt;0,1,IF(SUMPRODUCT(($D$164:$H$164=2)*($D170:$H170&gt;0))&gt;0,2,IF(SUMPRODUCT(($D$164:$H$164=3)*($D170:$H170&gt;0))&gt;0,3,IF(SUMPRODUCT(($D$164:$H$164=4)*($D170:$H170&gt;0))&gt;0,4,IF(SUMPRODUCT(($D$164:$H$164=5)*($D170:$H170&gt;0))&gt;0,5,0)))))</f>
        <v/>
      </c>
      <c r="J170" s="305" t="n">
        <v>0</v>
      </c>
      <c r="K170" s="305">
        <f>IF(D170&lt;=0,0,MIN(ROUND(D170*(1+D$162/12),2),D$163+IF(D$164=$I170,$J170,0)))</f>
        <v/>
      </c>
      <c r="L170" s="305">
        <f>IF(E170&lt;=0,0,MIN(ROUND(E170*(1+E$162/12),2),E$163+IF(E$164=$I170,$J170,0)))</f>
        <v/>
      </c>
      <c r="M170" s="305">
        <f>IF(F170&lt;=0,0,MIN(ROUND(F170*(1+F$162/12),2),F$163+IF(F$164=$I170,$J170,0)))</f>
        <v/>
      </c>
      <c r="N170" s="305">
        <f>IF(G170&lt;=0,0,MIN(ROUND(G170*(1+G$162/12),2),G$163+IF(G$164=$I170,$J170,0)))</f>
        <v/>
      </c>
      <c r="O170" s="305">
        <f>IF(H170&lt;=0,0,MIN(ROUND(H170*(1+H$162/12),2),H$163+IF(H$164=$I170,$J170,0)))</f>
        <v/>
      </c>
      <c r="P170" s="305">
        <f>SUMPRODUCT($D170:$H170,$D$162:$H$162)/12</f>
        <v/>
      </c>
      <c r="Q170" s="305">
        <f>SUM($K170:$O170)</f>
        <v/>
      </c>
      <c r="R170" s="306">
        <f>SUM($D170:$H170)</f>
        <v/>
      </c>
      <c r="S170" s="1" t="n"/>
      <c r="T170" s="1" t="n"/>
      <c r="U170" s="1" t="n"/>
      <c r="V170" s="1" t="n"/>
      <c r="W170" s="1" t="n"/>
      <c r="X170" s="1" t="n"/>
      <c r="Y170" s="1" t="n"/>
      <c r="Z170" s="1" t="n"/>
    </row>
    <row r="171" ht="15.75" customHeight="1" s="311">
      <c r="A171" s="1" t="n"/>
      <c r="B171" s="303" t="n">
        <v>6</v>
      </c>
      <c r="C171" s="304">
        <f>EDATE(TODAY(),5)</f>
        <v/>
      </c>
      <c r="D171" s="305">
        <f>MAX(0,ROUND(D170*(1+D$162/12)-K170,2))</f>
        <v/>
      </c>
      <c r="E171" s="305">
        <f>MAX(0,ROUND(E170*(1+E$162/12)-L170,2))</f>
        <v/>
      </c>
      <c r="F171" s="305">
        <f>MAX(0,ROUND(F170*(1+F$162/12)-M170,2))</f>
        <v/>
      </c>
      <c r="G171" s="305">
        <f>MAX(0,ROUND(G170*(1+G$162/12)-N170,2))</f>
        <v/>
      </c>
      <c r="H171" s="305">
        <f>MAX(0,ROUND(H170*(1+H$162/12)-O170,2))</f>
        <v/>
      </c>
      <c r="I171" s="303">
        <f>IF(SUMPRODUCT(($D$164:$H$164=1)*($D171:$H171&gt;0))&gt;0,1,IF(SUMPRODUCT(($D$164:$H$164=2)*($D171:$H171&gt;0))&gt;0,2,IF(SUMPRODUCT(($D$164:$H$164=3)*($D171:$H171&gt;0))&gt;0,3,IF(SUMPRODUCT(($D$164:$H$164=4)*($D171:$H171&gt;0))&gt;0,4,IF(SUMPRODUCT(($D$164:$H$164=5)*($D171:$H171&gt;0))&gt;0,5,0)))))</f>
        <v/>
      </c>
      <c r="J171" s="305" t="n">
        <v>0</v>
      </c>
      <c r="K171" s="305">
        <f>IF(D171&lt;=0,0,MIN(ROUND(D171*(1+D$162/12),2),D$163+IF(D$164=$I171,$J171,0)))</f>
        <v/>
      </c>
      <c r="L171" s="305">
        <f>IF(E171&lt;=0,0,MIN(ROUND(E171*(1+E$162/12),2),E$163+IF(E$164=$I171,$J171,0)))</f>
        <v/>
      </c>
      <c r="M171" s="305">
        <f>IF(F171&lt;=0,0,MIN(ROUND(F171*(1+F$162/12),2),F$163+IF(F$164=$I171,$J171,0)))</f>
        <v/>
      </c>
      <c r="N171" s="305">
        <f>IF(G171&lt;=0,0,MIN(ROUND(G171*(1+G$162/12),2),G$163+IF(G$164=$I171,$J171,0)))</f>
        <v/>
      </c>
      <c r="O171" s="305">
        <f>IF(H171&lt;=0,0,MIN(ROUND(H171*(1+H$162/12),2),H$163+IF(H$164=$I171,$J171,0)))</f>
        <v/>
      </c>
      <c r="P171" s="305">
        <f>SUMPRODUCT($D171:$H171,$D$162:$H$162)/12</f>
        <v/>
      </c>
      <c r="Q171" s="305">
        <f>SUM($K171:$O171)</f>
        <v/>
      </c>
      <c r="R171" s="306">
        <f>SUM($D171:$H171)</f>
        <v/>
      </c>
      <c r="S171" s="1" t="n"/>
      <c r="T171" s="1" t="n"/>
      <c r="U171" s="1" t="n"/>
      <c r="V171" s="1" t="n"/>
      <c r="W171" s="1" t="n"/>
      <c r="X171" s="1" t="n"/>
      <c r="Y171" s="1" t="n"/>
      <c r="Z171" s="1" t="n"/>
    </row>
    <row r="172" ht="15.75" customHeight="1" s="311">
      <c r="A172" s="1" t="n"/>
      <c r="B172" s="303" t="n">
        <v>7</v>
      </c>
      <c r="C172" s="304">
        <f>EDATE(TODAY(),6)</f>
        <v/>
      </c>
      <c r="D172" s="305">
        <f>MAX(0,ROUND(D171*(1+D$162/12)-K171,2))</f>
        <v/>
      </c>
      <c r="E172" s="305">
        <f>MAX(0,ROUND(E171*(1+E$162/12)-L171,2))</f>
        <v/>
      </c>
      <c r="F172" s="305">
        <f>MAX(0,ROUND(F171*(1+F$162/12)-M171,2))</f>
        <v/>
      </c>
      <c r="G172" s="305">
        <f>MAX(0,ROUND(G171*(1+G$162/12)-N171,2))</f>
        <v/>
      </c>
      <c r="H172" s="305">
        <f>MAX(0,ROUND(H171*(1+H$162/12)-O171,2))</f>
        <v/>
      </c>
      <c r="I172" s="303">
        <f>IF(SUMPRODUCT(($D$164:$H$164=1)*($D172:$H172&gt;0))&gt;0,1,IF(SUMPRODUCT(($D$164:$H$164=2)*($D172:$H172&gt;0))&gt;0,2,IF(SUMPRODUCT(($D$164:$H$164=3)*($D172:$H172&gt;0))&gt;0,3,IF(SUMPRODUCT(($D$164:$H$164=4)*($D172:$H172&gt;0))&gt;0,4,IF(SUMPRODUCT(($D$164:$H$164=5)*($D172:$H172&gt;0))&gt;0,5,0)))))</f>
        <v/>
      </c>
      <c r="J172" s="305" t="n">
        <v>0</v>
      </c>
      <c r="K172" s="305">
        <f>IF(D172&lt;=0,0,MIN(ROUND(D172*(1+D$162/12),2),D$163+IF(D$164=$I172,$J172,0)))</f>
        <v/>
      </c>
      <c r="L172" s="305">
        <f>IF(E172&lt;=0,0,MIN(ROUND(E172*(1+E$162/12),2),E$163+IF(E$164=$I172,$J172,0)))</f>
        <v/>
      </c>
      <c r="M172" s="305">
        <f>IF(F172&lt;=0,0,MIN(ROUND(F172*(1+F$162/12),2),F$163+IF(F$164=$I172,$J172,0)))</f>
        <v/>
      </c>
      <c r="N172" s="305">
        <f>IF(G172&lt;=0,0,MIN(ROUND(G172*(1+G$162/12),2),G$163+IF(G$164=$I172,$J172,0)))</f>
        <v/>
      </c>
      <c r="O172" s="305">
        <f>IF(H172&lt;=0,0,MIN(ROUND(H172*(1+H$162/12),2),H$163+IF(H$164=$I172,$J172,0)))</f>
        <v/>
      </c>
      <c r="P172" s="305">
        <f>SUMPRODUCT($D172:$H172,$D$162:$H$162)/12</f>
        <v/>
      </c>
      <c r="Q172" s="305">
        <f>SUM($K172:$O172)</f>
        <v/>
      </c>
      <c r="R172" s="306">
        <f>SUM($D172:$H172)</f>
        <v/>
      </c>
      <c r="S172" s="1" t="n"/>
      <c r="T172" s="1" t="n"/>
      <c r="U172" s="1" t="n"/>
      <c r="V172" s="1" t="n"/>
      <c r="W172" s="1" t="n"/>
      <c r="X172" s="1" t="n"/>
      <c r="Y172" s="1" t="n"/>
      <c r="Z172" s="1" t="n"/>
    </row>
    <row r="173" ht="15.75" customHeight="1" s="311">
      <c r="A173" s="1" t="n"/>
      <c r="B173" s="303" t="n">
        <v>8</v>
      </c>
      <c r="C173" s="304">
        <f>EDATE(TODAY(),7)</f>
        <v/>
      </c>
      <c r="D173" s="305">
        <f>MAX(0,ROUND(D172*(1+D$162/12)-K172,2))</f>
        <v/>
      </c>
      <c r="E173" s="305">
        <f>MAX(0,ROUND(E172*(1+E$162/12)-L172,2))</f>
        <v/>
      </c>
      <c r="F173" s="305">
        <f>MAX(0,ROUND(F172*(1+F$162/12)-M172,2))</f>
        <v/>
      </c>
      <c r="G173" s="305">
        <f>MAX(0,ROUND(G172*(1+G$162/12)-N172,2))</f>
        <v/>
      </c>
      <c r="H173" s="305">
        <f>MAX(0,ROUND(H172*(1+H$162/12)-O172,2))</f>
        <v/>
      </c>
      <c r="I173" s="303">
        <f>IF(SUMPRODUCT(($D$164:$H$164=1)*($D173:$H173&gt;0))&gt;0,1,IF(SUMPRODUCT(($D$164:$H$164=2)*($D173:$H173&gt;0))&gt;0,2,IF(SUMPRODUCT(($D$164:$H$164=3)*($D173:$H173&gt;0))&gt;0,3,IF(SUMPRODUCT(($D$164:$H$164=4)*($D173:$H173&gt;0))&gt;0,4,IF(SUMPRODUCT(($D$164:$H$164=5)*($D173:$H173&gt;0))&gt;0,5,0)))))</f>
        <v/>
      </c>
      <c r="J173" s="305" t="n">
        <v>0</v>
      </c>
      <c r="K173" s="305">
        <f>IF(D173&lt;=0,0,MIN(ROUND(D173*(1+D$162/12),2),D$163+IF(D$164=$I173,$J173,0)))</f>
        <v/>
      </c>
      <c r="L173" s="305">
        <f>IF(E173&lt;=0,0,MIN(ROUND(E173*(1+E$162/12),2),E$163+IF(E$164=$I173,$J173,0)))</f>
        <v/>
      </c>
      <c r="M173" s="305">
        <f>IF(F173&lt;=0,0,MIN(ROUND(F173*(1+F$162/12),2),F$163+IF(F$164=$I173,$J173,0)))</f>
        <v/>
      </c>
      <c r="N173" s="305">
        <f>IF(G173&lt;=0,0,MIN(ROUND(G173*(1+G$162/12),2),G$163+IF(G$164=$I173,$J173,0)))</f>
        <v/>
      </c>
      <c r="O173" s="305">
        <f>IF(H173&lt;=0,0,MIN(ROUND(H173*(1+H$162/12),2),H$163+IF(H$164=$I173,$J173,0)))</f>
        <v/>
      </c>
      <c r="P173" s="305">
        <f>SUMPRODUCT($D173:$H173,$D$162:$H$162)/12</f>
        <v/>
      </c>
      <c r="Q173" s="305">
        <f>SUM($K173:$O173)</f>
        <v/>
      </c>
      <c r="R173" s="306">
        <f>SUM($D173:$H173)</f>
        <v/>
      </c>
      <c r="S173" s="1" t="n"/>
      <c r="T173" s="1" t="n"/>
      <c r="U173" s="1" t="n"/>
      <c r="V173" s="1" t="n"/>
      <c r="W173" s="1" t="n"/>
      <c r="X173" s="1" t="n"/>
      <c r="Y173" s="1" t="n"/>
      <c r="Z173" s="1" t="n"/>
    </row>
    <row r="174" ht="15.75" customHeight="1" s="311">
      <c r="A174" s="1" t="n"/>
      <c r="B174" s="303" t="n">
        <v>9</v>
      </c>
      <c r="C174" s="304">
        <f>EDATE(TODAY(),8)</f>
        <v/>
      </c>
      <c r="D174" s="305">
        <f>MAX(0,ROUND(D173*(1+D$162/12)-K173,2))</f>
        <v/>
      </c>
      <c r="E174" s="305">
        <f>MAX(0,ROUND(E173*(1+E$162/12)-L173,2))</f>
        <v/>
      </c>
      <c r="F174" s="305">
        <f>MAX(0,ROUND(F173*(1+F$162/12)-M173,2))</f>
        <v/>
      </c>
      <c r="G174" s="305">
        <f>MAX(0,ROUND(G173*(1+G$162/12)-N173,2))</f>
        <v/>
      </c>
      <c r="H174" s="305">
        <f>MAX(0,ROUND(H173*(1+H$162/12)-O173,2))</f>
        <v/>
      </c>
      <c r="I174" s="303">
        <f>IF(SUMPRODUCT(($D$164:$H$164=1)*($D174:$H174&gt;0))&gt;0,1,IF(SUMPRODUCT(($D$164:$H$164=2)*($D174:$H174&gt;0))&gt;0,2,IF(SUMPRODUCT(($D$164:$H$164=3)*($D174:$H174&gt;0))&gt;0,3,IF(SUMPRODUCT(($D$164:$H$164=4)*($D174:$H174&gt;0))&gt;0,4,IF(SUMPRODUCT(($D$164:$H$164=5)*($D174:$H174&gt;0))&gt;0,5,0)))))</f>
        <v/>
      </c>
      <c r="J174" s="305" t="n">
        <v>0</v>
      </c>
      <c r="K174" s="305">
        <f>IF(D174&lt;=0,0,MIN(ROUND(D174*(1+D$162/12),2),D$163+IF(D$164=$I174,$J174,0)))</f>
        <v/>
      </c>
      <c r="L174" s="305">
        <f>IF(E174&lt;=0,0,MIN(ROUND(E174*(1+E$162/12),2),E$163+IF(E$164=$I174,$J174,0)))</f>
        <v/>
      </c>
      <c r="M174" s="305">
        <f>IF(F174&lt;=0,0,MIN(ROUND(F174*(1+F$162/12),2),F$163+IF(F$164=$I174,$J174,0)))</f>
        <v/>
      </c>
      <c r="N174" s="305">
        <f>IF(G174&lt;=0,0,MIN(ROUND(G174*(1+G$162/12),2),G$163+IF(G$164=$I174,$J174,0)))</f>
        <v/>
      </c>
      <c r="O174" s="305">
        <f>IF(H174&lt;=0,0,MIN(ROUND(H174*(1+H$162/12),2),H$163+IF(H$164=$I174,$J174,0)))</f>
        <v/>
      </c>
      <c r="P174" s="305">
        <f>SUMPRODUCT($D174:$H174,$D$162:$H$162)/12</f>
        <v/>
      </c>
      <c r="Q174" s="305">
        <f>SUM($K174:$O174)</f>
        <v/>
      </c>
      <c r="R174" s="306">
        <f>SUM($D174:$H174)</f>
        <v/>
      </c>
      <c r="S174" s="1" t="n"/>
      <c r="T174" s="1" t="n"/>
      <c r="U174" s="1" t="n"/>
      <c r="V174" s="1" t="n"/>
      <c r="W174" s="1" t="n"/>
      <c r="X174" s="1" t="n"/>
      <c r="Y174" s="1" t="n"/>
      <c r="Z174" s="1" t="n"/>
    </row>
    <row r="175" ht="15.75" customHeight="1" s="311">
      <c r="A175" s="1" t="n"/>
      <c r="B175" s="303" t="n">
        <v>10</v>
      </c>
      <c r="C175" s="304">
        <f>EDATE(TODAY(),9)</f>
        <v/>
      </c>
      <c r="D175" s="305">
        <f>MAX(0,ROUND(D174*(1+D$162/12)-K174,2))</f>
        <v/>
      </c>
      <c r="E175" s="305">
        <f>MAX(0,ROUND(E174*(1+E$162/12)-L174,2))</f>
        <v/>
      </c>
      <c r="F175" s="305">
        <f>MAX(0,ROUND(F174*(1+F$162/12)-M174,2))</f>
        <v/>
      </c>
      <c r="G175" s="305">
        <f>MAX(0,ROUND(G174*(1+G$162/12)-N174,2))</f>
        <v/>
      </c>
      <c r="H175" s="305">
        <f>MAX(0,ROUND(H174*(1+H$162/12)-O174,2))</f>
        <v/>
      </c>
      <c r="I175" s="303">
        <f>IF(SUMPRODUCT(($D$164:$H$164=1)*($D175:$H175&gt;0))&gt;0,1,IF(SUMPRODUCT(($D$164:$H$164=2)*($D175:$H175&gt;0))&gt;0,2,IF(SUMPRODUCT(($D$164:$H$164=3)*($D175:$H175&gt;0))&gt;0,3,IF(SUMPRODUCT(($D$164:$H$164=4)*($D175:$H175&gt;0))&gt;0,4,IF(SUMPRODUCT(($D$164:$H$164=5)*($D175:$H175&gt;0))&gt;0,5,0)))))</f>
        <v/>
      </c>
      <c r="J175" s="305" t="n">
        <v>0</v>
      </c>
      <c r="K175" s="305">
        <f>IF(D175&lt;=0,0,MIN(ROUND(D175*(1+D$162/12),2),D$163+IF(D$164=$I175,$J175,0)))</f>
        <v/>
      </c>
      <c r="L175" s="305">
        <f>IF(E175&lt;=0,0,MIN(ROUND(E175*(1+E$162/12),2),E$163+IF(E$164=$I175,$J175,0)))</f>
        <v/>
      </c>
      <c r="M175" s="305">
        <f>IF(F175&lt;=0,0,MIN(ROUND(F175*(1+F$162/12),2),F$163+IF(F$164=$I175,$J175,0)))</f>
        <v/>
      </c>
      <c r="N175" s="305">
        <f>IF(G175&lt;=0,0,MIN(ROUND(G175*(1+G$162/12),2),G$163+IF(G$164=$I175,$J175,0)))</f>
        <v/>
      </c>
      <c r="O175" s="305">
        <f>IF(H175&lt;=0,0,MIN(ROUND(H175*(1+H$162/12),2),H$163+IF(H$164=$I175,$J175,0)))</f>
        <v/>
      </c>
      <c r="P175" s="305">
        <f>SUMPRODUCT($D175:$H175,$D$162:$H$162)/12</f>
        <v/>
      </c>
      <c r="Q175" s="305">
        <f>SUM($K175:$O175)</f>
        <v/>
      </c>
      <c r="R175" s="306">
        <f>SUM($D175:$H175)</f>
        <v/>
      </c>
      <c r="S175" s="1" t="n"/>
      <c r="T175" s="1" t="n"/>
      <c r="U175" s="1" t="n"/>
      <c r="V175" s="1" t="n"/>
      <c r="W175" s="1" t="n"/>
      <c r="X175" s="1" t="n"/>
      <c r="Y175" s="1" t="n"/>
      <c r="Z175" s="1" t="n"/>
    </row>
    <row r="176" ht="15.75" customHeight="1" s="311">
      <c r="A176" s="1" t="n"/>
      <c r="B176" s="303" t="n">
        <v>11</v>
      </c>
      <c r="C176" s="304">
        <f>EDATE(TODAY(),10)</f>
        <v/>
      </c>
      <c r="D176" s="305">
        <f>MAX(0,ROUND(D175*(1+D$162/12)-K175,2))</f>
        <v/>
      </c>
      <c r="E176" s="305">
        <f>MAX(0,ROUND(E175*(1+E$162/12)-L175,2))</f>
        <v/>
      </c>
      <c r="F176" s="305">
        <f>MAX(0,ROUND(F175*(1+F$162/12)-M175,2))</f>
        <v/>
      </c>
      <c r="G176" s="305">
        <f>MAX(0,ROUND(G175*(1+G$162/12)-N175,2))</f>
        <v/>
      </c>
      <c r="H176" s="305">
        <f>MAX(0,ROUND(H175*(1+H$162/12)-O175,2))</f>
        <v/>
      </c>
      <c r="I176" s="303">
        <f>IF(SUMPRODUCT(($D$164:$H$164=1)*($D176:$H176&gt;0))&gt;0,1,IF(SUMPRODUCT(($D$164:$H$164=2)*($D176:$H176&gt;0))&gt;0,2,IF(SUMPRODUCT(($D$164:$H$164=3)*($D176:$H176&gt;0))&gt;0,3,IF(SUMPRODUCT(($D$164:$H$164=4)*($D176:$H176&gt;0))&gt;0,4,IF(SUMPRODUCT(($D$164:$H$164=5)*($D176:$H176&gt;0))&gt;0,5,0)))))</f>
        <v/>
      </c>
      <c r="J176" s="305" t="n">
        <v>0</v>
      </c>
      <c r="K176" s="305">
        <f>IF(D176&lt;=0,0,MIN(ROUND(D176*(1+D$162/12),2),D$163+IF(D$164=$I176,$J176,0)))</f>
        <v/>
      </c>
      <c r="L176" s="305">
        <f>IF(E176&lt;=0,0,MIN(ROUND(E176*(1+E$162/12),2),E$163+IF(E$164=$I176,$J176,0)))</f>
        <v/>
      </c>
      <c r="M176" s="305">
        <f>IF(F176&lt;=0,0,MIN(ROUND(F176*(1+F$162/12),2),F$163+IF(F$164=$I176,$J176,0)))</f>
        <v/>
      </c>
      <c r="N176" s="305">
        <f>IF(G176&lt;=0,0,MIN(ROUND(G176*(1+G$162/12),2),G$163+IF(G$164=$I176,$J176,0)))</f>
        <v/>
      </c>
      <c r="O176" s="305">
        <f>IF(H176&lt;=0,0,MIN(ROUND(H176*(1+H$162/12),2),H$163+IF(H$164=$I176,$J176,0)))</f>
        <v/>
      </c>
      <c r="P176" s="305">
        <f>SUMPRODUCT($D176:$H176,$D$162:$H$162)/12</f>
        <v/>
      </c>
      <c r="Q176" s="305">
        <f>SUM($K176:$O176)</f>
        <v/>
      </c>
      <c r="R176" s="306">
        <f>SUM($D176:$H176)</f>
        <v/>
      </c>
      <c r="S176" s="1" t="n"/>
      <c r="T176" s="1" t="n"/>
      <c r="U176" s="1" t="n"/>
      <c r="V176" s="1" t="n"/>
      <c r="W176" s="1" t="n"/>
      <c r="X176" s="1" t="n"/>
      <c r="Y176" s="1" t="n"/>
      <c r="Z176" s="1" t="n"/>
    </row>
    <row r="177" ht="15.75" customHeight="1" s="311">
      <c r="A177" s="1" t="n"/>
      <c r="B177" s="303" t="n">
        <v>12</v>
      </c>
      <c r="C177" s="304">
        <f>EDATE(TODAY(),11)</f>
        <v/>
      </c>
      <c r="D177" s="305">
        <f>MAX(0,ROUND(D176*(1+D$162/12)-K176,2))</f>
        <v/>
      </c>
      <c r="E177" s="305">
        <f>MAX(0,ROUND(E176*(1+E$162/12)-L176,2))</f>
        <v/>
      </c>
      <c r="F177" s="305">
        <f>MAX(0,ROUND(F176*(1+F$162/12)-M176,2))</f>
        <v/>
      </c>
      <c r="G177" s="305">
        <f>MAX(0,ROUND(G176*(1+G$162/12)-N176,2))</f>
        <v/>
      </c>
      <c r="H177" s="305">
        <f>MAX(0,ROUND(H176*(1+H$162/12)-O176,2))</f>
        <v/>
      </c>
      <c r="I177" s="303">
        <f>IF(SUMPRODUCT(($D$164:$H$164=1)*($D177:$H177&gt;0))&gt;0,1,IF(SUMPRODUCT(($D$164:$H$164=2)*($D177:$H177&gt;0))&gt;0,2,IF(SUMPRODUCT(($D$164:$H$164=3)*($D177:$H177&gt;0))&gt;0,3,IF(SUMPRODUCT(($D$164:$H$164=4)*($D177:$H177&gt;0))&gt;0,4,IF(SUMPRODUCT(($D$164:$H$164=5)*($D177:$H177&gt;0))&gt;0,5,0)))))</f>
        <v/>
      </c>
      <c r="J177" s="305" t="n">
        <v>0</v>
      </c>
      <c r="K177" s="305">
        <f>IF(D177&lt;=0,0,MIN(ROUND(D177*(1+D$162/12),2),D$163+IF(D$164=$I177,$J177,0)))</f>
        <v/>
      </c>
      <c r="L177" s="305">
        <f>IF(E177&lt;=0,0,MIN(ROUND(E177*(1+E$162/12),2),E$163+IF(E$164=$I177,$J177,0)))</f>
        <v/>
      </c>
      <c r="M177" s="305">
        <f>IF(F177&lt;=0,0,MIN(ROUND(F177*(1+F$162/12),2),F$163+IF(F$164=$I177,$J177,0)))</f>
        <v/>
      </c>
      <c r="N177" s="305">
        <f>IF(G177&lt;=0,0,MIN(ROUND(G177*(1+G$162/12),2),G$163+IF(G$164=$I177,$J177,0)))</f>
        <v/>
      </c>
      <c r="O177" s="305">
        <f>IF(H177&lt;=0,0,MIN(ROUND(H177*(1+H$162/12),2),H$163+IF(H$164=$I177,$J177,0)))</f>
        <v/>
      </c>
      <c r="P177" s="305">
        <f>SUMPRODUCT($D177:$H177,$D$162:$H$162)/12</f>
        <v/>
      </c>
      <c r="Q177" s="305">
        <f>SUM($K177:$O177)</f>
        <v/>
      </c>
      <c r="R177" s="306">
        <f>SUM($D177:$H177)</f>
        <v/>
      </c>
      <c r="S177" s="1" t="n"/>
      <c r="T177" s="1" t="n"/>
      <c r="U177" s="1" t="n"/>
      <c r="V177" s="1" t="n"/>
      <c r="W177" s="1" t="n"/>
      <c r="X177" s="1" t="n"/>
      <c r="Y177" s="1" t="n"/>
      <c r="Z177" s="1" t="n"/>
    </row>
    <row r="178" ht="15.75" customHeight="1" s="311">
      <c r="A178" s="1" t="n"/>
      <c r="B178" s="303" t="n">
        <v>13</v>
      </c>
      <c r="C178" s="304">
        <f>EDATE(TODAY(),12)</f>
        <v/>
      </c>
      <c r="D178" s="305">
        <f>MAX(0,ROUND(D177*(1+D$162/12)-K177,2))</f>
        <v/>
      </c>
      <c r="E178" s="305">
        <f>MAX(0,ROUND(E177*(1+E$162/12)-L177,2))</f>
        <v/>
      </c>
      <c r="F178" s="305">
        <f>MAX(0,ROUND(F177*(1+F$162/12)-M177,2))</f>
        <v/>
      </c>
      <c r="G178" s="305">
        <f>MAX(0,ROUND(G177*(1+G$162/12)-N177,2))</f>
        <v/>
      </c>
      <c r="H178" s="305">
        <f>MAX(0,ROUND(H177*(1+H$162/12)-O177,2))</f>
        <v/>
      </c>
      <c r="I178" s="303">
        <f>IF(SUMPRODUCT(($D$164:$H$164=1)*($D178:$H178&gt;0))&gt;0,1,IF(SUMPRODUCT(($D$164:$H$164=2)*($D178:$H178&gt;0))&gt;0,2,IF(SUMPRODUCT(($D$164:$H$164=3)*($D178:$H178&gt;0))&gt;0,3,IF(SUMPRODUCT(($D$164:$H$164=4)*($D178:$H178&gt;0))&gt;0,4,IF(SUMPRODUCT(($D$164:$H$164=5)*($D178:$H178&gt;0))&gt;0,5,0)))))</f>
        <v/>
      </c>
      <c r="J178" s="305" t="n">
        <v>0</v>
      </c>
      <c r="K178" s="305">
        <f>IF(D178&lt;=0,0,MIN(ROUND(D178*(1+D$162/12),2),D$163+IF(D$164=$I178,$J178,0)))</f>
        <v/>
      </c>
      <c r="L178" s="305">
        <f>IF(E178&lt;=0,0,MIN(ROUND(E178*(1+E$162/12),2),E$163+IF(E$164=$I178,$J178,0)))</f>
        <v/>
      </c>
      <c r="M178" s="305">
        <f>IF(F178&lt;=0,0,MIN(ROUND(F178*(1+F$162/12),2),F$163+IF(F$164=$I178,$J178,0)))</f>
        <v/>
      </c>
      <c r="N178" s="305">
        <f>IF(G178&lt;=0,0,MIN(ROUND(G178*(1+G$162/12),2),G$163+IF(G$164=$I178,$J178,0)))</f>
        <v/>
      </c>
      <c r="O178" s="305">
        <f>IF(H178&lt;=0,0,MIN(ROUND(H178*(1+H$162/12),2),H$163+IF(H$164=$I178,$J178,0)))</f>
        <v/>
      </c>
      <c r="P178" s="305">
        <f>SUMPRODUCT($D178:$H178,$D$162:$H$162)/12</f>
        <v/>
      </c>
      <c r="Q178" s="305">
        <f>SUM($K178:$O178)</f>
        <v/>
      </c>
      <c r="R178" s="306">
        <f>SUM($D178:$H178)</f>
        <v/>
      </c>
      <c r="S178" s="1" t="n"/>
      <c r="T178" s="1" t="n"/>
      <c r="U178" s="1" t="n"/>
      <c r="V178" s="1" t="n"/>
      <c r="W178" s="1" t="n"/>
      <c r="X178" s="1" t="n"/>
      <c r="Y178" s="1" t="n"/>
      <c r="Z178" s="1" t="n"/>
    </row>
    <row r="179" ht="15.75" customHeight="1" s="311">
      <c r="A179" s="1" t="n"/>
      <c r="B179" s="303" t="n">
        <v>14</v>
      </c>
      <c r="C179" s="304">
        <f>EDATE(TODAY(),13)</f>
        <v/>
      </c>
      <c r="D179" s="305">
        <f>MAX(0,ROUND(D178*(1+D$162/12)-K178,2))</f>
        <v/>
      </c>
      <c r="E179" s="305">
        <f>MAX(0,ROUND(E178*(1+E$162/12)-L178,2))</f>
        <v/>
      </c>
      <c r="F179" s="305">
        <f>MAX(0,ROUND(F178*(1+F$162/12)-M178,2))</f>
        <v/>
      </c>
      <c r="G179" s="305">
        <f>MAX(0,ROUND(G178*(1+G$162/12)-N178,2))</f>
        <v/>
      </c>
      <c r="H179" s="305">
        <f>MAX(0,ROUND(H178*(1+H$162/12)-O178,2))</f>
        <v/>
      </c>
      <c r="I179" s="303">
        <f>IF(SUMPRODUCT(($D$164:$H$164=1)*($D179:$H179&gt;0))&gt;0,1,IF(SUMPRODUCT(($D$164:$H$164=2)*($D179:$H179&gt;0))&gt;0,2,IF(SUMPRODUCT(($D$164:$H$164=3)*($D179:$H179&gt;0))&gt;0,3,IF(SUMPRODUCT(($D$164:$H$164=4)*($D179:$H179&gt;0))&gt;0,4,IF(SUMPRODUCT(($D$164:$H$164=5)*($D179:$H179&gt;0))&gt;0,5,0)))))</f>
        <v/>
      </c>
      <c r="J179" s="305" t="n">
        <v>0</v>
      </c>
      <c r="K179" s="305">
        <f>IF(D179&lt;=0,0,MIN(ROUND(D179*(1+D$162/12),2),D$163+IF(D$164=$I179,$J179,0)))</f>
        <v/>
      </c>
      <c r="L179" s="305">
        <f>IF(E179&lt;=0,0,MIN(ROUND(E179*(1+E$162/12),2),E$163+IF(E$164=$I179,$J179,0)))</f>
        <v/>
      </c>
      <c r="M179" s="305">
        <f>IF(F179&lt;=0,0,MIN(ROUND(F179*(1+F$162/12),2),F$163+IF(F$164=$I179,$J179,0)))</f>
        <v/>
      </c>
      <c r="N179" s="305">
        <f>IF(G179&lt;=0,0,MIN(ROUND(G179*(1+G$162/12),2),G$163+IF(G$164=$I179,$J179,0)))</f>
        <v/>
      </c>
      <c r="O179" s="305">
        <f>IF(H179&lt;=0,0,MIN(ROUND(H179*(1+H$162/12),2),H$163+IF(H$164=$I179,$J179,0)))</f>
        <v/>
      </c>
      <c r="P179" s="305">
        <f>SUMPRODUCT($D179:$H179,$D$162:$H$162)/12</f>
        <v/>
      </c>
      <c r="Q179" s="305">
        <f>SUM($K179:$O179)</f>
        <v/>
      </c>
      <c r="R179" s="306">
        <f>SUM($D179:$H179)</f>
        <v/>
      </c>
      <c r="S179" s="1" t="n"/>
      <c r="T179" s="1" t="n"/>
      <c r="U179" s="1" t="n"/>
      <c r="V179" s="1" t="n"/>
      <c r="W179" s="1" t="n"/>
      <c r="X179" s="1" t="n"/>
      <c r="Y179" s="1" t="n"/>
      <c r="Z179" s="1" t="n"/>
    </row>
    <row r="180" ht="15.75" customHeight="1" s="311">
      <c r="A180" s="1" t="n"/>
      <c r="B180" s="303" t="n">
        <v>15</v>
      </c>
      <c r="C180" s="304">
        <f>EDATE(TODAY(),14)</f>
        <v/>
      </c>
      <c r="D180" s="305">
        <f>MAX(0,ROUND(D179*(1+D$162/12)-K179,2))</f>
        <v/>
      </c>
      <c r="E180" s="305">
        <f>MAX(0,ROUND(E179*(1+E$162/12)-L179,2))</f>
        <v/>
      </c>
      <c r="F180" s="305">
        <f>MAX(0,ROUND(F179*(1+F$162/12)-M179,2))</f>
        <v/>
      </c>
      <c r="G180" s="305">
        <f>MAX(0,ROUND(G179*(1+G$162/12)-N179,2))</f>
        <v/>
      </c>
      <c r="H180" s="305">
        <f>MAX(0,ROUND(H179*(1+H$162/12)-O179,2))</f>
        <v/>
      </c>
      <c r="I180" s="303">
        <f>IF(SUMPRODUCT(($D$164:$H$164=1)*($D180:$H180&gt;0))&gt;0,1,IF(SUMPRODUCT(($D$164:$H$164=2)*($D180:$H180&gt;0))&gt;0,2,IF(SUMPRODUCT(($D$164:$H$164=3)*($D180:$H180&gt;0))&gt;0,3,IF(SUMPRODUCT(($D$164:$H$164=4)*($D180:$H180&gt;0))&gt;0,4,IF(SUMPRODUCT(($D$164:$H$164=5)*($D180:$H180&gt;0))&gt;0,5,0)))))</f>
        <v/>
      </c>
      <c r="J180" s="305" t="n">
        <v>0</v>
      </c>
      <c r="K180" s="305">
        <f>IF(D180&lt;=0,0,MIN(ROUND(D180*(1+D$162/12),2),D$163+IF(D$164=$I180,$J180,0)))</f>
        <v/>
      </c>
      <c r="L180" s="305">
        <f>IF(E180&lt;=0,0,MIN(ROUND(E180*(1+E$162/12),2),E$163+IF(E$164=$I180,$J180,0)))</f>
        <v/>
      </c>
      <c r="M180" s="305">
        <f>IF(F180&lt;=0,0,MIN(ROUND(F180*(1+F$162/12),2),F$163+IF(F$164=$I180,$J180,0)))</f>
        <v/>
      </c>
      <c r="N180" s="305">
        <f>IF(G180&lt;=0,0,MIN(ROUND(G180*(1+G$162/12),2),G$163+IF(G$164=$I180,$J180,0)))</f>
        <v/>
      </c>
      <c r="O180" s="305">
        <f>IF(H180&lt;=0,0,MIN(ROUND(H180*(1+H$162/12),2),H$163+IF(H$164=$I180,$J180,0)))</f>
        <v/>
      </c>
      <c r="P180" s="305">
        <f>SUMPRODUCT($D180:$H180,$D$162:$H$162)/12</f>
        <v/>
      </c>
      <c r="Q180" s="305">
        <f>SUM($K180:$O180)</f>
        <v/>
      </c>
      <c r="R180" s="306">
        <f>SUM($D180:$H180)</f>
        <v/>
      </c>
      <c r="S180" s="1" t="n"/>
      <c r="T180" s="1" t="n"/>
      <c r="U180" s="1" t="n"/>
      <c r="V180" s="1" t="n"/>
      <c r="W180" s="1" t="n"/>
      <c r="X180" s="1" t="n"/>
      <c r="Y180" s="1" t="n"/>
      <c r="Z180" s="1" t="n"/>
    </row>
    <row r="181" ht="15.75" customHeight="1" s="311">
      <c r="A181" s="1" t="n"/>
      <c r="B181" s="303" t="n">
        <v>16</v>
      </c>
      <c r="C181" s="304">
        <f>EDATE(TODAY(),15)</f>
        <v/>
      </c>
      <c r="D181" s="305">
        <f>MAX(0,ROUND(D180*(1+D$162/12)-K180,2))</f>
        <v/>
      </c>
      <c r="E181" s="305">
        <f>MAX(0,ROUND(E180*(1+E$162/12)-L180,2))</f>
        <v/>
      </c>
      <c r="F181" s="305">
        <f>MAX(0,ROUND(F180*(1+F$162/12)-M180,2))</f>
        <v/>
      </c>
      <c r="G181" s="305">
        <f>MAX(0,ROUND(G180*(1+G$162/12)-N180,2))</f>
        <v/>
      </c>
      <c r="H181" s="305">
        <f>MAX(0,ROUND(H180*(1+H$162/12)-O180,2))</f>
        <v/>
      </c>
      <c r="I181" s="303">
        <f>IF(SUMPRODUCT(($D$164:$H$164=1)*($D181:$H181&gt;0))&gt;0,1,IF(SUMPRODUCT(($D$164:$H$164=2)*($D181:$H181&gt;0))&gt;0,2,IF(SUMPRODUCT(($D$164:$H$164=3)*($D181:$H181&gt;0))&gt;0,3,IF(SUMPRODUCT(($D$164:$H$164=4)*($D181:$H181&gt;0))&gt;0,4,IF(SUMPRODUCT(($D$164:$H$164=5)*($D181:$H181&gt;0))&gt;0,5,0)))))</f>
        <v/>
      </c>
      <c r="J181" s="305" t="n">
        <v>0</v>
      </c>
      <c r="K181" s="305">
        <f>IF(D181&lt;=0,0,MIN(ROUND(D181*(1+D$162/12),2),D$163+IF(D$164=$I181,$J181,0)))</f>
        <v/>
      </c>
      <c r="L181" s="305">
        <f>IF(E181&lt;=0,0,MIN(ROUND(E181*(1+E$162/12),2),E$163+IF(E$164=$I181,$J181,0)))</f>
        <v/>
      </c>
      <c r="M181" s="305">
        <f>IF(F181&lt;=0,0,MIN(ROUND(F181*(1+F$162/12),2),F$163+IF(F$164=$I181,$J181,0)))</f>
        <v/>
      </c>
      <c r="N181" s="305">
        <f>IF(G181&lt;=0,0,MIN(ROUND(G181*(1+G$162/12),2),G$163+IF(G$164=$I181,$J181,0)))</f>
        <v/>
      </c>
      <c r="O181" s="305">
        <f>IF(H181&lt;=0,0,MIN(ROUND(H181*(1+H$162/12),2),H$163+IF(H$164=$I181,$J181,0)))</f>
        <v/>
      </c>
      <c r="P181" s="305">
        <f>SUMPRODUCT($D181:$H181,$D$162:$H$162)/12</f>
        <v/>
      </c>
      <c r="Q181" s="305">
        <f>SUM($K181:$O181)</f>
        <v/>
      </c>
      <c r="R181" s="306">
        <f>SUM($D181:$H181)</f>
        <v/>
      </c>
      <c r="S181" s="1" t="n"/>
      <c r="T181" s="1" t="n"/>
      <c r="U181" s="1" t="n"/>
      <c r="V181" s="1" t="n"/>
      <c r="W181" s="1" t="n"/>
      <c r="X181" s="1" t="n"/>
      <c r="Y181" s="1" t="n"/>
      <c r="Z181" s="1" t="n"/>
    </row>
    <row r="182" ht="15.75" customHeight="1" s="311">
      <c r="A182" s="1" t="n"/>
      <c r="B182" s="303" t="n">
        <v>17</v>
      </c>
      <c r="C182" s="304">
        <f>EDATE(TODAY(),16)</f>
        <v/>
      </c>
      <c r="D182" s="305">
        <f>MAX(0,ROUND(D181*(1+D$162/12)-K181,2))</f>
        <v/>
      </c>
      <c r="E182" s="305">
        <f>MAX(0,ROUND(E181*(1+E$162/12)-L181,2))</f>
        <v/>
      </c>
      <c r="F182" s="305">
        <f>MAX(0,ROUND(F181*(1+F$162/12)-M181,2))</f>
        <v/>
      </c>
      <c r="G182" s="305">
        <f>MAX(0,ROUND(G181*(1+G$162/12)-N181,2))</f>
        <v/>
      </c>
      <c r="H182" s="305">
        <f>MAX(0,ROUND(H181*(1+H$162/12)-O181,2))</f>
        <v/>
      </c>
      <c r="I182" s="303">
        <f>IF(SUMPRODUCT(($D$164:$H$164=1)*($D182:$H182&gt;0))&gt;0,1,IF(SUMPRODUCT(($D$164:$H$164=2)*($D182:$H182&gt;0))&gt;0,2,IF(SUMPRODUCT(($D$164:$H$164=3)*($D182:$H182&gt;0))&gt;0,3,IF(SUMPRODUCT(($D$164:$H$164=4)*($D182:$H182&gt;0))&gt;0,4,IF(SUMPRODUCT(($D$164:$H$164=5)*($D182:$H182&gt;0))&gt;0,5,0)))))</f>
        <v/>
      </c>
      <c r="J182" s="305" t="n">
        <v>0</v>
      </c>
      <c r="K182" s="305">
        <f>IF(D182&lt;=0,0,MIN(ROUND(D182*(1+D$162/12),2),D$163+IF(D$164=$I182,$J182,0)))</f>
        <v/>
      </c>
      <c r="L182" s="305">
        <f>IF(E182&lt;=0,0,MIN(ROUND(E182*(1+E$162/12),2),E$163+IF(E$164=$I182,$J182,0)))</f>
        <v/>
      </c>
      <c r="M182" s="305">
        <f>IF(F182&lt;=0,0,MIN(ROUND(F182*(1+F$162/12),2),F$163+IF(F$164=$I182,$J182,0)))</f>
        <v/>
      </c>
      <c r="N182" s="305">
        <f>IF(G182&lt;=0,0,MIN(ROUND(G182*(1+G$162/12),2),G$163+IF(G$164=$I182,$J182,0)))</f>
        <v/>
      </c>
      <c r="O182" s="305">
        <f>IF(H182&lt;=0,0,MIN(ROUND(H182*(1+H$162/12),2),H$163+IF(H$164=$I182,$J182,0)))</f>
        <v/>
      </c>
      <c r="P182" s="305">
        <f>SUMPRODUCT($D182:$H182,$D$162:$H$162)/12</f>
        <v/>
      </c>
      <c r="Q182" s="305">
        <f>SUM($K182:$O182)</f>
        <v/>
      </c>
      <c r="R182" s="306">
        <f>SUM($D182:$H182)</f>
        <v/>
      </c>
      <c r="S182" s="1" t="n"/>
      <c r="T182" s="1" t="n"/>
      <c r="U182" s="1" t="n"/>
      <c r="V182" s="1" t="n"/>
      <c r="W182" s="1" t="n"/>
      <c r="X182" s="1" t="n"/>
      <c r="Y182" s="1" t="n"/>
      <c r="Z182" s="1" t="n"/>
    </row>
    <row r="183" ht="15.75" customHeight="1" s="311">
      <c r="A183" s="1" t="n"/>
      <c r="B183" s="303" t="n">
        <v>18</v>
      </c>
      <c r="C183" s="304">
        <f>EDATE(TODAY(),17)</f>
        <v/>
      </c>
      <c r="D183" s="305">
        <f>MAX(0,ROUND(D182*(1+D$162/12)-K182,2))</f>
        <v/>
      </c>
      <c r="E183" s="305">
        <f>MAX(0,ROUND(E182*(1+E$162/12)-L182,2))</f>
        <v/>
      </c>
      <c r="F183" s="305">
        <f>MAX(0,ROUND(F182*(1+F$162/12)-M182,2))</f>
        <v/>
      </c>
      <c r="G183" s="305">
        <f>MAX(0,ROUND(G182*(1+G$162/12)-N182,2))</f>
        <v/>
      </c>
      <c r="H183" s="305">
        <f>MAX(0,ROUND(H182*(1+H$162/12)-O182,2))</f>
        <v/>
      </c>
      <c r="I183" s="303">
        <f>IF(SUMPRODUCT(($D$164:$H$164=1)*($D183:$H183&gt;0))&gt;0,1,IF(SUMPRODUCT(($D$164:$H$164=2)*($D183:$H183&gt;0))&gt;0,2,IF(SUMPRODUCT(($D$164:$H$164=3)*($D183:$H183&gt;0))&gt;0,3,IF(SUMPRODUCT(($D$164:$H$164=4)*($D183:$H183&gt;0))&gt;0,4,IF(SUMPRODUCT(($D$164:$H$164=5)*($D183:$H183&gt;0))&gt;0,5,0)))))</f>
        <v/>
      </c>
      <c r="J183" s="305" t="n">
        <v>0</v>
      </c>
      <c r="K183" s="305">
        <f>IF(D183&lt;=0,0,MIN(ROUND(D183*(1+D$162/12),2),D$163+IF(D$164=$I183,$J183,0)))</f>
        <v/>
      </c>
      <c r="L183" s="305">
        <f>IF(E183&lt;=0,0,MIN(ROUND(E183*(1+E$162/12),2),E$163+IF(E$164=$I183,$J183,0)))</f>
        <v/>
      </c>
      <c r="M183" s="305">
        <f>IF(F183&lt;=0,0,MIN(ROUND(F183*(1+F$162/12),2),F$163+IF(F$164=$I183,$J183,0)))</f>
        <v/>
      </c>
      <c r="N183" s="305">
        <f>IF(G183&lt;=0,0,MIN(ROUND(G183*(1+G$162/12),2),G$163+IF(G$164=$I183,$J183,0)))</f>
        <v/>
      </c>
      <c r="O183" s="305">
        <f>IF(H183&lt;=0,0,MIN(ROUND(H183*(1+H$162/12),2),H$163+IF(H$164=$I183,$J183,0)))</f>
        <v/>
      </c>
      <c r="P183" s="305">
        <f>SUMPRODUCT($D183:$H183,$D$162:$H$162)/12</f>
        <v/>
      </c>
      <c r="Q183" s="305">
        <f>SUM($K183:$O183)</f>
        <v/>
      </c>
      <c r="R183" s="306">
        <f>SUM($D183:$H183)</f>
        <v/>
      </c>
      <c r="S183" s="1" t="n"/>
      <c r="T183" s="1" t="n"/>
      <c r="U183" s="1" t="n"/>
      <c r="V183" s="1" t="n"/>
      <c r="W183" s="1" t="n"/>
      <c r="X183" s="1" t="n"/>
      <c r="Y183" s="1" t="n"/>
      <c r="Z183" s="1" t="n"/>
    </row>
    <row r="184" ht="15.75" customHeight="1" s="311">
      <c r="A184" s="1" t="n"/>
      <c r="B184" s="303" t="n">
        <v>19</v>
      </c>
      <c r="C184" s="304">
        <f>EDATE(TODAY(),18)</f>
        <v/>
      </c>
      <c r="D184" s="305">
        <f>MAX(0,ROUND(D183*(1+D$162/12)-K183,2))</f>
        <v/>
      </c>
      <c r="E184" s="305">
        <f>MAX(0,ROUND(E183*(1+E$162/12)-L183,2))</f>
        <v/>
      </c>
      <c r="F184" s="305">
        <f>MAX(0,ROUND(F183*(1+F$162/12)-M183,2))</f>
        <v/>
      </c>
      <c r="G184" s="305">
        <f>MAX(0,ROUND(G183*(1+G$162/12)-N183,2))</f>
        <v/>
      </c>
      <c r="H184" s="305">
        <f>MAX(0,ROUND(H183*(1+H$162/12)-O183,2))</f>
        <v/>
      </c>
      <c r="I184" s="303">
        <f>IF(SUMPRODUCT(($D$164:$H$164=1)*($D184:$H184&gt;0))&gt;0,1,IF(SUMPRODUCT(($D$164:$H$164=2)*($D184:$H184&gt;0))&gt;0,2,IF(SUMPRODUCT(($D$164:$H$164=3)*($D184:$H184&gt;0))&gt;0,3,IF(SUMPRODUCT(($D$164:$H$164=4)*($D184:$H184&gt;0))&gt;0,4,IF(SUMPRODUCT(($D$164:$H$164=5)*($D184:$H184&gt;0))&gt;0,5,0)))))</f>
        <v/>
      </c>
      <c r="J184" s="305" t="n">
        <v>0</v>
      </c>
      <c r="K184" s="305">
        <f>IF(D184&lt;=0,0,MIN(ROUND(D184*(1+D$162/12),2),D$163+IF(D$164=$I184,$J184,0)))</f>
        <v/>
      </c>
      <c r="L184" s="305">
        <f>IF(E184&lt;=0,0,MIN(ROUND(E184*(1+E$162/12),2),E$163+IF(E$164=$I184,$J184,0)))</f>
        <v/>
      </c>
      <c r="M184" s="305">
        <f>IF(F184&lt;=0,0,MIN(ROUND(F184*(1+F$162/12),2),F$163+IF(F$164=$I184,$J184,0)))</f>
        <v/>
      </c>
      <c r="N184" s="305">
        <f>IF(G184&lt;=0,0,MIN(ROUND(G184*(1+G$162/12),2),G$163+IF(G$164=$I184,$J184,0)))</f>
        <v/>
      </c>
      <c r="O184" s="305">
        <f>IF(H184&lt;=0,0,MIN(ROUND(H184*(1+H$162/12),2),H$163+IF(H$164=$I184,$J184,0)))</f>
        <v/>
      </c>
      <c r="P184" s="305">
        <f>SUMPRODUCT($D184:$H184,$D$162:$H$162)/12</f>
        <v/>
      </c>
      <c r="Q184" s="305">
        <f>SUM($K184:$O184)</f>
        <v/>
      </c>
      <c r="R184" s="306">
        <f>SUM($D184:$H184)</f>
        <v/>
      </c>
      <c r="S184" s="1" t="n"/>
      <c r="T184" s="1" t="n"/>
      <c r="U184" s="1" t="n"/>
      <c r="V184" s="1" t="n"/>
      <c r="W184" s="1" t="n"/>
      <c r="X184" s="1" t="n"/>
      <c r="Y184" s="1" t="n"/>
      <c r="Z184" s="1" t="n"/>
    </row>
    <row r="185" ht="15.75" customHeight="1" s="311">
      <c r="A185" s="1" t="n"/>
      <c r="B185" s="303" t="n">
        <v>20</v>
      </c>
      <c r="C185" s="304">
        <f>EDATE(TODAY(),19)</f>
        <v/>
      </c>
      <c r="D185" s="305">
        <f>MAX(0,ROUND(D184*(1+D$162/12)-K184,2))</f>
        <v/>
      </c>
      <c r="E185" s="305">
        <f>MAX(0,ROUND(E184*(1+E$162/12)-L184,2))</f>
        <v/>
      </c>
      <c r="F185" s="305">
        <f>MAX(0,ROUND(F184*(1+F$162/12)-M184,2))</f>
        <v/>
      </c>
      <c r="G185" s="305">
        <f>MAX(0,ROUND(G184*(1+G$162/12)-N184,2))</f>
        <v/>
      </c>
      <c r="H185" s="305">
        <f>MAX(0,ROUND(H184*(1+H$162/12)-O184,2))</f>
        <v/>
      </c>
      <c r="I185" s="303">
        <f>IF(SUMPRODUCT(($D$164:$H$164=1)*($D185:$H185&gt;0))&gt;0,1,IF(SUMPRODUCT(($D$164:$H$164=2)*($D185:$H185&gt;0))&gt;0,2,IF(SUMPRODUCT(($D$164:$H$164=3)*($D185:$H185&gt;0))&gt;0,3,IF(SUMPRODUCT(($D$164:$H$164=4)*($D185:$H185&gt;0))&gt;0,4,IF(SUMPRODUCT(($D$164:$H$164=5)*($D185:$H185&gt;0))&gt;0,5,0)))))</f>
        <v/>
      </c>
      <c r="J185" s="305" t="n">
        <v>0</v>
      </c>
      <c r="K185" s="305">
        <f>IF(D185&lt;=0,0,MIN(ROUND(D185*(1+D$162/12),2),D$163+IF(D$164=$I185,$J185,0)))</f>
        <v/>
      </c>
      <c r="L185" s="305">
        <f>IF(E185&lt;=0,0,MIN(ROUND(E185*(1+E$162/12),2),E$163+IF(E$164=$I185,$J185,0)))</f>
        <v/>
      </c>
      <c r="M185" s="305">
        <f>IF(F185&lt;=0,0,MIN(ROUND(F185*(1+F$162/12),2),F$163+IF(F$164=$I185,$J185,0)))</f>
        <v/>
      </c>
      <c r="N185" s="305">
        <f>IF(G185&lt;=0,0,MIN(ROUND(G185*(1+G$162/12),2),G$163+IF(G$164=$I185,$J185,0)))</f>
        <v/>
      </c>
      <c r="O185" s="305">
        <f>IF(H185&lt;=0,0,MIN(ROUND(H185*(1+H$162/12),2),H$163+IF(H$164=$I185,$J185,0)))</f>
        <v/>
      </c>
      <c r="P185" s="305">
        <f>SUMPRODUCT($D185:$H185,$D$162:$H$162)/12</f>
        <v/>
      </c>
      <c r="Q185" s="305">
        <f>SUM($K185:$O185)</f>
        <v/>
      </c>
      <c r="R185" s="306">
        <f>SUM($D185:$H185)</f>
        <v/>
      </c>
      <c r="S185" s="1" t="n"/>
      <c r="T185" s="1" t="n"/>
      <c r="U185" s="1" t="n"/>
      <c r="V185" s="1" t="n"/>
      <c r="W185" s="1" t="n"/>
      <c r="X185" s="1" t="n"/>
      <c r="Y185" s="1" t="n"/>
      <c r="Z185" s="1" t="n"/>
    </row>
    <row r="186" ht="15.75" customHeight="1" s="311">
      <c r="A186" s="1" t="n"/>
      <c r="B186" s="303" t="n">
        <v>21</v>
      </c>
      <c r="C186" s="304">
        <f>EDATE(TODAY(),20)</f>
        <v/>
      </c>
      <c r="D186" s="305">
        <f>MAX(0,ROUND(D185*(1+D$162/12)-K185,2))</f>
        <v/>
      </c>
      <c r="E186" s="305">
        <f>MAX(0,ROUND(E185*(1+E$162/12)-L185,2))</f>
        <v/>
      </c>
      <c r="F186" s="305">
        <f>MAX(0,ROUND(F185*(1+F$162/12)-M185,2))</f>
        <v/>
      </c>
      <c r="G186" s="305">
        <f>MAX(0,ROUND(G185*(1+G$162/12)-N185,2))</f>
        <v/>
      </c>
      <c r="H186" s="305">
        <f>MAX(0,ROUND(H185*(1+H$162/12)-O185,2))</f>
        <v/>
      </c>
      <c r="I186" s="303">
        <f>IF(SUMPRODUCT(($D$164:$H$164=1)*($D186:$H186&gt;0))&gt;0,1,IF(SUMPRODUCT(($D$164:$H$164=2)*($D186:$H186&gt;0))&gt;0,2,IF(SUMPRODUCT(($D$164:$H$164=3)*($D186:$H186&gt;0))&gt;0,3,IF(SUMPRODUCT(($D$164:$H$164=4)*($D186:$H186&gt;0))&gt;0,4,IF(SUMPRODUCT(($D$164:$H$164=5)*($D186:$H186&gt;0))&gt;0,5,0)))))</f>
        <v/>
      </c>
      <c r="J186" s="305" t="n">
        <v>0</v>
      </c>
      <c r="K186" s="305">
        <f>IF(D186&lt;=0,0,MIN(ROUND(D186*(1+D$162/12),2),D$163+IF(D$164=$I186,$J186,0)))</f>
        <v/>
      </c>
      <c r="L186" s="305">
        <f>IF(E186&lt;=0,0,MIN(ROUND(E186*(1+E$162/12),2),E$163+IF(E$164=$I186,$J186,0)))</f>
        <v/>
      </c>
      <c r="M186" s="305">
        <f>IF(F186&lt;=0,0,MIN(ROUND(F186*(1+F$162/12),2),F$163+IF(F$164=$I186,$J186,0)))</f>
        <v/>
      </c>
      <c r="N186" s="305">
        <f>IF(G186&lt;=0,0,MIN(ROUND(G186*(1+G$162/12),2),G$163+IF(G$164=$I186,$J186,0)))</f>
        <v/>
      </c>
      <c r="O186" s="305">
        <f>IF(H186&lt;=0,0,MIN(ROUND(H186*(1+H$162/12),2),H$163+IF(H$164=$I186,$J186,0)))</f>
        <v/>
      </c>
      <c r="P186" s="305">
        <f>SUMPRODUCT($D186:$H186,$D$162:$H$162)/12</f>
        <v/>
      </c>
      <c r="Q186" s="305">
        <f>SUM($K186:$O186)</f>
        <v/>
      </c>
      <c r="R186" s="306">
        <f>SUM($D186:$H186)</f>
        <v/>
      </c>
      <c r="S186" s="1" t="n"/>
      <c r="T186" s="1" t="n"/>
      <c r="U186" s="1" t="n"/>
      <c r="V186" s="1" t="n"/>
      <c r="W186" s="1" t="n"/>
      <c r="X186" s="1" t="n"/>
      <c r="Y186" s="1" t="n"/>
      <c r="Z186" s="1" t="n"/>
    </row>
    <row r="187" ht="15.75" customHeight="1" s="311">
      <c r="A187" s="1" t="n"/>
      <c r="B187" s="303" t="n">
        <v>22</v>
      </c>
      <c r="C187" s="304">
        <f>EDATE(TODAY(),21)</f>
        <v/>
      </c>
      <c r="D187" s="305">
        <f>MAX(0,ROUND(D186*(1+D$162/12)-K186,2))</f>
        <v/>
      </c>
      <c r="E187" s="305">
        <f>MAX(0,ROUND(E186*(1+E$162/12)-L186,2))</f>
        <v/>
      </c>
      <c r="F187" s="305">
        <f>MAX(0,ROUND(F186*(1+F$162/12)-M186,2))</f>
        <v/>
      </c>
      <c r="G187" s="305">
        <f>MAX(0,ROUND(G186*(1+G$162/12)-N186,2))</f>
        <v/>
      </c>
      <c r="H187" s="305">
        <f>MAX(0,ROUND(H186*(1+H$162/12)-O186,2))</f>
        <v/>
      </c>
      <c r="I187" s="303">
        <f>IF(SUMPRODUCT(($D$164:$H$164=1)*($D187:$H187&gt;0))&gt;0,1,IF(SUMPRODUCT(($D$164:$H$164=2)*($D187:$H187&gt;0))&gt;0,2,IF(SUMPRODUCT(($D$164:$H$164=3)*($D187:$H187&gt;0))&gt;0,3,IF(SUMPRODUCT(($D$164:$H$164=4)*($D187:$H187&gt;0))&gt;0,4,IF(SUMPRODUCT(($D$164:$H$164=5)*($D187:$H187&gt;0))&gt;0,5,0)))))</f>
        <v/>
      </c>
      <c r="J187" s="305" t="n">
        <v>0</v>
      </c>
      <c r="K187" s="305">
        <f>IF(D187&lt;=0,0,MIN(ROUND(D187*(1+D$162/12),2),D$163+IF(D$164=$I187,$J187,0)))</f>
        <v/>
      </c>
      <c r="L187" s="305">
        <f>IF(E187&lt;=0,0,MIN(ROUND(E187*(1+E$162/12),2),E$163+IF(E$164=$I187,$J187,0)))</f>
        <v/>
      </c>
      <c r="M187" s="305">
        <f>IF(F187&lt;=0,0,MIN(ROUND(F187*(1+F$162/12),2),F$163+IF(F$164=$I187,$J187,0)))</f>
        <v/>
      </c>
      <c r="N187" s="305">
        <f>IF(G187&lt;=0,0,MIN(ROUND(G187*(1+G$162/12),2),G$163+IF(G$164=$I187,$J187,0)))</f>
        <v/>
      </c>
      <c r="O187" s="305">
        <f>IF(H187&lt;=0,0,MIN(ROUND(H187*(1+H$162/12),2),H$163+IF(H$164=$I187,$J187,0)))</f>
        <v/>
      </c>
      <c r="P187" s="305">
        <f>SUMPRODUCT($D187:$H187,$D$162:$H$162)/12</f>
        <v/>
      </c>
      <c r="Q187" s="305">
        <f>SUM($K187:$O187)</f>
        <v/>
      </c>
      <c r="R187" s="306">
        <f>SUM($D187:$H187)</f>
        <v/>
      </c>
      <c r="S187" s="1" t="n"/>
      <c r="T187" s="1" t="n"/>
      <c r="U187" s="1" t="n"/>
      <c r="V187" s="1" t="n"/>
      <c r="W187" s="1" t="n"/>
      <c r="X187" s="1" t="n"/>
      <c r="Y187" s="1" t="n"/>
      <c r="Z187" s="1" t="n"/>
    </row>
    <row r="188" ht="15.75" customHeight="1" s="311">
      <c r="A188" s="1" t="n"/>
      <c r="B188" s="303" t="n">
        <v>23</v>
      </c>
      <c r="C188" s="304">
        <f>EDATE(TODAY(),22)</f>
        <v/>
      </c>
      <c r="D188" s="305">
        <f>MAX(0,ROUND(D187*(1+D$162/12)-K187,2))</f>
        <v/>
      </c>
      <c r="E188" s="305">
        <f>MAX(0,ROUND(E187*(1+E$162/12)-L187,2))</f>
        <v/>
      </c>
      <c r="F188" s="305">
        <f>MAX(0,ROUND(F187*(1+F$162/12)-M187,2))</f>
        <v/>
      </c>
      <c r="G188" s="305">
        <f>MAX(0,ROUND(G187*(1+G$162/12)-N187,2))</f>
        <v/>
      </c>
      <c r="H188" s="305">
        <f>MAX(0,ROUND(H187*(1+H$162/12)-O187,2))</f>
        <v/>
      </c>
      <c r="I188" s="303">
        <f>IF(SUMPRODUCT(($D$164:$H$164=1)*($D188:$H188&gt;0))&gt;0,1,IF(SUMPRODUCT(($D$164:$H$164=2)*($D188:$H188&gt;0))&gt;0,2,IF(SUMPRODUCT(($D$164:$H$164=3)*($D188:$H188&gt;0))&gt;0,3,IF(SUMPRODUCT(($D$164:$H$164=4)*($D188:$H188&gt;0))&gt;0,4,IF(SUMPRODUCT(($D$164:$H$164=5)*($D188:$H188&gt;0))&gt;0,5,0)))))</f>
        <v/>
      </c>
      <c r="J188" s="305" t="n">
        <v>0</v>
      </c>
      <c r="K188" s="305">
        <f>IF(D188&lt;=0,0,MIN(ROUND(D188*(1+D$162/12),2),D$163+IF(D$164=$I188,$J188,0)))</f>
        <v/>
      </c>
      <c r="L188" s="305">
        <f>IF(E188&lt;=0,0,MIN(ROUND(E188*(1+E$162/12),2),E$163+IF(E$164=$I188,$J188,0)))</f>
        <v/>
      </c>
      <c r="M188" s="305">
        <f>IF(F188&lt;=0,0,MIN(ROUND(F188*(1+F$162/12),2),F$163+IF(F$164=$I188,$J188,0)))</f>
        <v/>
      </c>
      <c r="N188" s="305">
        <f>IF(G188&lt;=0,0,MIN(ROUND(G188*(1+G$162/12),2),G$163+IF(G$164=$I188,$J188,0)))</f>
        <v/>
      </c>
      <c r="O188" s="305">
        <f>IF(H188&lt;=0,0,MIN(ROUND(H188*(1+H$162/12),2),H$163+IF(H$164=$I188,$J188,0)))</f>
        <v/>
      </c>
      <c r="P188" s="305">
        <f>SUMPRODUCT($D188:$H188,$D$162:$H$162)/12</f>
        <v/>
      </c>
      <c r="Q188" s="305">
        <f>SUM($K188:$O188)</f>
        <v/>
      </c>
      <c r="R188" s="306">
        <f>SUM($D188:$H188)</f>
        <v/>
      </c>
      <c r="S188" s="1" t="n"/>
      <c r="T188" s="1" t="n"/>
      <c r="U188" s="1" t="n"/>
      <c r="V188" s="1" t="n"/>
      <c r="W188" s="1" t="n"/>
      <c r="X188" s="1" t="n"/>
      <c r="Y188" s="1" t="n"/>
      <c r="Z188" s="1" t="n"/>
    </row>
    <row r="189" ht="15.75" customHeight="1" s="311">
      <c r="A189" s="1" t="n"/>
      <c r="B189" s="303" t="n">
        <v>24</v>
      </c>
      <c r="C189" s="304">
        <f>EDATE(TODAY(),23)</f>
        <v/>
      </c>
      <c r="D189" s="305">
        <f>MAX(0,ROUND(D188*(1+D$162/12)-K188,2))</f>
        <v/>
      </c>
      <c r="E189" s="305">
        <f>MAX(0,ROUND(E188*(1+E$162/12)-L188,2))</f>
        <v/>
      </c>
      <c r="F189" s="305">
        <f>MAX(0,ROUND(F188*(1+F$162/12)-M188,2))</f>
        <v/>
      </c>
      <c r="G189" s="305">
        <f>MAX(0,ROUND(G188*(1+G$162/12)-N188,2))</f>
        <v/>
      </c>
      <c r="H189" s="305">
        <f>MAX(0,ROUND(H188*(1+H$162/12)-O188,2))</f>
        <v/>
      </c>
      <c r="I189" s="303">
        <f>IF(SUMPRODUCT(($D$164:$H$164=1)*($D189:$H189&gt;0))&gt;0,1,IF(SUMPRODUCT(($D$164:$H$164=2)*($D189:$H189&gt;0))&gt;0,2,IF(SUMPRODUCT(($D$164:$H$164=3)*($D189:$H189&gt;0))&gt;0,3,IF(SUMPRODUCT(($D$164:$H$164=4)*($D189:$H189&gt;0))&gt;0,4,IF(SUMPRODUCT(($D$164:$H$164=5)*($D189:$H189&gt;0))&gt;0,5,0)))))</f>
        <v/>
      </c>
      <c r="J189" s="305" t="n">
        <v>0</v>
      </c>
      <c r="K189" s="305">
        <f>IF(D189&lt;=0,0,MIN(ROUND(D189*(1+D$162/12),2),D$163+IF(D$164=$I189,$J189,0)))</f>
        <v/>
      </c>
      <c r="L189" s="305">
        <f>IF(E189&lt;=0,0,MIN(ROUND(E189*(1+E$162/12),2),E$163+IF(E$164=$I189,$J189,0)))</f>
        <v/>
      </c>
      <c r="M189" s="305">
        <f>IF(F189&lt;=0,0,MIN(ROUND(F189*(1+F$162/12),2),F$163+IF(F$164=$I189,$J189,0)))</f>
        <v/>
      </c>
      <c r="N189" s="305">
        <f>IF(G189&lt;=0,0,MIN(ROUND(G189*(1+G$162/12),2),G$163+IF(G$164=$I189,$J189,0)))</f>
        <v/>
      </c>
      <c r="O189" s="305">
        <f>IF(H189&lt;=0,0,MIN(ROUND(H189*(1+H$162/12),2),H$163+IF(H$164=$I189,$J189,0)))</f>
        <v/>
      </c>
      <c r="P189" s="305">
        <f>SUMPRODUCT($D189:$H189,$D$162:$H$162)/12</f>
        <v/>
      </c>
      <c r="Q189" s="305">
        <f>SUM($K189:$O189)</f>
        <v/>
      </c>
      <c r="R189" s="306">
        <f>SUM($D189:$H189)</f>
        <v/>
      </c>
      <c r="S189" s="1" t="n"/>
      <c r="T189" s="1" t="n"/>
      <c r="U189" s="1" t="n"/>
      <c r="V189" s="1" t="n"/>
      <c r="W189" s="1" t="n"/>
      <c r="X189" s="1" t="n"/>
      <c r="Y189" s="1" t="n"/>
      <c r="Z189" s="1" t="n"/>
    </row>
    <row r="190" ht="15.75" customHeight="1" s="311">
      <c r="A190" s="1" t="n"/>
      <c r="B190" s="303" t="n">
        <v>25</v>
      </c>
      <c r="C190" s="304">
        <f>EDATE(TODAY(),24)</f>
        <v/>
      </c>
      <c r="D190" s="305">
        <f>MAX(0,ROUND(D189*(1+D$162/12)-K189,2))</f>
        <v/>
      </c>
      <c r="E190" s="305">
        <f>MAX(0,ROUND(E189*(1+E$162/12)-L189,2))</f>
        <v/>
      </c>
      <c r="F190" s="305">
        <f>MAX(0,ROUND(F189*(1+F$162/12)-M189,2))</f>
        <v/>
      </c>
      <c r="G190" s="305">
        <f>MAX(0,ROUND(G189*(1+G$162/12)-N189,2))</f>
        <v/>
      </c>
      <c r="H190" s="305">
        <f>MAX(0,ROUND(H189*(1+H$162/12)-O189,2))</f>
        <v/>
      </c>
      <c r="I190" s="303">
        <f>IF(SUMPRODUCT(($D$164:$H$164=1)*($D190:$H190&gt;0))&gt;0,1,IF(SUMPRODUCT(($D$164:$H$164=2)*($D190:$H190&gt;0))&gt;0,2,IF(SUMPRODUCT(($D$164:$H$164=3)*($D190:$H190&gt;0))&gt;0,3,IF(SUMPRODUCT(($D$164:$H$164=4)*($D190:$H190&gt;0))&gt;0,4,IF(SUMPRODUCT(($D$164:$H$164=5)*($D190:$H190&gt;0))&gt;0,5,0)))))</f>
        <v/>
      </c>
      <c r="J190" s="305" t="n">
        <v>0</v>
      </c>
      <c r="K190" s="305">
        <f>IF(D190&lt;=0,0,MIN(ROUND(D190*(1+D$162/12),2),D$163+IF(D$164=$I190,$J190,0)))</f>
        <v/>
      </c>
      <c r="L190" s="305">
        <f>IF(E190&lt;=0,0,MIN(ROUND(E190*(1+E$162/12),2),E$163+IF(E$164=$I190,$J190,0)))</f>
        <v/>
      </c>
      <c r="M190" s="305">
        <f>IF(F190&lt;=0,0,MIN(ROUND(F190*(1+F$162/12),2),F$163+IF(F$164=$I190,$J190,0)))</f>
        <v/>
      </c>
      <c r="N190" s="305">
        <f>IF(G190&lt;=0,0,MIN(ROUND(G190*(1+G$162/12),2),G$163+IF(G$164=$I190,$J190,0)))</f>
        <v/>
      </c>
      <c r="O190" s="305">
        <f>IF(H190&lt;=0,0,MIN(ROUND(H190*(1+H$162/12),2),H$163+IF(H$164=$I190,$J190,0)))</f>
        <v/>
      </c>
      <c r="P190" s="305">
        <f>SUMPRODUCT($D190:$H190,$D$162:$H$162)/12</f>
        <v/>
      </c>
      <c r="Q190" s="305">
        <f>SUM($K190:$O190)</f>
        <v/>
      </c>
      <c r="R190" s="306">
        <f>SUM($D190:$H190)</f>
        <v/>
      </c>
      <c r="S190" s="1" t="n"/>
      <c r="T190" s="1" t="n"/>
      <c r="U190" s="1" t="n"/>
      <c r="V190" s="1" t="n"/>
      <c r="W190" s="1" t="n"/>
      <c r="X190" s="1" t="n"/>
      <c r="Y190" s="1" t="n"/>
      <c r="Z190" s="1" t="n"/>
    </row>
    <row r="191" ht="15.75" customHeight="1" s="311">
      <c r="A191" s="1" t="n"/>
      <c r="B191" s="303" t="n">
        <v>26</v>
      </c>
      <c r="C191" s="304">
        <f>EDATE(TODAY(),25)</f>
        <v/>
      </c>
      <c r="D191" s="305">
        <f>MAX(0,ROUND(D190*(1+D$162/12)-K190,2))</f>
        <v/>
      </c>
      <c r="E191" s="305">
        <f>MAX(0,ROUND(E190*(1+E$162/12)-L190,2))</f>
        <v/>
      </c>
      <c r="F191" s="305">
        <f>MAX(0,ROUND(F190*(1+F$162/12)-M190,2))</f>
        <v/>
      </c>
      <c r="G191" s="305">
        <f>MAX(0,ROUND(G190*(1+G$162/12)-N190,2))</f>
        <v/>
      </c>
      <c r="H191" s="305">
        <f>MAX(0,ROUND(H190*(1+H$162/12)-O190,2))</f>
        <v/>
      </c>
      <c r="I191" s="303">
        <f>IF(SUMPRODUCT(($D$164:$H$164=1)*($D191:$H191&gt;0))&gt;0,1,IF(SUMPRODUCT(($D$164:$H$164=2)*($D191:$H191&gt;0))&gt;0,2,IF(SUMPRODUCT(($D$164:$H$164=3)*($D191:$H191&gt;0))&gt;0,3,IF(SUMPRODUCT(($D$164:$H$164=4)*($D191:$H191&gt;0))&gt;0,4,IF(SUMPRODUCT(($D$164:$H$164=5)*($D191:$H191&gt;0))&gt;0,5,0)))))</f>
        <v/>
      </c>
      <c r="J191" s="305" t="n">
        <v>0</v>
      </c>
      <c r="K191" s="305">
        <f>IF(D191&lt;=0,0,MIN(ROUND(D191*(1+D$162/12),2),D$163+IF(D$164=$I191,$J191,0)))</f>
        <v/>
      </c>
      <c r="L191" s="305">
        <f>IF(E191&lt;=0,0,MIN(ROUND(E191*(1+E$162/12),2),E$163+IF(E$164=$I191,$J191,0)))</f>
        <v/>
      </c>
      <c r="M191" s="305">
        <f>IF(F191&lt;=0,0,MIN(ROUND(F191*(1+F$162/12),2),F$163+IF(F$164=$I191,$J191,0)))</f>
        <v/>
      </c>
      <c r="N191" s="305">
        <f>IF(G191&lt;=0,0,MIN(ROUND(G191*(1+G$162/12),2),G$163+IF(G$164=$I191,$J191,0)))</f>
        <v/>
      </c>
      <c r="O191" s="305">
        <f>IF(H191&lt;=0,0,MIN(ROUND(H191*(1+H$162/12),2),H$163+IF(H$164=$I191,$J191,0)))</f>
        <v/>
      </c>
      <c r="P191" s="305">
        <f>SUMPRODUCT($D191:$H191,$D$162:$H$162)/12</f>
        <v/>
      </c>
      <c r="Q191" s="305">
        <f>SUM($K191:$O191)</f>
        <v/>
      </c>
      <c r="R191" s="306">
        <f>SUM($D191:$H191)</f>
        <v/>
      </c>
      <c r="S191" s="1" t="n"/>
      <c r="T191" s="1" t="n"/>
      <c r="U191" s="1" t="n"/>
      <c r="V191" s="1" t="n"/>
      <c r="W191" s="1" t="n"/>
      <c r="X191" s="1" t="n"/>
      <c r="Y191" s="1" t="n"/>
      <c r="Z191" s="1" t="n"/>
    </row>
    <row r="192" ht="15.75" customHeight="1" s="311">
      <c r="A192" s="1" t="n"/>
      <c r="B192" s="303" t="n">
        <v>27</v>
      </c>
      <c r="C192" s="304">
        <f>EDATE(TODAY(),26)</f>
        <v/>
      </c>
      <c r="D192" s="305">
        <f>MAX(0,ROUND(D191*(1+D$162/12)-K191,2))</f>
        <v/>
      </c>
      <c r="E192" s="305">
        <f>MAX(0,ROUND(E191*(1+E$162/12)-L191,2))</f>
        <v/>
      </c>
      <c r="F192" s="305">
        <f>MAX(0,ROUND(F191*(1+F$162/12)-M191,2))</f>
        <v/>
      </c>
      <c r="G192" s="305">
        <f>MAX(0,ROUND(G191*(1+G$162/12)-N191,2))</f>
        <v/>
      </c>
      <c r="H192" s="305">
        <f>MAX(0,ROUND(H191*(1+H$162/12)-O191,2))</f>
        <v/>
      </c>
      <c r="I192" s="303">
        <f>IF(SUMPRODUCT(($D$164:$H$164=1)*($D192:$H192&gt;0))&gt;0,1,IF(SUMPRODUCT(($D$164:$H$164=2)*($D192:$H192&gt;0))&gt;0,2,IF(SUMPRODUCT(($D$164:$H$164=3)*($D192:$H192&gt;0))&gt;0,3,IF(SUMPRODUCT(($D$164:$H$164=4)*($D192:$H192&gt;0))&gt;0,4,IF(SUMPRODUCT(($D$164:$H$164=5)*($D192:$H192&gt;0))&gt;0,5,0)))))</f>
        <v/>
      </c>
      <c r="J192" s="305" t="n">
        <v>0</v>
      </c>
      <c r="K192" s="305">
        <f>IF(D192&lt;=0,0,MIN(ROUND(D192*(1+D$162/12),2),D$163+IF(D$164=$I192,$J192,0)))</f>
        <v/>
      </c>
      <c r="L192" s="305">
        <f>IF(E192&lt;=0,0,MIN(ROUND(E192*(1+E$162/12),2),E$163+IF(E$164=$I192,$J192,0)))</f>
        <v/>
      </c>
      <c r="M192" s="305">
        <f>IF(F192&lt;=0,0,MIN(ROUND(F192*(1+F$162/12),2),F$163+IF(F$164=$I192,$J192,0)))</f>
        <v/>
      </c>
      <c r="N192" s="305">
        <f>IF(G192&lt;=0,0,MIN(ROUND(G192*(1+G$162/12),2),G$163+IF(G$164=$I192,$J192,0)))</f>
        <v/>
      </c>
      <c r="O192" s="305">
        <f>IF(H192&lt;=0,0,MIN(ROUND(H192*(1+H$162/12),2),H$163+IF(H$164=$I192,$J192,0)))</f>
        <v/>
      </c>
      <c r="P192" s="305">
        <f>SUMPRODUCT($D192:$H192,$D$162:$H$162)/12</f>
        <v/>
      </c>
      <c r="Q192" s="305">
        <f>SUM($K192:$O192)</f>
        <v/>
      </c>
      <c r="R192" s="306">
        <f>SUM($D192:$H192)</f>
        <v/>
      </c>
      <c r="S192" s="1" t="n"/>
      <c r="T192" s="1" t="n"/>
      <c r="U192" s="1" t="n"/>
      <c r="V192" s="1" t="n"/>
      <c r="W192" s="1" t="n"/>
      <c r="X192" s="1" t="n"/>
      <c r="Y192" s="1" t="n"/>
      <c r="Z192" s="1" t="n"/>
    </row>
    <row r="193" ht="15.75" customHeight="1" s="311">
      <c r="A193" s="1" t="n"/>
      <c r="B193" s="303" t="n">
        <v>28</v>
      </c>
      <c r="C193" s="304">
        <f>EDATE(TODAY(),27)</f>
        <v/>
      </c>
      <c r="D193" s="305">
        <f>MAX(0,ROUND(D192*(1+D$162/12)-K192,2))</f>
        <v/>
      </c>
      <c r="E193" s="305">
        <f>MAX(0,ROUND(E192*(1+E$162/12)-L192,2))</f>
        <v/>
      </c>
      <c r="F193" s="305">
        <f>MAX(0,ROUND(F192*(1+F$162/12)-M192,2))</f>
        <v/>
      </c>
      <c r="G193" s="305">
        <f>MAX(0,ROUND(G192*(1+G$162/12)-N192,2))</f>
        <v/>
      </c>
      <c r="H193" s="305">
        <f>MAX(0,ROUND(H192*(1+H$162/12)-O192,2))</f>
        <v/>
      </c>
      <c r="I193" s="303">
        <f>IF(SUMPRODUCT(($D$164:$H$164=1)*($D193:$H193&gt;0))&gt;0,1,IF(SUMPRODUCT(($D$164:$H$164=2)*($D193:$H193&gt;0))&gt;0,2,IF(SUMPRODUCT(($D$164:$H$164=3)*($D193:$H193&gt;0))&gt;0,3,IF(SUMPRODUCT(($D$164:$H$164=4)*($D193:$H193&gt;0))&gt;0,4,IF(SUMPRODUCT(($D$164:$H$164=5)*($D193:$H193&gt;0))&gt;0,5,0)))))</f>
        <v/>
      </c>
      <c r="J193" s="305" t="n">
        <v>0</v>
      </c>
      <c r="K193" s="305">
        <f>IF(D193&lt;=0,0,MIN(ROUND(D193*(1+D$162/12),2),D$163+IF(D$164=$I193,$J193,0)))</f>
        <v/>
      </c>
      <c r="L193" s="305">
        <f>IF(E193&lt;=0,0,MIN(ROUND(E193*(1+E$162/12),2),E$163+IF(E$164=$I193,$J193,0)))</f>
        <v/>
      </c>
      <c r="M193" s="305">
        <f>IF(F193&lt;=0,0,MIN(ROUND(F193*(1+F$162/12),2),F$163+IF(F$164=$I193,$J193,0)))</f>
        <v/>
      </c>
      <c r="N193" s="305">
        <f>IF(G193&lt;=0,0,MIN(ROUND(G193*(1+G$162/12),2),G$163+IF(G$164=$I193,$J193,0)))</f>
        <v/>
      </c>
      <c r="O193" s="305">
        <f>IF(H193&lt;=0,0,MIN(ROUND(H193*(1+H$162/12),2),H$163+IF(H$164=$I193,$J193,0)))</f>
        <v/>
      </c>
      <c r="P193" s="305">
        <f>SUMPRODUCT($D193:$H193,$D$162:$H$162)/12</f>
        <v/>
      </c>
      <c r="Q193" s="305">
        <f>SUM($K193:$O193)</f>
        <v/>
      </c>
      <c r="R193" s="306">
        <f>SUM($D193:$H193)</f>
        <v/>
      </c>
      <c r="S193" s="1" t="n"/>
      <c r="T193" s="1" t="n"/>
      <c r="U193" s="1" t="n"/>
      <c r="V193" s="1" t="n"/>
      <c r="W193" s="1" t="n"/>
      <c r="X193" s="1" t="n"/>
      <c r="Y193" s="1" t="n"/>
      <c r="Z193" s="1" t="n"/>
    </row>
    <row r="194" ht="15.75" customHeight="1" s="311">
      <c r="A194" s="1" t="n"/>
      <c r="B194" s="303" t="n">
        <v>29</v>
      </c>
      <c r="C194" s="304">
        <f>EDATE(TODAY(),28)</f>
        <v/>
      </c>
      <c r="D194" s="305">
        <f>MAX(0,ROUND(D193*(1+D$162/12)-K193,2))</f>
        <v/>
      </c>
      <c r="E194" s="305">
        <f>MAX(0,ROUND(E193*(1+E$162/12)-L193,2))</f>
        <v/>
      </c>
      <c r="F194" s="305">
        <f>MAX(0,ROUND(F193*(1+F$162/12)-M193,2))</f>
        <v/>
      </c>
      <c r="G194" s="305">
        <f>MAX(0,ROUND(G193*(1+G$162/12)-N193,2))</f>
        <v/>
      </c>
      <c r="H194" s="305">
        <f>MAX(0,ROUND(H193*(1+H$162/12)-O193,2))</f>
        <v/>
      </c>
      <c r="I194" s="303">
        <f>IF(SUMPRODUCT(($D$164:$H$164=1)*($D194:$H194&gt;0))&gt;0,1,IF(SUMPRODUCT(($D$164:$H$164=2)*($D194:$H194&gt;0))&gt;0,2,IF(SUMPRODUCT(($D$164:$H$164=3)*($D194:$H194&gt;0))&gt;0,3,IF(SUMPRODUCT(($D$164:$H$164=4)*($D194:$H194&gt;0))&gt;0,4,IF(SUMPRODUCT(($D$164:$H$164=5)*($D194:$H194&gt;0))&gt;0,5,0)))))</f>
        <v/>
      </c>
      <c r="J194" s="305" t="n">
        <v>0</v>
      </c>
      <c r="K194" s="305">
        <f>IF(D194&lt;=0,0,MIN(ROUND(D194*(1+D$162/12),2),D$163+IF(D$164=$I194,$J194,0)))</f>
        <v/>
      </c>
      <c r="L194" s="305">
        <f>IF(E194&lt;=0,0,MIN(ROUND(E194*(1+E$162/12),2),E$163+IF(E$164=$I194,$J194,0)))</f>
        <v/>
      </c>
      <c r="M194" s="305">
        <f>IF(F194&lt;=0,0,MIN(ROUND(F194*(1+F$162/12),2),F$163+IF(F$164=$I194,$J194,0)))</f>
        <v/>
      </c>
      <c r="N194" s="305">
        <f>IF(G194&lt;=0,0,MIN(ROUND(G194*(1+G$162/12),2),G$163+IF(G$164=$I194,$J194,0)))</f>
        <v/>
      </c>
      <c r="O194" s="305">
        <f>IF(H194&lt;=0,0,MIN(ROUND(H194*(1+H$162/12),2),H$163+IF(H$164=$I194,$J194,0)))</f>
        <v/>
      </c>
      <c r="P194" s="305">
        <f>SUMPRODUCT($D194:$H194,$D$162:$H$162)/12</f>
        <v/>
      </c>
      <c r="Q194" s="305">
        <f>SUM($K194:$O194)</f>
        <v/>
      </c>
      <c r="R194" s="306">
        <f>SUM($D194:$H194)</f>
        <v/>
      </c>
      <c r="S194" s="1" t="n"/>
      <c r="T194" s="1" t="n"/>
      <c r="U194" s="1" t="n"/>
      <c r="V194" s="1" t="n"/>
      <c r="W194" s="1" t="n"/>
      <c r="X194" s="1" t="n"/>
      <c r="Y194" s="1" t="n"/>
      <c r="Z194" s="1" t="n"/>
    </row>
    <row r="195" ht="15.75" customHeight="1" s="311">
      <c r="A195" s="1" t="n"/>
      <c r="B195" s="303" t="n">
        <v>30</v>
      </c>
      <c r="C195" s="304">
        <f>EDATE(TODAY(),29)</f>
        <v/>
      </c>
      <c r="D195" s="305">
        <f>MAX(0,ROUND(D194*(1+D$162/12)-K194,2))</f>
        <v/>
      </c>
      <c r="E195" s="305">
        <f>MAX(0,ROUND(E194*(1+E$162/12)-L194,2))</f>
        <v/>
      </c>
      <c r="F195" s="305">
        <f>MAX(0,ROUND(F194*(1+F$162/12)-M194,2))</f>
        <v/>
      </c>
      <c r="G195" s="305">
        <f>MAX(0,ROUND(G194*(1+G$162/12)-N194,2))</f>
        <v/>
      </c>
      <c r="H195" s="305">
        <f>MAX(0,ROUND(H194*(1+H$162/12)-O194,2))</f>
        <v/>
      </c>
      <c r="I195" s="303">
        <f>IF(SUMPRODUCT(($D$164:$H$164=1)*($D195:$H195&gt;0))&gt;0,1,IF(SUMPRODUCT(($D$164:$H$164=2)*($D195:$H195&gt;0))&gt;0,2,IF(SUMPRODUCT(($D$164:$H$164=3)*($D195:$H195&gt;0))&gt;0,3,IF(SUMPRODUCT(($D$164:$H$164=4)*($D195:$H195&gt;0))&gt;0,4,IF(SUMPRODUCT(($D$164:$H$164=5)*($D195:$H195&gt;0))&gt;0,5,0)))))</f>
        <v/>
      </c>
      <c r="J195" s="305" t="n">
        <v>0</v>
      </c>
      <c r="K195" s="305">
        <f>IF(D195&lt;=0,0,MIN(ROUND(D195*(1+D$162/12),2),D$163+IF(D$164=$I195,$J195,0)))</f>
        <v/>
      </c>
      <c r="L195" s="305">
        <f>IF(E195&lt;=0,0,MIN(ROUND(E195*(1+E$162/12),2),E$163+IF(E$164=$I195,$J195,0)))</f>
        <v/>
      </c>
      <c r="M195" s="305">
        <f>IF(F195&lt;=0,0,MIN(ROUND(F195*(1+F$162/12),2),F$163+IF(F$164=$I195,$J195,0)))</f>
        <v/>
      </c>
      <c r="N195" s="305">
        <f>IF(G195&lt;=0,0,MIN(ROUND(G195*(1+G$162/12),2),G$163+IF(G$164=$I195,$J195,0)))</f>
        <v/>
      </c>
      <c r="O195" s="305">
        <f>IF(H195&lt;=0,0,MIN(ROUND(H195*(1+H$162/12),2),H$163+IF(H$164=$I195,$J195,0)))</f>
        <v/>
      </c>
      <c r="P195" s="305">
        <f>SUMPRODUCT($D195:$H195,$D$162:$H$162)/12</f>
        <v/>
      </c>
      <c r="Q195" s="305">
        <f>SUM($K195:$O195)</f>
        <v/>
      </c>
      <c r="R195" s="306">
        <f>SUM($D195:$H195)</f>
        <v/>
      </c>
      <c r="S195" s="1" t="n"/>
      <c r="T195" s="1" t="n"/>
      <c r="U195" s="1" t="n"/>
      <c r="V195" s="1" t="n"/>
      <c r="W195" s="1" t="n"/>
      <c r="X195" s="1" t="n"/>
      <c r="Y195" s="1" t="n"/>
      <c r="Z195" s="1" t="n"/>
    </row>
    <row r="196" ht="15.75" customHeight="1" s="311">
      <c r="A196" s="1" t="n"/>
      <c r="B196" s="303" t="n">
        <v>31</v>
      </c>
      <c r="C196" s="304">
        <f>EDATE(TODAY(),30)</f>
        <v/>
      </c>
      <c r="D196" s="305">
        <f>MAX(0,ROUND(D195*(1+D$162/12)-K195,2))</f>
        <v/>
      </c>
      <c r="E196" s="305">
        <f>MAX(0,ROUND(E195*(1+E$162/12)-L195,2))</f>
        <v/>
      </c>
      <c r="F196" s="305">
        <f>MAX(0,ROUND(F195*(1+F$162/12)-M195,2))</f>
        <v/>
      </c>
      <c r="G196" s="305">
        <f>MAX(0,ROUND(G195*(1+G$162/12)-N195,2))</f>
        <v/>
      </c>
      <c r="H196" s="305">
        <f>MAX(0,ROUND(H195*(1+H$162/12)-O195,2))</f>
        <v/>
      </c>
      <c r="I196" s="303">
        <f>IF(SUMPRODUCT(($D$164:$H$164=1)*($D196:$H196&gt;0))&gt;0,1,IF(SUMPRODUCT(($D$164:$H$164=2)*($D196:$H196&gt;0))&gt;0,2,IF(SUMPRODUCT(($D$164:$H$164=3)*($D196:$H196&gt;0))&gt;0,3,IF(SUMPRODUCT(($D$164:$H$164=4)*($D196:$H196&gt;0))&gt;0,4,IF(SUMPRODUCT(($D$164:$H$164=5)*($D196:$H196&gt;0))&gt;0,5,0)))))</f>
        <v/>
      </c>
      <c r="J196" s="305" t="n">
        <v>0</v>
      </c>
      <c r="K196" s="305">
        <f>IF(D196&lt;=0,0,MIN(ROUND(D196*(1+D$162/12),2),D$163+IF(D$164=$I196,$J196,0)))</f>
        <v/>
      </c>
      <c r="L196" s="305">
        <f>IF(E196&lt;=0,0,MIN(ROUND(E196*(1+E$162/12),2),E$163+IF(E$164=$I196,$J196,0)))</f>
        <v/>
      </c>
      <c r="M196" s="305">
        <f>IF(F196&lt;=0,0,MIN(ROUND(F196*(1+F$162/12),2),F$163+IF(F$164=$I196,$J196,0)))</f>
        <v/>
      </c>
      <c r="N196" s="305">
        <f>IF(G196&lt;=0,0,MIN(ROUND(G196*(1+G$162/12),2),G$163+IF(G$164=$I196,$J196,0)))</f>
        <v/>
      </c>
      <c r="O196" s="305">
        <f>IF(H196&lt;=0,0,MIN(ROUND(H196*(1+H$162/12),2),H$163+IF(H$164=$I196,$J196,0)))</f>
        <v/>
      </c>
      <c r="P196" s="305">
        <f>SUMPRODUCT($D196:$H196,$D$162:$H$162)/12</f>
        <v/>
      </c>
      <c r="Q196" s="305">
        <f>SUM($K196:$O196)</f>
        <v/>
      </c>
      <c r="R196" s="306">
        <f>SUM($D196:$H196)</f>
        <v/>
      </c>
      <c r="S196" s="1" t="n"/>
      <c r="T196" s="1" t="n"/>
      <c r="U196" s="1" t="n"/>
      <c r="V196" s="1" t="n"/>
      <c r="W196" s="1" t="n"/>
      <c r="X196" s="1" t="n"/>
      <c r="Y196" s="1" t="n"/>
      <c r="Z196" s="1" t="n"/>
    </row>
    <row r="197" ht="15.75" customHeight="1" s="311">
      <c r="A197" s="1" t="n"/>
      <c r="B197" s="303" t="n">
        <v>32</v>
      </c>
      <c r="C197" s="304">
        <f>EDATE(TODAY(),31)</f>
        <v/>
      </c>
      <c r="D197" s="305">
        <f>MAX(0,ROUND(D196*(1+D$162/12)-K196,2))</f>
        <v/>
      </c>
      <c r="E197" s="305">
        <f>MAX(0,ROUND(E196*(1+E$162/12)-L196,2))</f>
        <v/>
      </c>
      <c r="F197" s="305">
        <f>MAX(0,ROUND(F196*(1+F$162/12)-M196,2))</f>
        <v/>
      </c>
      <c r="G197" s="305">
        <f>MAX(0,ROUND(G196*(1+G$162/12)-N196,2))</f>
        <v/>
      </c>
      <c r="H197" s="305">
        <f>MAX(0,ROUND(H196*(1+H$162/12)-O196,2))</f>
        <v/>
      </c>
      <c r="I197" s="303">
        <f>IF(SUMPRODUCT(($D$164:$H$164=1)*($D197:$H197&gt;0))&gt;0,1,IF(SUMPRODUCT(($D$164:$H$164=2)*($D197:$H197&gt;0))&gt;0,2,IF(SUMPRODUCT(($D$164:$H$164=3)*($D197:$H197&gt;0))&gt;0,3,IF(SUMPRODUCT(($D$164:$H$164=4)*($D197:$H197&gt;0))&gt;0,4,IF(SUMPRODUCT(($D$164:$H$164=5)*($D197:$H197&gt;0))&gt;0,5,0)))))</f>
        <v/>
      </c>
      <c r="J197" s="305" t="n">
        <v>0</v>
      </c>
      <c r="K197" s="305">
        <f>IF(D197&lt;=0,0,MIN(ROUND(D197*(1+D$162/12),2),D$163+IF(D$164=$I197,$J197,0)))</f>
        <v/>
      </c>
      <c r="L197" s="305">
        <f>IF(E197&lt;=0,0,MIN(ROUND(E197*(1+E$162/12),2),E$163+IF(E$164=$I197,$J197,0)))</f>
        <v/>
      </c>
      <c r="M197" s="305">
        <f>IF(F197&lt;=0,0,MIN(ROUND(F197*(1+F$162/12),2),F$163+IF(F$164=$I197,$J197,0)))</f>
        <v/>
      </c>
      <c r="N197" s="305">
        <f>IF(G197&lt;=0,0,MIN(ROUND(G197*(1+G$162/12),2),G$163+IF(G$164=$I197,$J197,0)))</f>
        <v/>
      </c>
      <c r="O197" s="305">
        <f>IF(H197&lt;=0,0,MIN(ROUND(H197*(1+H$162/12),2),H$163+IF(H$164=$I197,$J197,0)))</f>
        <v/>
      </c>
      <c r="P197" s="305">
        <f>SUMPRODUCT($D197:$H197,$D$162:$H$162)/12</f>
        <v/>
      </c>
      <c r="Q197" s="305">
        <f>SUM($K197:$O197)</f>
        <v/>
      </c>
      <c r="R197" s="306">
        <f>SUM($D197:$H197)</f>
        <v/>
      </c>
      <c r="S197" s="1" t="n"/>
      <c r="T197" s="1" t="n"/>
      <c r="U197" s="1" t="n"/>
      <c r="V197" s="1" t="n"/>
      <c r="W197" s="1" t="n"/>
      <c r="X197" s="1" t="n"/>
      <c r="Y197" s="1" t="n"/>
      <c r="Z197" s="1" t="n"/>
    </row>
    <row r="198" ht="15.75" customHeight="1" s="311">
      <c r="A198" s="1" t="n"/>
      <c r="B198" s="303" t="n">
        <v>33</v>
      </c>
      <c r="C198" s="304">
        <f>EDATE(TODAY(),32)</f>
        <v/>
      </c>
      <c r="D198" s="305">
        <f>MAX(0,ROUND(D197*(1+D$162/12)-K197,2))</f>
        <v/>
      </c>
      <c r="E198" s="305">
        <f>MAX(0,ROUND(E197*(1+E$162/12)-L197,2))</f>
        <v/>
      </c>
      <c r="F198" s="305">
        <f>MAX(0,ROUND(F197*(1+F$162/12)-M197,2))</f>
        <v/>
      </c>
      <c r="G198" s="305">
        <f>MAX(0,ROUND(G197*(1+G$162/12)-N197,2))</f>
        <v/>
      </c>
      <c r="H198" s="305">
        <f>MAX(0,ROUND(H197*(1+H$162/12)-O197,2))</f>
        <v/>
      </c>
      <c r="I198" s="303">
        <f>IF(SUMPRODUCT(($D$164:$H$164=1)*($D198:$H198&gt;0))&gt;0,1,IF(SUMPRODUCT(($D$164:$H$164=2)*($D198:$H198&gt;0))&gt;0,2,IF(SUMPRODUCT(($D$164:$H$164=3)*($D198:$H198&gt;0))&gt;0,3,IF(SUMPRODUCT(($D$164:$H$164=4)*($D198:$H198&gt;0))&gt;0,4,IF(SUMPRODUCT(($D$164:$H$164=5)*($D198:$H198&gt;0))&gt;0,5,0)))))</f>
        <v/>
      </c>
      <c r="J198" s="305" t="n">
        <v>0</v>
      </c>
      <c r="K198" s="305">
        <f>IF(D198&lt;=0,0,MIN(ROUND(D198*(1+D$162/12),2),D$163+IF(D$164=$I198,$J198,0)))</f>
        <v/>
      </c>
      <c r="L198" s="305">
        <f>IF(E198&lt;=0,0,MIN(ROUND(E198*(1+E$162/12),2),E$163+IF(E$164=$I198,$J198,0)))</f>
        <v/>
      </c>
      <c r="M198" s="305">
        <f>IF(F198&lt;=0,0,MIN(ROUND(F198*(1+F$162/12),2),F$163+IF(F$164=$I198,$J198,0)))</f>
        <v/>
      </c>
      <c r="N198" s="305">
        <f>IF(G198&lt;=0,0,MIN(ROUND(G198*(1+G$162/12),2),G$163+IF(G$164=$I198,$J198,0)))</f>
        <v/>
      </c>
      <c r="O198" s="305">
        <f>IF(H198&lt;=0,0,MIN(ROUND(H198*(1+H$162/12),2),H$163+IF(H$164=$I198,$J198,0)))</f>
        <v/>
      </c>
      <c r="P198" s="305">
        <f>SUMPRODUCT($D198:$H198,$D$162:$H$162)/12</f>
        <v/>
      </c>
      <c r="Q198" s="305">
        <f>SUM($K198:$O198)</f>
        <v/>
      </c>
      <c r="R198" s="306">
        <f>SUM($D198:$H198)</f>
        <v/>
      </c>
      <c r="S198" s="1" t="n"/>
      <c r="T198" s="1" t="n"/>
      <c r="U198" s="1" t="n"/>
      <c r="V198" s="1" t="n"/>
      <c r="W198" s="1" t="n"/>
      <c r="X198" s="1" t="n"/>
      <c r="Y198" s="1" t="n"/>
      <c r="Z198" s="1" t="n"/>
    </row>
    <row r="199" ht="15.75" customHeight="1" s="311">
      <c r="A199" s="1" t="n"/>
      <c r="B199" s="303" t="n">
        <v>34</v>
      </c>
      <c r="C199" s="304">
        <f>EDATE(TODAY(),33)</f>
        <v/>
      </c>
      <c r="D199" s="305">
        <f>MAX(0,ROUND(D198*(1+D$162/12)-K198,2))</f>
        <v/>
      </c>
      <c r="E199" s="305">
        <f>MAX(0,ROUND(E198*(1+E$162/12)-L198,2))</f>
        <v/>
      </c>
      <c r="F199" s="305">
        <f>MAX(0,ROUND(F198*(1+F$162/12)-M198,2))</f>
        <v/>
      </c>
      <c r="G199" s="305">
        <f>MAX(0,ROUND(G198*(1+G$162/12)-N198,2))</f>
        <v/>
      </c>
      <c r="H199" s="305">
        <f>MAX(0,ROUND(H198*(1+H$162/12)-O198,2))</f>
        <v/>
      </c>
      <c r="I199" s="303">
        <f>IF(SUMPRODUCT(($D$164:$H$164=1)*($D199:$H199&gt;0))&gt;0,1,IF(SUMPRODUCT(($D$164:$H$164=2)*($D199:$H199&gt;0))&gt;0,2,IF(SUMPRODUCT(($D$164:$H$164=3)*($D199:$H199&gt;0))&gt;0,3,IF(SUMPRODUCT(($D$164:$H$164=4)*($D199:$H199&gt;0))&gt;0,4,IF(SUMPRODUCT(($D$164:$H$164=5)*($D199:$H199&gt;0))&gt;0,5,0)))))</f>
        <v/>
      </c>
      <c r="J199" s="305" t="n">
        <v>0</v>
      </c>
      <c r="K199" s="305">
        <f>IF(D199&lt;=0,0,MIN(ROUND(D199*(1+D$162/12),2),D$163+IF(D$164=$I199,$J199,0)))</f>
        <v/>
      </c>
      <c r="L199" s="305">
        <f>IF(E199&lt;=0,0,MIN(ROUND(E199*(1+E$162/12),2),E$163+IF(E$164=$I199,$J199,0)))</f>
        <v/>
      </c>
      <c r="M199" s="305">
        <f>IF(F199&lt;=0,0,MIN(ROUND(F199*(1+F$162/12),2),F$163+IF(F$164=$I199,$J199,0)))</f>
        <v/>
      </c>
      <c r="N199" s="305">
        <f>IF(G199&lt;=0,0,MIN(ROUND(G199*(1+G$162/12),2),G$163+IF(G$164=$I199,$J199,0)))</f>
        <v/>
      </c>
      <c r="O199" s="305">
        <f>IF(H199&lt;=0,0,MIN(ROUND(H199*(1+H$162/12),2),H$163+IF(H$164=$I199,$J199,0)))</f>
        <v/>
      </c>
      <c r="P199" s="305">
        <f>SUMPRODUCT($D199:$H199,$D$162:$H$162)/12</f>
        <v/>
      </c>
      <c r="Q199" s="305">
        <f>SUM($K199:$O199)</f>
        <v/>
      </c>
      <c r="R199" s="306">
        <f>SUM($D199:$H199)</f>
        <v/>
      </c>
      <c r="S199" s="1" t="n"/>
      <c r="T199" s="1" t="n"/>
      <c r="U199" s="1" t="n"/>
      <c r="V199" s="1" t="n"/>
      <c r="W199" s="1" t="n"/>
      <c r="X199" s="1" t="n"/>
      <c r="Y199" s="1" t="n"/>
      <c r="Z199" s="1" t="n"/>
    </row>
    <row r="200" ht="15.75" customHeight="1" s="311">
      <c r="A200" s="1" t="n"/>
      <c r="B200" s="303" t="n">
        <v>35</v>
      </c>
      <c r="C200" s="304">
        <f>EDATE(TODAY(),34)</f>
        <v/>
      </c>
      <c r="D200" s="305">
        <f>MAX(0,ROUND(D199*(1+D$162/12)-K199,2))</f>
        <v/>
      </c>
      <c r="E200" s="305">
        <f>MAX(0,ROUND(E199*(1+E$162/12)-L199,2))</f>
        <v/>
      </c>
      <c r="F200" s="305">
        <f>MAX(0,ROUND(F199*(1+F$162/12)-M199,2))</f>
        <v/>
      </c>
      <c r="G200" s="305">
        <f>MAX(0,ROUND(G199*(1+G$162/12)-N199,2))</f>
        <v/>
      </c>
      <c r="H200" s="305">
        <f>MAX(0,ROUND(H199*(1+H$162/12)-O199,2))</f>
        <v/>
      </c>
      <c r="I200" s="303">
        <f>IF(SUMPRODUCT(($D$164:$H$164=1)*($D200:$H200&gt;0))&gt;0,1,IF(SUMPRODUCT(($D$164:$H$164=2)*($D200:$H200&gt;0))&gt;0,2,IF(SUMPRODUCT(($D$164:$H$164=3)*($D200:$H200&gt;0))&gt;0,3,IF(SUMPRODUCT(($D$164:$H$164=4)*($D200:$H200&gt;0))&gt;0,4,IF(SUMPRODUCT(($D$164:$H$164=5)*($D200:$H200&gt;0))&gt;0,5,0)))))</f>
        <v/>
      </c>
      <c r="J200" s="305" t="n">
        <v>0</v>
      </c>
      <c r="K200" s="305">
        <f>IF(D200&lt;=0,0,MIN(ROUND(D200*(1+D$162/12),2),D$163+IF(D$164=$I200,$J200,0)))</f>
        <v/>
      </c>
      <c r="L200" s="305">
        <f>IF(E200&lt;=0,0,MIN(ROUND(E200*(1+E$162/12),2),E$163+IF(E$164=$I200,$J200,0)))</f>
        <v/>
      </c>
      <c r="M200" s="305">
        <f>IF(F200&lt;=0,0,MIN(ROUND(F200*(1+F$162/12),2),F$163+IF(F$164=$I200,$J200,0)))</f>
        <v/>
      </c>
      <c r="N200" s="305">
        <f>IF(G200&lt;=0,0,MIN(ROUND(G200*(1+G$162/12),2),G$163+IF(G$164=$I200,$J200,0)))</f>
        <v/>
      </c>
      <c r="O200" s="305">
        <f>IF(H200&lt;=0,0,MIN(ROUND(H200*(1+H$162/12),2),H$163+IF(H$164=$I200,$J200,0)))</f>
        <v/>
      </c>
      <c r="P200" s="305">
        <f>SUMPRODUCT($D200:$H200,$D$162:$H$162)/12</f>
        <v/>
      </c>
      <c r="Q200" s="305">
        <f>SUM($K200:$O200)</f>
        <v/>
      </c>
      <c r="R200" s="306">
        <f>SUM($D200:$H200)</f>
        <v/>
      </c>
      <c r="S200" s="1" t="n"/>
      <c r="T200" s="1" t="n"/>
      <c r="U200" s="1" t="n"/>
      <c r="V200" s="1" t="n"/>
      <c r="W200" s="1" t="n"/>
      <c r="X200" s="1" t="n"/>
      <c r="Y200" s="1" t="n"/>
      <c r="Z200" s="1" t="n"/>
    </row>
    <row r="201" ht="15.75" customHeight="1" s="311">
      <c r="A201" s="1" t="n"/>
      <c r="B201" s="303" t="n">
        <v>36</v>
      </c>
      <c r="C201" s="304">
        <f>EDATE(TODAY(),35)</f>
        <v/>
      </c>
      <c r="D201" s="305">
        <f>MAX(0,ROUND(D200*(1+D$162/12)-K200,2))</f>
        <v/>
      </c>
      <c r="E201" s="305">
        <f>MAX(0,ROUND(E200*(1+E$162/12)-L200,2))</f>
        <v/>
      </c>
      <c r="F201" s="305">
        <f>MAX(0,ROUND(F200*(1+F$162/12)-M200,2))</f>
        <v/>
      </c>
      <c r="G201" s="305">
        <f>MAX(0,ROUND(G200*(1+G$162/12)-N200,2))</f>
        <v/>
      </c>
      <c r="H201" s="305">
        <f>MAX(0,ROUND(H200*(1+H$162/12)-O200,2))</f>
        <v/>
      </c>
      <c r="I201" s="303">
        <f>IF(SUMPRODUCT(($D$164:$H$164=1)*($D201:$H201&gt;0))&gt;0,1,IF(SUMPRODUCT(($D$164:$H$164=2)*($D201:$H201&gt;0))&gt;0,2,IF(SUMPRODUCT(($D$164:$H$164=3)*($D201:$H201&gt;0))&gt;0,3,IF(SUMPRODUCT(($D$164:$H$164=4)*($D201:$H201&gt;0))&gt;0,4,IF(SUMPRODUCT(($D$164:$H$164=5)*($D201:$H201&gt;0))&gt;0,5,0)))))</f>
        <v/>
      </c>
      <c r="J201" s="305" t="n">
        <v>0</v>
      </c>
      <c r="K201" s="305">
        <f>IF(D201&lt;=0,0,MIN(ROUND(D201*(1+D$162/12),2),D$163+IF(D$164=$I201,$J201,0)))</f>
        <v/>
      </c>
      <c r="L201" s="305">
        <f>IF(E201&lt;=0,0,MIN(ROUND(E201*(1+E$162/12),2),E$163+IF(E$164=$I201,$J201,0)))</f>
        <v/>
      </c>
      <c r="M201" s="305">
        <f>IF(F201&lt;=0,0,MIN(ROUND(F201*(1+F$162/12),2),F$163+IF(F$164=$I201,$J201,0)))</f>
        <v/>
      </c>
      <c r="N201" s="305">
        <f>IF(G201&lt;=0,0,MIN(ROUND(G201*(1+G$162/12),2),G$163+IF(G$164=$I201,$J201,0)))</f>
        <v/>
      </c>
      <c r="O201" s="305">
        <f>IF(H201&lt;=0,0,MIN(ROUND(H201*(1+H$162/12),2),H$163+IF(H$164=$I201,$J201,0)))</f>
        <v/>
      </c>
      <c r="P201" s="305">
        <f>SUMPRODUCT($D201:$H201,$D$162:$H$162)/12</f>
        <v/>
      </c>
      <c r="Q201" s="305">
        <f>SUM($K201:$O201)</f>
        <v/>
      </c>
      <c r="R201" s="306">
        <f>SUM($D201:$H201)</f>
        <v/>
      </c>
      <c r="S201" s="1" t="n"/>
      <c r="T201" s="1" t="n"/>
      <c r="U201" s="1" t="n"/>
      <c r="V201" s="1" t="n"/>
      <c r="W201" s="1" t="n"/>
      <c r="X201" s="1" t="n"/>
      <c r="Y201" s="1" t="n"/>
      <c r="Z201" s="1" t="n"/>
    </row>
    <row r="202" ht="15.75" customHeight="1" s="311">
      <c r="A202" s="1" t="n"/>
      <c r="B202" s="303" t="n">
        <v>37</v>
      </c>
      <c r="C202" s="304">
        <f>EDATE(TODAY(),36)</f>
        <v/>
      </c>
      <c r="D202" s="305">
        <f>MAX(0,ROUND(D201*(1+D$162/12)-K201,2))</f>
        <v/>
      </c>
      <c r="E202" s="305">
        <f>MAX(0,ROUND(E201*(1+E$162/12)-L201,2))</f>
        <v/>
      </c>
      <c r="F202" s="305">
        <f>MAX(0,ROUND(F201*(1+F$162/12)-M201,2))</f>
        <v/>
      </c>
      <c r="G202" s="305">
        <f>MAX(0,ROUND(G201*(1+G$162/12)-N201,2))</f>
        <v/>
      </c>
      <c r="H202" s="305">
        <f>MAX(0,ROUND(H201*(1+H$162/12)-O201,2))</f>
        <v/>
      </c>
      <c r="I202" s="303">
        <f>IF(SUMPRODUCT(($D$164:$H$164=1)*($D202:$H202&gt;0))&gt;0,1,IF(SUMPRODUCT(($D$164:$H$164=2)*($D202:$H202&gt;0))&gt;0,2,IF(SUMPRODUCT(($D$164:$H$164=3)*($D202:$H202&gt;0))&gt;0,3,IF(SUMPRODUCT(($D$164:$H$164=4)*($D202:$H202&gt;0))&gt;0,4,IF(SUMPRODUCT(($D$164:$H$164=5)*($D202:$H202&gt;0))&gt;0,5,0)))))</f>
        <v/>
      </c>
      <c r="J202" s="305" t="n">
        <v>0</v>
      </c>
      <c r="K202" s="305">
        <f>IF(D202&lt;=0,0,MIN(ROUND(D202*(1+D$162/12),2),D$163+IF(D$164=$I202,$J202,0)))</f>
        <v/>
      </c>
      <c r="L202" s="305">
        <f>IF(E202&lt;=0,0,MIN(ROUND(E202*(1+E$162/12),2),E$163+IF(E$164=$I202,$J202,0)))</f>
        <v/>
      </c>
      <c r="M202" s="305">
        <f>IF(F202&lt;=0,0,MIN(ROUND(F202*(1+F$162/12),2),F$163+IF(F$164=$I202,$J202,0)))</f>
        <v/>
      </c>
      <c r="N202" s="305">
        <f>IF(G202&lt;=0,0,MIN(ROUND(G202*(1+G$162/12),2),G$163+IF(G$164=$I202,$J202,0)))</f>
        <v/>
      </c>
      <c r="O202" s="305">
        <f>IF(H202&lt;=0,0,MIN(ROUND(H202*(1+H$162/12),2),H$163+IF(H$164=$I202,$J202,0)))</f>
        <v/>
      </c>
      <c r="P202" s="305">
        <f>SUMPRODUCT($D202:$H202,$D$162:$H$162)/12</f>
        <v/>
      </c>
      <c r="Q202" s="305">
        <f>SUM($K202:$O202)</f>
        <v/>
      </c>
      <c r="R202" s="306">
        <f>SUM($D202:$H202)</f>
        <v/>
      </c>
      <c r="S202" s="1" t="n"/>
      <c r="T202" s="1" t="n"/>
      <c r="U202" s="1" t="n"/>
      <c r="V202" s="1" t="n"/>
      <c r="W202" s="1" t="n"/>
      <c r="X202" s="1" t="n"/>
      <c r="Y202" s="1" t="n"/>
      <c r="Z202" s="1" t="n"/>
    </row>
    <row r="203" ht="15.75" customHeight="1" s="311">
      <c r="A203" s="1" t="n"/>
      <c r="B203" s="303" t="n">
        <v>38</v>
      </c>
      <c r="C203" s="304">
        <f>EDATE(TODAY(),37)</f>
        <v/>
      </c>
      <c r="D203" s="305">
        <f>MAX(0,ROUND(D202*(1+D$162/12)-K202,2))</f>
        <v/>
      </c>
      <c r="E203" s="305">
        <f>MAX(0,ROUND(E202*(1+E$162/12)-L202,2))</f>
        <v/>
      </c>
      <c r="F203" s="305">
        <f>MAX(0,ROUND(F202*(1+F$162/12)-M202,2))</f>
        <v/>
      </c>
      <c r="G203" s="305">
        <f>MAX(0,ROUND(G202*(1+G$162/12)-N202,2))</f>
        <v/>
      </c>
      <c r="H203" s="305">
        <f>MAX(0,ROUND(H202*(1+H$162/12)-O202,2))</f>
        <v/>
      </c>
      <c r="I203" s="303">
        <f>IF(SUMPRODUCT(($D$164:$H$164=1)*($D203:$H203&gt;0))&gt;0,1,IF(SUMPRODUCT(($D$164:$H$164=2)*($D203:$H203&gt;0))&gt;0,2,IF(SUMPRODUCT(($D$164:$H$164=3)*($D203:$H203&gt;0))&gt;0,3,IF(SUMPRODUCT(($D$164:$H$164=4)*($D203:$H203&gt;0))&gt;0,4,IF(SUMPRODUCT(($D$164:$H$164=5)*($D203:$H203&gt;0))&gt;0,5,0)))))</f>
        <v/>
      </c>
      <c r="J203" s="305" t="n">
        <v>0</v>
      </c>
      <c r="K203" s="305">
        <f>IF(D203&lt;=0,0,MIN(ROUND(D203*(1+D$162/12),2),D$163+IF(D$164=$I203,$J203,0)))</f>
        <v/>
      </c>
      <c r="L203" s="305">
        <f>IF(E203&lt;=0,0,MIN(ROUND(E203*(1+E$162/12),2),E$163+IF(E$164=$I203,$J203,0)))</f>
        <v/>
      </c>
      <c r="M203" s="305">
        <f>IF(F203&lt;=0,0,MIN(ROUND(F203*(1+F$162/12),2),F$163+IF(F$164=$I203,$J203,0)))</f>
        <v/>
      </c>
      <c r="N203" s="305">
        <f>IF(G203&lt;=0,0,MIN(ROUND(G203*(1+G$162/12),2),G$163+IF(G$164=$I203,$J203,0)))</f>
        <v/>
      </c>
      <c r="O203" s="305">
        <f>IF(H203&lt;=0,0,MIN(ROUND(H203*(1+H$162/12),2),H$163+IF(H$164=$I203,$J203,0)))</f>
        <v/>
      </c>
      <c r="P203" s="305">
        <f>SUMPRODUCT($D203:$H203,$D$162:$H$162)/12</f>
        <v/>
      </c>
      <c r="Q203" s="305">
        <f>SUM($K203:$O203)</f>
        <v/>
      </c>
      <c r="R203" s="306">
        <f>SUM($D203:$H203)</f>
        <v/>
      </c>
      <c r="S203" s="1" t="n"/>
      <c r="T203" s="1" t="n"/>
      <c r="U203" s="1" t="n"/>
      <c r="V203" s="1" t="n"/>
      <c r="W203" s="1" t="n"/>
      <c r="X203" s="1" t="n"/>
      <c r="Y203" s="1" t="n"/>
      <c r="Z203" s="1" t="n"/>
    </row>
    <row r="204" ht="15.75" customHeight="1" s="311">
      <c r="A204" s="1" t="n"/>
      <c r="B204" s="303" t="n">
        <v>39</v>
      </c>
      <c r="C204" s="304">
        <f>EDATE(TODAY(),38)</f>
        <v/>
      </c>
      <c r="D204" s="305">
        <f>MAX(0,ROUND(D203*(1+D$162/12)-K203,2))</f>
        <v/>
      </c>
      <c r="E204" s="305">
        <f>MAX(0,ROUND(E203*(1+E$162/12)-L203,2))</f>
        <v/>
      </c>
      <c r="F204" s="305">
        <f>MAX(0,ROUND(F203*(1+F$162/12)-M203,2))</f>
        <v/>
      </c>
      <c r="G204" s="305">
        <f>MAX(0,ROUND(G203*(1+G$162/12)-N203,2))</f>
        <v/>
      </c>
      <c r="H204" s="305">
        <f>MAX(0,ROUND(H203*(1+H$162/12)-O203,2))</f>
        <v/>
      </c>
      <c r="I204" s="303">
        <f>IF(SUMPRODUCT(($D$164:$H$164=1)*($D204:$H204&gt;0))&gt;0,1,IF(SUMPRODUCT(($D$164:$H$164=2)*($D204:$H204&gt;0))&gt;0,2,IF(SUMPRODUCT(($D$164:$H$164=3)*($D204:$H204&gt;0))&gt;0,3,IF(SUMPRODUCT(($D$164:$H$164=4)*($D204:$H204&gt;0))&gt;0,4,IF(SUMPRODUCT(($D$164:$H$164=5)*($D204:$H204&gt;0))&gt;0,5,0)))))</f>
        <v/>
      </c>
      <c r="J204" s="305" t="n">
        <v>0</v>
      </c>
      <c r="K204" s="305">
        <f>IF(D204&lt;=0,0,MIN(ROUND(D204*(1+D$162/12),2),D$163+IF(D$164=$I204,$J204,0)))</f>
        <v/>
      </c>
      <c r="L204" s="305">
        <f>IF(E204&lt;=0,0,MIN(ROUND(E204*(1+E$162/12),2),E$163+IF(E$164=$I204,$J204,0)))</f>
        <v/>
      </c>
      <c r="M204" s="305">
        <f>IF(F204&lt;=0,0,MIN(ROUND(F204*(1+F$162/12),2),F$163+IF(F$164=$I204,$J204,0)))</f>
        <v/>
      </c>
      <c r="N204" s="305">
        <f>IF(G204&lt;=0,0,MIN(ROUND(G204*(1+G$162/12),2),G$163+IF(G$164=$I204,$J204,0)))</f>
        <v/>
      </c>
      <c r="O204" s="305">
        <f>IF(H204&lt;=0,0,MIN(ROUND(H204*(1+H$162/12),2),H$163+IF(H$164=$I204,$J204,0)))</f>
        <v/>
      </c>
      <c r="P204" s="305">
        <f>SUMPRODUCT($D204:$H204,$D$162:$H$162)/12</f>
        <v/>
      </c>
      <c r="Q204" s="305">
        <f>SUM($K204:$O204)</f>
        <v/>
      </c>
      <c r="R204" s="306">
        <f>SUM($D204:$H204)</f>
        <v/>
      </c>
      <c r="S204" s="1" t="n"/>
      <c r="T204" s="1" t="n"/>
      <c r="U204" s="1" t="n"/>
      <c r="V204" s="1" t="n"/>
      <c r="W204" s="1" t="n"/>
      <c r="X204" s="1" t="n"/>
      <c r="Y204" s="1" t="n"/>
      <c r="Z204" s="1" t="n"/>
    </row>
    <row r="205" ht="15.75" customHeight="1" s="311">
      <c r="A205" s="1" t="n"/>
      <c r="B205" s="303" t="n">
        <v>40</v>
      </c>
      <c r="C205" s="304">
        <f>EDATE(TODAY(),39)</f>
        <v/>
      </c>
      <c r="D205" s="305">
        <f>MAX(0,ROUND(D204*(1+D$162/12)-K204,2))</f>
        <v/>
      </c>
      <c r="E205" s="305">
        <f>MAX(0,ROUND(E204*(1+E$162/12)-L204,2))</f>
        <v/>
      </c>
      <c r="F205" s="305">
        <f>MAX(0,ROUND(F204*(1+F$162/12)-M204,2))</f>
        <v/>
      </c>
      <c r="G205" s="305">
        <f>MAX(0,ROUND(G204*(1+G$162/12)-N204,2))</f>
        <v/>
      </c>
      <c r="H205" s="305">
        <f>MAX(0,ROUND(H204*(1+H$162/12)-O204,2))</f>
        <v/>
      </c>
      <c r="I205" s="303">
        <f>IF(SUMPRODUCT(($D$164:$H$164=1)*($D205:$H205&gt;0))&gt;0,1,IF(SUMPRODUCT(($D$164:$H$164=2)*($D205:$H205&gt;0))&gt;0,2,IF(SUMPRODUCT(($D$164:$H$164=3)*($D205:$H205&gt;0))&gt;0,3,IF(SUMPRODUCT(($D$164:$H$164=4)*($D205:$H205&gt;0))&gt;0,4,IF(SUMPRODUCT(($D$164:$H$164=5)*($D205:$H205&gt;0))&gt;0,5,0)))))</f>
        <v/>
      </c>
      <c r="J205" s="305" t="n">
        <v>0</v>
      </c>
      <c r="K205" s="305">
        <f>IF(D205&lt;=0,0,MIN(ROUND(D205*(1+D$162/12),2),D$163+IF(D$164=$I205,$J205,0)))</f>
        <v/>
      </c>
      <c r="L205" s="305">
        <f>IF(E205&lt;=0,0,MIN(ROUND(E205*(1+E$162/12),2),E$163+IF(E$164=$I205,$J205,0)))</f>
        <v/>
      </c>
      <c r="M205" s="305">
        <f>IF(F205&lt;=0,0,MIN(ROUND(F205*(1+F$162/12),2),F$163+IF(F$164=$I205,$J205,0)))</f>
        <v/>
      </c>
      <c r="N205" s="305">
        <f>IF(G205&lt;=0,0,MIN(ROUND(G205*(1+G$162/12),2),G$163+IF(G$164=$I205,$J205,0)))</f>
        <v/>
      </c>
      <c r="O205" s="305">
        <f>IF(H205&lt;=0,0,MIN(ROUND(H205*(1+H$162/12),2),H$163+IF(H$164=$I205,$J205,0)))</f>
        <v/>
      </c>
      <c r="P205" s="305">
        <f>SUMPRODUCT($D205:$H205,$D$162:$H$162)/12</f>
        <v/>
      </c>
      <c r="Q205" s="305">
        <f>SUM($K205:$O205)</f>
        <v/>
      </c>
      <c r="R205" s="306">
        <f>SUM($D205:$H205)</f>
        <v/>
      </c>
      <c r="S205" s="1" t="n"/>
      <c r="T205" s="1" t="n"/>
      <c r="U205" s="1" t="n"/>
      <c r="V205" s="1" t="n"/>
      <c r="W205" s="1" t="n"/>
      <c r="X205" s="1" t="n"/>
      <c r="Y205" s="1" t="n"/>
      <c r="Z205" s="1" t="n"/>
    </row>
    <row r="206" ht="15.75" customHeight="1" s="311">
      <c r="A206" s="1" t="n"/>
      <c r="B206" s="303" t="n">
        <v>41</v>
      </c>
      <c r="C206" s="304">
        <f>EDATE(TODAY(),40)</f>
        <v/>
      </c>
      <c r="D206" s="305">
        <f>MAX(0,ROUND(D205*(1+D$162/12)-K205,2))</f>
        <v/>
      </c>
      <c r="E206" s="305">
        <f>MAX(0,ROUND(E205*(1+E$162/12)-L205,2))</f>
        <v/>
      </c>
      <c r="F206" s="305">
        <f>MAX(0,ROUND(F205*(1+F$162/12)-M205,2))</f>
        <v/>
      </c>
      <c r="G206" s="305">
        <f>MAX(0,ROUND(G205*(1+G$162/12)-N205,2))</f>
        <v/>
      </c>
      <c r="H206" s="305">
        <f>MAX(0,ROUND(H205*(1+H$162/12)-O205,2))</f>
        <v/>
      </c>
      <c r="I206" s="303">
        <f>IF(SUMPRODUCT(($D$164:$H$164=1)*($D206:$H206&gt;0))&gt;0,1,IF(SUMPRODUCT(($D$164:$H$164=2)*($D206:$H206&gt;0))&gt;0,2,IF(SUMPRODUCT(($D$164:$H$164=3)*($D206:$H206&gt;0))&gt;0,3,IF(SUMPRODUCT(($D$164:$H$164=4)*($D206:$H206&gt;0))&gt;0,4,IF(SUMPRODUCT(($D$164:$H$164=5)*($D206:$H206&gt;0))&gt;0,5,0)))))</f>
        <v/>
      </c>
      <c r="J206" s="305" t="n">
        <v>0</v>
      </c>
      <c r="K206" s="305">
        <f>IF(D206&lt;=0,0,MIN(ROUND(D206*(1+D$162/12),2),D$163+IF(D$164=$I206,$J206,0)))</f>
        <v/>
      </c>
      <c r="L206" s="305">
        <f>IF(E206&lt;=0,0,MIN(ROUND(E206*(1+E$162/12),2),E$163+IF(E$164=$I206,$J206,0)))</f>
        <v/>
      </c>
      <c r="M206" s="305">
        <f>IF(F206&lt;=0,0,MIN(ROUND(F206*(1+F$162/12),2),F$163+IF(F$164=$I206,$J206,0)))</f>
        <v/>
      </c>
      <c r="N206" s="305">
        <f>IF(G206&lt;=0,0,MIN(ROUND(G206*(1+G$162/12),2),G$163+IF(G$164=$I206,$J206,0)))</f>
        <v/>
      </c>
      <c r="O206" s="305">
        <f>IF(H206&lt;=0,0,MIN(ROUND(H206*(1+H$162/12),2),H$163+IF(H$164=$I206,$J206,0)))</f>
        <v/>
      </c>
      <c r="P206" s="305">
        <f>SUMPRODUCT($D206:$H206,$D$162:$H$162)/12</f>
        <v/>
      </c>
      <c r="Q206" s="305">
        <f>SUM($K206:$O206)</f>
        <v/>
      </c>
      <c r="R206" s="306">
        <f>SUM($D206:$H206)</f>
        <v/>
      </c>
      <c r="S206" s="1" t="n"/>
      <c r="T206" s="1" t="n"/>
      <c r="U206" s="1" t="n"/>
      <c r="V206" s="1" t="n"/>
      <c r="W206" s="1" t="n"/>
      <c r="X206" s="1" t="n"/>
      <c r="Y206" s="1" t="n"/>
      <c r="Z206" s="1" t="n"/>
    </row>
    <row r="207" ht="15.75" customHeight="1" s="311">
      <c r="A207" s="1" t="n"/>
      <c r="B207" s="303" t="n">
        <v>42</v>
      </c>
      <c r="C207" s="304">
        <f>EDATE(TODAY(),41)</f>
        <v/>
      </c>
      <c r="D207" s="305">
        <f>MAX(0,ROUND(D206*(1+D$162/12)-K206,2))</f>
        <v/>
      </c>
      <c r="E207" s="305">
        <f>MAX(0,ROUND(E206*(1+E$162/12)-L206,2))</f>
        <v/>
      </c>
      <c r="F207" s="305">
        <f>MAX(0,ROUND(F206*(1+F$162/12)-M206,2))</f>
        <v/>
      </c>
      <c r="G207" s="305">
        <f>MAX(0,ROUND(G206*(1+G$162/12)-N206,2))</f>
        <v/>
      </c>
      <c r="H207" s="305">
        <f>MAX(0,ROUND(H206*(1+H$162/12)-O206,2))</f>
        <v/>
      </c>
      <c r="I207" s="303">
        <f>IF(SUMPRODUCT(($D$164:$H$164=1)*($D207:$H207&gt;0))&gt;0,1,IF(SUMPRODUCT(($D$164:$H$164=2)*($D207:$H207&gt;0))&gt;0,2,IF(SUMPRODUCT(($D$164:$H$164=3)*($D207:$H207&gt;0))&gt;0,3,IF(SUMPRODUCT(($D$164:$H$164=4)*($D207:$H207&gt;0))&gt;0,4,IF(SUMPRODUCT(($D$164:$H$164=5)*($D207:$H207&gt;0))&gt;0,5,0)))))</f>
        <v/>
      </c>
      <c r="J207" s="305" t="n">
        <v>0</v>
      </c>
      <c r="K207" s="305">
        <f>IF(D207&lt;=0,0,MIN(ROUND(D207*(1+D$162/12),2),D$163+IF(D$164=$I207,$J207,0)))</f>
        <v/>
      </c>
      <c r="L207" s="305">
        <f>IF(E207&lt;=0,0,MIN(ROUND(E207*(1+E$162/12),2),E$163+IF(E$164=$I207,$J207,0)))</f>
        <v/>
      </c>
      <c r="M207" s="305">
        <f>IF(F207&lt;=0,0,MIN(ROUND(F207*(1+F$162/12),2),F$163+IF(F$164=$I207,$J207,0)))</f>
        <v/>
      </c>
      <c r="N207" s="305">
        <f>IF(G207&lt;=0,0,MIN(ROUND(G207*(1+G$162/12),2),G$163+IF(G$164=$I207,$J207,0)))</f>
        <v/>
      </c>
      <c r="O207" s="305">
        <f>IF(H207&lt;=0,0,MIN(ROUND(H207*(1+H$162/12),2),H$163+IF(H$164=$I207,$J207,0)))</f>
        <v/>
      </c>
      <c r="P207" s="305">
        <f>SUMPRODUCT($D207:$H207,$D$162:$H$162)/12</f>
        <v/>
      </c>
      <c r="Q207" s="305">
        <f>SUM($K207:$O207)</f>
        <v/>
      </c>
      <c r="R207" s="306">
        <f>SUM($D207:$H207)</f>
        <v/>
      </c>
      <c r="S207" s="1" t="n"/>
      <c r="T207" s="1" t="n"/>
      <c r="U207" s="1" t="n"/>
      <c r="V207" s="1" t="n"/>
      <c r="W207" s="1" t="n"/>
      <c r="X207" s="1" t="n"/>
      <c r="Y207" s="1" t="n"/>
      <c r="Z207" s="1" t="n"/>
    </row>
    <row r="208" ht="15.75" customHeight="1" s="311">
      <c r="A208" s="1" t="n"/>
      <c r="B208" s="303" t="n">
        <v>43</v>
      </c>
      <c r="C208" s="304">
        <f>EDATE(TODAY(),42)</f>
        <v/>
      </c>
      <c r="D208" s="305">
        <f>MAX(0,ROUND(D207*(1+D$162/12)-K207,2))</f>
        <v/>
      </c>
      <c r="E208" s="305">
        <f>MAX(0,ROUND(E207*(1+E$162/12)-L207,2))</f>
        <v/>
      </c>
      <c r="F208" s="305">
        <f>MAX(0,ROUND(F207*(1+F$162/12)-M207,2))</f>
        <v/>
      </c>
      <c r="G208" s="305">
        <f>MAX(0,ROUND(G207*(1+G$162/12)-N207,2))</f>
        <v/>
      </c>
      <c r="H208" s="305">
        <f>MAX(0,ROUND(H207*(1+H$162/12)-O207,2))</f>
        <v/>
      </c>
      <c r="I208" s="303">
        <f>IF(SUMPRODUCT(($D$164:$H$164=1)*($D208:$H208&gt;0))&gt;0,1,IF(SUMPRODUCT(($D$164:$H$164=2)*($D208:$H208&gt;0))&gt;0,2,IF(SUMPRODUCT(($D$164:$H$164=3)*($D208:$H208&gt;0))&gt;0,3,IF(SUMPRODUCT(($D$164:$H$164=4)*($D208:$H208&gt;0))&gt;0,4,IF(SUMPRODUCT(($D$164:$H$164=5)*($D208:$H208&gt;0))&gt;0,5,0)))))</f>
        <v/>
      </c>
      <c r="J208" s="305" t="n">
        <v>0</v>
      </c>
      <c r="K208" s="305">
        <f>IF(D208&lt;=0,0,MIN(ROUND(D208*(1+D$162/12),2),D$163+IF(D$164=$I208,$J208,0)))</f>
        <v/>
      </c>
      <c r="L208" s="305">
        <f>IF(E208&lt;=0,0,MIN(ROUND(E208*(1+E$162/12),2),E$163+IF(E$164=$I208,$J208,0)))</f>
        <v/>
      </c>
      <c r="M208" s="305">
        <f>IF(F208&lt;=0,0,MIN(ROUND(F208*(1+F$162/12),2),F$163+IF(F$164=$I208,$J208,0)))</f>
        <v/>
      </c>
      <c r="N208" s="305">
        <f>IF(G208&lt;=0,0,MIN(ROUND(G208*(1+G$162/12),2),G$163+IF(G$164=$I208,$J208,0)))</f>
        <v/>
      </c>
      <c r="O208" s="305">
        <f>IF(H208&lt;=0,0,MIN(ROUND(H208*(1+H$162/12),2),H$163+IF(H$164=$I208,$J208,0)))</f>
        <v/>
      </c>
      <c r="P208" s="305">
        <f>SUMPRODUCT($D208:$H208,$D$162:$H$162)/12</f>
        <v/>
      </c>
      <c r="Q208" s="305">
        <f>SUM($K208:$O208)</f>
        <v/>
      </c>
      <c r="R208" s="306">
        <f>SUM($D208:$H208)</f>
        <v/>
      </c>
      <c r="S208" s="1" t="n"/>
      <c r="T208" s="1" t="n"/>
      <c r="U208" s="1" t="n"/>
      <c r="V208" s="1" t="n"/>
      <c r="W208" s="1" t="n"/>
      <c r="X208" s="1" t="n"/>
      <c r="Y208" s="1" t="n"/>
      <c r="Z208" s="1" t="n"/>
    </row>
    <row r="209" ht="15.75" customHeight="1" s="311">
      <c r="A209" s="1" t="n"/>
      <c r="B209" s="303" t="n">
        <v>44</v>
      </c>
      <c r="C209" s="304">
        <f>EDATE(TODAY(),43)</f>
        <v/>
      </c>
      <c r="D209" s="305">
        <f>MAX(0,ROUND(D208*(1+D$162/12)-K208,2))</f>
        <v/>
      </c>
      <c r="E209" s="305">
        <f>MAX(0,ROUND(E208*(1+E$162/12)-L208,2))</f>
        <v/>
      </c>
      <c r="F209" s="305">
        <f>MAX(0,ROUND(F208*(1+F$162/12)-M208,2))</f>
        <v/>
      </c>
      <c r="G209" s="305">
        <f>MAX(0,ROUND(G208*(1+G$162/12)-N208,2))</f>
        <v/>
      </c>
      <c r="H209" s="305">
        <f>MAX(0,ROUND(H208*(1+H$162/12)-O208,2))</f>
        <v/>
      </c>
      <c r="I209" s="303">
        <f>IF(SUMPRODUCT(($D$164:$H$164=1)*($D209:$H209&gt;0))&gt;0,1,IF(SUMPRODUCT(($D$164:$H$164=2)*($D209:$H209&gt;0))&gt;0,2,IF(SUMPRODUCT(($D$164:$H$164=3)*($D209:$H209&gt;0))&gt;0,3,IF(SUMPRODUCT(($D$164:$H$164=4)*($D209:$H209&gt;0))&gt;0,4,IF(SUMPRODUCT(($D$164:$H$164=5)*($D209:$H209&gt;0))&gt;0,5,0)))))</f>
        <v/>
      </c>
      <c r="J209" s="305" t="n">
        <v>0</v>
      </c>
      <c r="K209" s="305">
        <f>IF(D209&lt;=0,0,MIN(ROUND(D209*(1+D$162/12),2),D$163+IF(D$164=$I209,$J209,0)))</f>
        <v/>
      </c>
      <c r="L209" s="305">
        <f>IF(E209&lt;=0,0,MIN(ROUND(E209*(1+E$162/12),2),E$163+IF(E$164=$I209,$J209,0)))</f>
        <v/>
      </c>
      <c r="M209" s="305">
        <f>IF(F209&lt;=0,0,MIN(ROUND(F209*(1+F$162/12),2),F$163+IF(F$164=$I209,$J209,0)))</f>
        <v/>
      </c>
      <c r="N209" s="305">
        <f>IF(G209&lt;=0,0,MIN(ROUND(G209*(1+G$162/12),2),G$163+IF(G$164=$I209,$J209,0)))</f>
        <v/>
      </c>
      <c r="O209" s="305">
        <f>IF(H209&lt;=0,0,MIN(ROUND(H209*(1+H$162/12),2),H$163+IF(H$164=$I209,$J209,0)))</f>
        <v/>
      </c>
      <c r="P209" s="305">
        <f>SUMPRODUCT($D209:$H209,$D$162:$H$162)/12</f>
        <v/>
      </c>
      <c r="Q209" s="305">
        <f>SUM($K209:$O209)</f>
        <v/>
      </c>
      <c r="R209" s="306">
        <f>SUM($D209:$H209)</f>
        <v/>
      </c>
      <c r="S209" s="1" t="n"/>
      <c r="T209" s="1" t="n"/>
      <c r="U209" s="1" t="n"/>
      <c r="V209" s="1" t="n"/>
      <c r="W209" s="1" t="n"/>
      <c r="X209" s="1" t="n"/>
      <c r="Y209" s="1" t="n"/>
      <c r="Z209" s="1" t="n"/>
    </row>
    <row r="210" ht="15.75" customHeight="1" s="311">
      <c r="A210" s="1" t="n"/>
      <c r="B210" s="303" t="n">
        <v>45</v>
      </c>
      <c r="C210" s="304">
        <f>EDATE(TODAY(),44)</f>
        <v/>
      </c>
      <c r="D210" s="305">
        <f>MAX(0,ROUND(D209*(1+D$162/12)-K209,2))</f>
        <v/>
      </c>
      <c r="E210" s="305">
        <f>MAX(0,ROUND(E209*(1+E$162/12)-L209,2))</f>
        <v/>
      </c>
      <c r="F210" s="305">
        <f>MAX(0,ROUND(F209*(1+F$162/12)-M209,2))</f>
        <v/>
      </c>
      <c r="G210" s="305">
        <f>MAX(0,ROUND(G209*(1+G$162/12)-N209,2))</f>
        <v/>
      </c>
      <c r="H210" s="305">
        <f>MAX(0,ROUND(H209*(1+H$162/12)-O209,2))</f>
        <v/>
      </c>
      <c r="I210" s="303">
        <f>IF(SUMPRODUCT(($D$164:$H$164=1)*($D210:$H210&gt;0))&gt;0,1,IF(SUMPRODUCT(($D$164:$H$164=2)*($D210:$H210&gt;0))&gt;0,2,IF(SUMPRODUCT(($D$164:$H$164=3)*($D210:$H210&gt;0))&gt;0,3,IF(SUMPRODUCT(($D$164:$H$164=4)*($D210:$H210&gt;0))&gt;0,4,IF(SUMPRODUCT(($D$164:$H$164=5)*($D210:$H210&gt;0))&gt;0,5,0)))))</f>
        <v/>
      </c>
      <c r="J210" s="305" t="n">
        <v>0</v>
      </c>
      <c r="K210" s="305">
        <f>IF(D210&lt;=0,0,MIN(ROUND(D210*(1+D$162/12),2),D$163+IF(D$164=$I210,$J210,0)))</f>
        <v/>
      </c>
      <c r="L210" s="305">
        <f>IF(E210&lt;=0,0,MIN(ROUND(E210*(1+E$162/12),2),E$163+IF(E$164=$I210,$J210,0)))</f>
        <v/>
      </c>
      <c r="M210" s="305">
        <f>IF(F210&lt;=0,0,MIN(ROUND(F210*(1+F$162/12),2),F$163+IF(F$164=$I210,$J210,0)))</f>
        <v/>
      </c>
      <c r="N210" s="305">
        <f>IF(G210&lt;=0,0,MIN(ROUND(G210*(1+G$162/12),2),G$163+IF(G$164=$I210,$J210,0)))</f>
        <v/>
      </c>
      <c r="O210" s="305">
        <f>IF(H210&lt;=0,0,MIN(ROUND(H210*(1+H$162/12),2),H$163+IF(H$164=$I210,$J210,0)))</f>
        <v/>
      </c>
      <c r="P210" s="305">
        <f>SUMPRODUCT($D210:$H210,$D$162:$H$162)/12</f>
        <v/>
      </c>
      <c r="Q210" s="305">
        <f>SUM($K210:$O210)</f>
        <v/>
      </c>
      <c r="R210" s="306">
        <f>SUM($D210:$H210)</f>
        <v/>
      </c>
      <c r="S210" s="1" t="n"/>
      <c r="T210" s="1" t="n"/>
      <c r="U210" s="1" t="n"/>
      <c r="V210" s="1" t="n"/>
      <c r="W210" s="1" t="n"/>
      <c r="X210" s="1" t="n"/>
      <c r="Y210" s="1" t="n"/>
      <c r="Z210" s="1" t="n"/>
    </row>
    <row r="211" ht="15.75" customHeight="1" s="311">
      <c r="A211" s="1" t="n"/>
      <c r="B211" s="303" t="n">
        <v>46</v>
      </c>
      <c r="C211" s="304">
        <f>EDATE(TODAY(),45)</f>
        <v/>
      </c>
      <c r="D211" s="305">
        <f>MAX(0,ROUND(D210*(1+D$162/12)-K210,2))</f>
        <v/>
      </c>
      <c r="E211" s="305">
        <f>MAX(0,ROUND(E210*(1+E$162/12)-L210,2))</f>
        <v/>
      </c>
      <c r="F211" s="305">
        <f>MAX(0,ROUND(F210*(1+F$162/12)-M210,2))</f>
        <v/>
      </c>
      <c r="G211" s="305">
        <f>MAX(0,ROUND(G210*(1+G$162/12)-N210,2))</f>
        <v/>
      </c>
      <c r="H211" s="305">
        <f>MAX(0,ROUND(H210*(1+H$162/12)-O210,2))</f>
        <v/>
      </c>
      <c r="I211" s="303">
        <f>IF(SUMPRODUCT(($D$164:$H$164=1)*($D211:$H211&gt;0))&gt;0,1,IF(SUMPRODUCT(($D$164:$H$164=2)*($D211:$H211&gt;0))&gt;0,2,IF(SUMPRODUCT(($D$164:$H$164=3)*($D211:$H211&gt;0))&gt;0,3,IF(SUMPRODUCT(($D$164:$H$164=4)*($D211:$H211&gt;0))&gt;0,4,IF(SUMPRODUCT(($D$164:$H$164=5)*($D211:$H211&gt;0))&gt;0,5,0)))))</f>
        <v/>
      </c>
      <c r="J211" s="305" t="n">
        <v>0</v>
      </c>
      <c r="K211" s="305">
        <f>IF(D211&lt;=0,0,MIN(ROUND(D211*(1+D$162/12),2),D$163+IF(D$164=$I211,$J211,0)))</f>
        <v/>
      </c>
      <c r="L211" s="305">
        <f>IF(E211&lt;=0,0,MIN(ROUND(E211*(1+E$162/12),2),E$163+IF(E$164=$I211,$J211,0)))</f>
        <v/>
      </c>
      <c r="M211" s="305">
        <f>IF(F211&lt;=0,0,MIN(ROUND(F211*(1+F$162/12),2),F$163+IF(F$164=$I211,$J211,0)))</f>
        <v/>
      </c>
      <c r="N211" s="305">
        <f>IF(G211&lt;=0,0,MIN(ROUND(G211*(1+G$162/12),2),G$163+IF(G$164=$I211,$J211,0)))</f>
        <v/>
      </c>
      <c r="O211" s="305">
        <f>IF(H211&lt;=0,0,MIN(ROUND(H211*(1+H$162/12),2),H$163+IF(H$164=$I211,$J211,0)))</f>
        <v/>
      </c>
      <c r="P211" s="305">
        <f>SUMPRODUCT($D211:$H211,$D$162:$H$162)/12</f>
        <v/>
      </c>
      <c r="Q211" s="305">
        <f>SUM($K211:$O211)</f>
        <v/>
      </c>
      <c r="R211" s="306">
        <f>SUM($D211:$H211)</f>
        <v/>
      </c>
      <c r="S211" s="1" t="n"/>
      <c r="T211" s="1" t="n"/>
      <c r="U211" s="1" t="n"/>
      <c r="V211" s="1" t="n"/>
      <c r="W211" s="1" t="n"/>
      <c r="X211" s="1" t="n"/>
      <c r="Y211" s="1" t="n"/>
      <c r="Z211" s="1" t="n"/>
    </row>
    <row r="212" ht="15.75" customHeight="1" s="311">
      <c r="A212" s="1" t="n"/>
      <c r="B212" s="303" t="n">
        <v>47</v>
      </c>
      <c r="C212" s="304">
        <f>EDATE(TODAY(),46)</f>
        <v/>
      </c>
      <c r="D212" s="305">
        <f>MAX(0,ROUND(D211*(1+D$162/12)-K211,2))</f>
        <v/>
      </c>
      <c r="E212" s="305">
        <f>MAX(0,ROUND(E211*(1+E$162/12)-L211,2))</f>
        <v/>
      </c>
      <c r="F212" s="305">
        <f>MAX(0,ROUND(F211*(1+F$162/12)-M211,2))</f>
        <v/>
      </c>
      <c r="G212" s="305">
        <f>MAX(0,ROUND(G211*(1+G$162/12)-N211,2))</f>
        <v/>
      </c>
      <c r="H212" s="305">
        <f>MAX(0,ROUND(H211*(1+H$162/12)-O211,2))</f>
        <v/>
      </c>
      <c r="I212" s="303">
        <f>IF(SUMPRODUCT(($D$164:$H$164=1)*($D212:$H212&gt;0))&gt;0,1,IF(SUMPRODUCT(($D$164:$H$164=2)*($D212:$H212&gt;0))&gt;0,2,IF(SUMPRODUCT(($D$164:$H$164=3)*($D212:$H212&gt;0))&gt;0,3,IF(SUMPRODUCT(($D$164:$H$164=4)*($D212:$H212&gt;0))&gt;0,4,IF(SUMPRODUCT(($D$164:$H$164=5)*($D212:$H212&gt;0))&gt;0,5,0)))))</f>
        <v/>
      </c>
      <c r="J212" s="305" t="n">
        <v>0</v>
      </c>
      <c r="K212" s="305">
        <f>IF(D212&lt;=0,0,MIN(ROUND(D212*(1+D$162/12),2),D$163+IF(D$164=$I212,$J212,0)))</f>
        <v/>
      </c>
      <c r="L212" s="305">
        <f>IF(E212&lt;=0,0,MIN(ROUND(E212*(1+E$162/12),2),E$163+IF(E$164=$I212,$J212,0)))</f>
        <v/>
      </c>
      <c r="M212" s="305">
        <f>IF(F212&lt;=0,0,MIN(ROUND(F212*(1+F$162/12),2),F$163+IF(F$164=$I212,$J212,0)))</f>
        <v/>
      </c>
      <c r="N212" s="305">
        <f>IF(G212&lt;=0,0,MIN(ROUND(G212*(1+G$162/12),2),G$163+IF(G$164=$I212,$J212,0)))</f>
        <v/>
      </c>
      <c r="O212" s="305">
        <f>IF(H212&lt;=0,0,MIN(ROUND(H212*(1+H$162/12),2),H$163+IF(H$164=$I212,$J212,0)))</f>
        <v/>
      </c>
      <c r="P212" s="305">
        <f>SUMPRODUCT($D212:$H212,$D$162:$H$162)/12</f>
        <v/>
      </c>
      <c r="Q212" s="305">
        <f>SUM($K212:$O212)</f>
        <v/>
      </c>
      <c r="R212" s="306">
        <f>SUM($D212:$H212)</f>
        <v/>
      </c>
      <c r="S212" s="1" t="n"/>
      <c r="T212" s="1" t="n"/>
      <c r="U212" s="1" t="n"/>
      <c r="V212" s="1" t="n"/>
      <c r="W212" s="1" t="n"/>
      <c r="X212" s="1" t="n"/>
      <c r="Y212" s="1" t="n"/>
      <c r="Z212" s="1" t="n"/>
    </row>
    <row r="213" ht="15.75" customHeight="1" s="311">
      <c r="A213" s="1" t="n"/>
      <c r="B213" s="303" t="n">
        <v>48</v>
      </c>
      <c r="C213" s="304">
        <f>EDATE(TODAY(),47)</f>
        <v/>
      </c>
      <c r="D213" s="305">
        <f>MAX(0,ROUND(D212*(1+D$162/12)-K212,2))</f>
        <v/>
      </c>
      <c r="E213" s="305">
        <f>MAX(0,ROUND(E212*(1+E$162/12)-L212,2))</f>
        <v/>
      </c>
      <c r="F213" s="305">
        <f>MAX(0,ROUND(F212*(1+F$162/12)-M212,2))</f>
        <v/>
      </c>
      <c r="G213" s="305">
        <f>MAX(0,ROUND(G212*(1+G$162/12)-N212,2))</f>
        <v/>
      </c>
      <c r="H213" s="305">
        <f>MAX(0,ROUND(H212*(1+H$162/12)-O212,2))</f>
        <v/>
      </c>
      <c r="I213" s="303">
        <f>IF(SUMPRODUCT(($D$164:$H$164=1)*($D213:$H213&gt;0))&gt;0,1,IF(SUMPRODUCT(($D$164:$H$164=2)*($D213:$H213&gt;0))&gt;0,2,IF(SUMPRODUCT(($D$164:$H$164=3)*($D213:$H213&gt;0))&gt;0,3,IF(SUMPRODUCT(($D$164:$H$164=4)*($D213:$H213&gt;0))&gt;0,4,IF(SUMPRODUCT(($D$164:$H$164=5)*($D213:$H213&gt;0))&gt;0,5,0)))))</f>
        <v/>
      </c>
      <c r="J213" s="305" t="n">
        <v>0</v>
      </c>
      <c r="K213" s="305">
        <f>IF(D213&lt;=0,0,MIN(ROUND(D213*(1+D$162/12),2),D$163+IF(D$164=$I213,$J213,0)))</f>
        <v/>
      </c>
      <c r="L213" s="305">
        <f>IF(E213&lt;=0,0,MIN(ROUND(E213*(1+E$162/12),2),E$163+IF(E$164=$I213,$J213,0)))</f>
        <v/>
      </c>
      <c r="M213" s="305">
        <f>IF(F213&lt;=0,0,MIN(ROUND(F213*(1+F$162/12),2),F$163+IF(F$164=$I213,$J213,0)))</f>
        <v/>
      </c>
      <c r="N213" s="305">
        <f>IF(G213&lt;=0,0,MIN(ROUND(G213*(1+G$162/12),2),G$163+IF(G$164=$I213,$J213,0)))</f>
        <v/>
      </c>
      <c r="O213" s="305">
        <f>IF(H213&lt;=0,0,MIN(ROUND(H213*(1+H$162/12),2),H$163+IF(H$164=$I213,$J213,0)))</f>
        <v/>
      </c>
      <c r="P213" s="305">
        <f>SUMPRODUCT($D213:$H213,$D$162:$H$162)/12</f>
        <v/>
      </c>
      <c r="Q213" s="305">
        <f>SUM($K213:$O213)</f>
        <v/>
      </c>
      <c r="R213" s="306">
        <f>SUM($D213:$H213)</f>
        <v/>
      </c>
      <c r="S213" s="1" t="n"/>
      <c r="T213" s="1" t="n"/>
      <c r="U213" s="1" t="n"/>
      <c r="V213" s="1" t="n"/>
      <c r="W213" s="1" t="n"/>
      <c r="X213" s="1" t="n"/>
      <c r="Y213" s="1" t="n"/>
      <c r="Z213" s="1" t="n"/>
    </row>
    <row r="214" ht="15.75" customHeight="1" s="311">
      <c r="A214" s="1" t="n"/>
      <c r="B214" s="303" t="n">
        <v>49</v>
      </c>
      <c r="C214" s="304">
        <f>EDATE(TODAY(),48)</f>
        <v/>
      </c>
      <c r="D214" s="305">
        <f>MAX(0,ROUND(D213*(1+D$162/12)-K213,2))</f>
        <v/>
      </c>
      <c r="E214" s="305">
        <f>MAX(0,ROUND(E213*(1+E$162/12)-L213,2))</f>
        <v/>
      </c>
      <c r="F214" s="305">
        <f>MAX(0,ROUND(F213*(1+F$162/12)-M213,2))</f>
        <v/>
      </c>
      <c r="G214" s="305">
        <f>MAX(0,ROUND(G213*(1+G$162/12)-N213,2))</f>
        <v/>
      </c>
      <c r="H214" s="305">
        <f>MAX(0,ROUND(H213*(1+H$162/12)-O213,2))</f>
        <v/>
      </c>
      <c r="I214" s="303">
        <f>IF(SUMPRODUCT(($D$164:$H$164=1)*($D214:$H214&gt;0))&gt;0,1,IF(SUMPRODUCT(($D$164:$H$164=2)*($D214:$H214&gt;0))&gt;0,2,IF(SUMPRODUCT(($D$164:$H$164=3)*($D214:$H214&gt;0))&gt;0,3,IF(SUMPRODUCT(($D$164:$H$164=4)*($D214:$H214&gt;0))&gt;0,4,IF(SUMPRODUCT(($D$164:$H$164=5)*($D214:$H214&gt;0))&gt;0,5,0)))))</f>
        <v/>
      </c>
      <c r="J214" s="305" t="n">
        <v>0</v>
      </c>
      <c r="K214" s="305">
        <f>IF(D214&lt;=0,0,MIN(ROUND(D214*(1+D$162/12),2),D$163+IF(D$164=$I214,$J214,0)))</f>
        <v/>
      </c>
      <c r="L214" s="305">
        <f>IF(E214&lt;=0,0,MIN(ROUND(E214*(1+E$162/12),2),E$163+IF(E$164=$I214,$J214,0)))</f>
        <v/>
      </c>
      <c r="M214" s="305">
        <f>IF(F214&lt;=0,0,MIN(ROUND(F214*(1+F$162/12),2),F$163+IF(F$164=$I214,$J214,0)))</f>
        <v/>
      </c>
      <c r="N214" s="305">
        <f>IF(G214&lt;=0,0,MIN(ROUND(G214*(1+G$162/12),2),G$163+IF(G$164=$I214,$J214,0)))</f>
        <v/>
      </c>
      <c r="O214" s="305">
        <f>IF(H214&lt;=0,0,MIN(ROUND(H214*(1+H$162/12),2),H$163+IF(H$164=$I214,$J214,0)))</f>
        <v/>
      </c>
      <c r="P214" s="305">
        <f>SUMPRODUCT($D214:$H214,$D$162:$H$162)/12</f>
        <v/>
      </c>
      <c r="Q214" s="305">
        <f>SUM($K214:$O214)</f>
        <v/>
      </c>
      <c r="R214" s="306">
        <f>SUM($D214:$H214)</f>
        <v/>
      </c>
      <c r="S214" s="1" t="n"/>
      <c r="T214" s="1" t="n"/>
      <c r="U214" s="1" t="n"/>
      <c r="V214" s="1" t="n"/>
      <c r="W214" s="1" t="n"/>
      <c r="X214" s="1" t="n"/>
      <c r="Y214" s="1" t="n"/>
      <c r="Z214" s="1" t="n"/>
    </row>
    <row r="215" ht="15.75" customHeight="1" s="311">
      <c r="A215" s="1" t="n"/>
      <c r="B215" s="303" t="n">
        <v>50</v>
      </c>
      <c r="C215" s="304">
        <f>EDATE(TODAY(),49)</f>
        <v/>
      </c>
      <c r="D215" s="305">
        <f>MAX(0,ROUND(D214*(1+D$162/12)-K214,2))</f>
        <v/>
      </c>
      <c r="E215" s="305">
        <f>MAX(0,ROUND(E214*(1+E$162/12)-L214,2))</f>
        <v/>
      </c>
      <c r="F215" s="305">
        <f>MAX(0,ROUND(F214*(1+F$162/12)-M214,2))</f>
        <v/>
      </c>
      <c r="G215" s="305">
        <f>MAX(0,ROUND(G214*(1+G$162/12)-N214,2))</f>
        <v/>
      </c>
      <c r="H215" s="305">
        <f>MAX(0,ROUND(H214*(1+H$162/12)-O214,2))</f>
        <v/>
      </c>
      <c r="I215" s="303">
        <f>IF(SUMPRODUCT(($D$164:$H$164=1)*($D215:$H215&gt;0))&gt;0,1,IF(SUMPRODUCT(($D$164:$H$164=2)*($D215:$H215&gt;0))&gt;0,2,IF(SUMPRODUCT(($D$164:$H$164=3)*($D215:$H215&gt;0))&gt;0,3,IF(SUMPRODUCT(($D$164:$H$164=4)*($D215:$H215&gt;0))&gt;0,4,IF(SUMPRODUCT(($D$164:$H$164=5)*($D215:$H215&gt;0))&gt;0,5,0)))))</f>
        <v/>
      </c>
      <c r="J215" s="305" t="n">
        <v>0</v>
      </c>
      <c r="K215" s="305">
        <f>IF(D215&lt;=0,0,MIN(ROUND(D215*(1+D$162/12),2),D$163+IF(D$164=$I215,$J215,0)))</f>
        <v/>
      </c>
      <c r="L215" s="305">
        <f>IF(E215&lt;=0,0,MIN(ROUND(E215*(1+E$162/12),2),E$163+IF(E$164=$I215,$J215,0)))</f>
        <v/>
      </c>
      <c r="M215" s="305">
        <f>IF(F215&lt;=0,0,MIN(ROUND(F215*(1+F$162/12),2),F$163+IF(F$164=$I215,$J215,0)))</f>
        <v/>
      </c>
      <c r="N215" s="305">
        <f>IF(G215&lt;=0,0,MIN(ROUND(G215*(1+G$162/12),2),G$163+IF(G$164=$I215,$J215,0)))</f>
        <v/>
      </c>
      <c r="O215" s="305">
        <f>IF(H215&lt;=0,0,MIN(ROUND(H215*(1+H$162/12),2),H$163+IF(H$164=$I215,$J215,0)))</f>
        <v/>
      </c>
      <c r="P215" s="305">
        <f>SUMPRODUCT($D215:$H215,$D$162:$H$162)/12</f>
        <v/>
      </c>
      <c r="Q215" s="305">
        <f>SUM($K215:$O215)</f>
        <v/>
      </c>
      <c r="R215" s="306">
        <f>SUM($D215:$H215)</f>
        <v/>
      </c>
      <c r="S215" s="1" t="n"/>
      <c r="T215" s="1" t="n"/>
      <c r="U215" s="1" t="n"/>
      <c r="V215" s="1" t="n"/>
      <c r="W215" s="1" t="n"/>
      <c r="X215" s="1" t="n"/>
      <c r="Y215" s="1" t="n"/>
      <c r="Z215" s="1" t="n"/>
    </row>
    <row r="216" ht="15.75" customHeight="1" s="311">
      <c r="A216" s="1" t="n"/>
      <c r="B216" s="303" t="n">
        <v>51</v>
      </c>
      <c r="C216" s="304">
        <f>EDATE(TODAY(),50)</f>
        <v/>
      </c>
      <c r="D216" s="305">
        <f>MAX(0,ROUND(D215*(1+D$162/12)-K215,2))</f>
        <v/>
      </c>
      <c r="E216" s="305">
        <f>MAX(0,ROUND(E215*(1+E$162/12)-L215,2))</f>
        <v/>
      </c>
      <c r="F216" s="305">
        <f>MAX(0,ROUND(F215*(1+F$162/12)-M215,2))</f>
        <v/>
      </c>
      <c r="G216" s="305">
        <f>MAX(0,ROUND(G215*(1+G$162/12)-N215,2))</f>
        <v/>
      </c>
      <c r="H216" s="305">
        <f>MAX(0,ROUND(H215*(1+H$162/12)-O215,2))</f>
        <v/>
      </c>
      <c r="I216" s="303">
        <f>IF(SUMPRODUCT(($D$164:$H$164=1)*($D216:$H216&gt;0))&gt;0,1,IF(SUMPRODUCT(($D$164:$H$164=2)*($D216:$H216&gt;0))&gt;0,2,IF(SUMPRODUCT(($D$164:$H$164=3)*($D216:$H216&gt;0))&gt;0,3,IF(SUMPRODUCT(($D$164:$H$164=4)*($D216:$H216&gt;0))&gt;0,4,IF(SUMPRODUCT(($D$164:$H$164=5)*($D216:$H216&gt;0))&gt;0,5,0)))))</f>
        <v/>
      </c>
      <c r="J216" s="305" t="n">
        <v>0</v>
      </c>
      <c r="K216" s="305">
        <f>IF(D216&lt;=0,0,MIN(ROUND(D216*(1+D$162/12),2),D$163+IF(D$164=$I216,$J216,0)))</f>
        <v/>
      </c>
      <c r="L216" s="305">
        <f>IF(E216&lt;=0,0,MIN(ROUND(E216*(1+E$162/12),2),E$163+IF(E$164=$I216,$J216,0)))</f>
        <v/>
      </c>
      <c r="M216" s="305">
        <f>IF(F216&lt;=0,0,MIN(ROUND(F216*(1+F$162/12),2),F$163+IF(F$164=$I216,$J216,0)))</f>
        <v/>
      </c>
      <c r="N216" s="305">
        <f>IF(G216&lt;=0,0,MIN(ROUND(G216*(1+G$162/12),2),G$163+IF(G$164=$I216,$J216,0)))</f>
        <v/>
      </c>
      <c r="O216" s="305">
        <f>IF(H216&lt;=0,0,MIN(ROUND(H216*(1+H$162/12),2),H$163+IF(H$164=$I216,$J216,0)))</f>
        <v/>
      </c>
      <c r="P216" s="305">
        <f>SUMPRODUCT($D216:$H216,$D$162:$H$162)/12</f>
        <v/>
      </c>
      <c r="Q216" s="305">
        <f>SUM($K216:$O216)</f>
        <v/>
      </c>
      <c r="R216" s="306">
        <f>SUM($D216:$H216)</f>
        <v/>
      </c>
      <c r="S216" s="1" t="n"/>
      <c r="T216" s="1" t="n"/>
      <c r="U216" s="1" t="n"/>
      <c r="V216" s="1" t="n"/>
      <c r="W216" s="1" t="n"/>
      <c r="X216" s="1" t="n"/>
      <c r="Y216" s="1" t="n"/>
      <c r="Z216" s="1" t="n"/>
    </row>
    <row r="217" ht="15.75" customHeight="1" s="311">
      <c r="A217" s="1" t="n"/>
      <c r="B217" s="303" t="n">
        <v>52</v>
      </c>
      <c r="C217" s="304">
        <f>EDATE(TODAY(),51)</f>
        <v/>
      </c>
      <c r="D217" s="305">
        <f>MAX(0,ROUND(D216*(1+D$162/12)-K216,2))</f>
        <v/>
      </c>
      <c r="E217" s="305">
        <f>MAX(0,ROUND(E216*(1+E$162/12)-L216,2))</f>
        <v/>
      </c>
      <c r="F217" s="305">
        <f>MAX(0,ROUND(F216*(1+F$162/12)-M216,2))</f>
        <v/>
      </c>
      <c r="G217" s="305">
        <f>MAX(0,ROUND(G216*(1+G$162/12)-N216,2))</f>
        <v/>
      </c>
      <c r="H217" s="305">
        <f>MAX(0,ROUND(H216*(1+H$162/12)-O216,2))</f>
        <v/>
      </c>
      <c r="I217" s="303">
        <f>IF(SUMPRODUCT(($D$164:$H$164=1)*($D217:$H217&gt;0))&gt;0,1,IF(SUMPRODUCT(($D$164:$H$164=2)*($D217:$H217&gt;0))&gt;0,2,IF(SUMPRODUCT(($D$164:$H$164=3)*($D217:$H217&gt;0))&gt;0,3,IF(SUMPRODUCT(($D$164:$H$164=4)*($D217:$H217&gt;0))&gt;0,4,IF(SUMPRODUCT(($D$164:$H$164=5)*($D217:$H217&gt;0))&gt;0,5,0)))))</f>
        <v/>
      </c>
      <c r="J217" s="305" t="n">
        <v>0</v>
      </c>
      <c r="K217" s="305">
        <f>IF(D217&lt;=0,0,MIN(ROUND(D217*(1+D$162/12),2),D$163+IF(D$164=$I217,$J217,0)))</f>
        <v/>
      </c>
      <c r="L217" s="305">
        <f>IF(E217&lt;=0,0,MIN(ROUND(E217*(1+E$162/12),2),E$163+IF(E$164=$I217,$J217,0)))</f>
        <v/>
      </c>
      <c r="M217" s="305">
        <f>IF(F217&lt;=0,0,MIN(ROUND(F217*(1+F$162/12),2),F$163+IF(F$164=$I217,$J217,0)))</f>
        <v/>
      </c>
      <c r="N217" s="305">
        <f>IF(G217&lt;=0,0,MIN(ROUND(G217*(1+G$162/12),2),G$163+IF(G$164=$I217,$J217,0)))</f>
        <v/>
      </c>
      <c r="O217" s="305">
        <f>IF(H217&lt;=0,0,MIN(ROUND(H217*(1+H$162/12),2),H$163+IF(H$164=$I217,$J217,0)))</f>
        <v/>
      </c>
      <c r="P217" s="305">
        <f>SUMPRODUCT($D217:$H217,$D$162:$H$162)/12</f>
        <v/>
      </c>
      <c r="Q217" s="305">
        <f>SUM($K217:$O217)</f>
        <v/>
      </c>
      <c r="R217" s="306">
        <f>SUM($D217:$H217)</f>
        <v/>
      </c>
      <c r="S217" s="1" t="n"/>
      <c r="T217" s="1" t="n"/>
      <c r="U217" s="1" t="n"/>
      <c r="V217" s="1" t="n"/>
      <c r="W217" s="1" t="n"/>
      <c r="X217" s="1" t="n"/>
      <c r="Y217" s="1" t="n"/>
      <c r="Z217" s="1" t="n"/>
    </row>
    <row r="218" ht="15.75" customHeight="1" s="311">
      <c r="A218" s="1" t="n"/>
      <c r="B218" s="303" t="n">
        <v>53</v>
      </c>
      <c r="C218" s="304">
        <f>EDATE(TODAY(),52)</f>
        <v/>
      </c>
      <c r="D218" s="305">
        <f>MAX(0,ROUND(D217*(1+D$162/12)-K217,2))</f>
        <v/>
      </c>
      <c r="E218" s="305">
        <f>MAX(0,ROUND(E217*(1+E$162/12)-L217,2))</f>
        <v/>
      </c>
      <c r="F218" s="305">
        <f>MAX(0,ROUND(F217*(1+F$162/12)-M217,2))</f>
        <v/>
      </c>
      <c r="G218" s="305">
        <f>MAX(0,ROUND(G217*(1+G$162/12)-N217,2))</f>
        <v/>
      </c>
      <c r="H218" s="305">
        <f>MAX(0,ROUND(H217*(1+H$162/12)-O217,2))</f>
        <v/>
      </c>
      <c r="I218" s="303">
        <f>IF(SUMPRODUCT(($D$164:$H$164=1)*($D218:$H218&gt;0))&gt;0,1,IF(SUMPRODUCT(($D$164:$H$164=2)*($D218:$H218&gt;0))&gt;0,2,IF(SUMPRODUCT(($D$164:$H$164=3)*($D218:$H218&gt;0))&gt;0,3,IF(SUMPRODUCT(($D$164:$H$164=4)*($D218:$H218&gt;0))&gt;0,4,IF(SUMPRODUCT(($D$164:$H$164=5)*($D218:$H218&gt;0))&gt;0,5,0)))))</f>
        <v/>
      </c>
      <c r="J218" s="305" t="n">
        <v>0</v>
      </c>
      <c r="K218" s="305">
        <f>IF(D218&lt;=0,0,MIN(ROUND(D218*(1+D$162/12),2),D$163+IF(D$164=$I218,$J218,0)))</f>
        <v/>
      </c>
      <c r="L218" s="305">
        <f>IF(E218&lt;=0,0,MIN(ROUND(E218*(1+E$162/12),2),E$163+IF(E$164=$I218,$J218,0)))</f>
        <v/>
      </c>
      <c r="M218" s="305">
        <f>IF(F218&lt;=0,0,MIN(ROUND(F218*(1+F$162/12),2),F$163+IF(F$164=$I218,$J218,0)))</f>
        <v/>
      </c>
      <c r="N218" s="305">
        <f>IF(G218&lt;=0,0,MIN(ROUND(G218*(1+G$162/12),2),G$163+IF(G$164=$I218,$J218,0)))</f>
        <v/>
      </c>
      <c r="O218" s="305">
        <f>IF(H218&lt;=0,0,MIN(ROUND(H218*(1+H$162/12),2),H$163+IF(H$164=$I218,$J218,0)))</f>
        <v/>
      </c>
      <c r="P218" s="305">
        <f>SUMPRODUCT($D218:$H218,$D$162:$H$162)/12</f>
        <v/>
      </c>
      <c r="Q218" s="305">
        <f>SUM($K218:$O218)</f>
        <v/>
      </c>
      <c r="R218" s="306">
        <f>SUM($D218:$H218)</f>
        <v/>
      </c>
      <c r="S218" s="1" t="n"/>
      <c r="T218" s="1" t="n"/>
      <c r="U218" s="1" t="n"/>
      <c r="V218" s="1" t="n"/>
      <c r="W218" s="1" t="n"/>
      <c r="X218" s="1" t="n"/>
      <c r="Y218" s="1" t="n"/>
      <c r="Z218" s="1" t="n"/>
    </row>
    <row r="219" ht="15.75" customHeight="1" s="311">
      <c r="A219" s="1" t="n"/>
      <c r="B219" s="303" t="n">
        <v>54</v>
      </c>
      <c r="C219" s="304">
        <f>EDATE(TODAY(),53)</f>
        <v/>
      </c>
      <c r="D219" s="305">
        <f>MAX(0,ROUND(D218*(1+D$162/12)-K218,2))</f>
        <v/>
      </c>
      <c r="E219" s="305">
        <f>MAX(0,ROUND(E218*(1+E$162/12)-L218,2))</f>
        <v/>
      </c>
      <c r="F219" s="305">
        <f>MAX(0,ROUND(F218*(1+F$162/12)-M218,2))</f>
        <v/>
      </c>
      <c r="G219" s="305">
        <f>MAX(0,ROUND(G218*(1+G$162/12)-N218,2))</f>
        <v/>
      </c>
      <c r="H219" s="305">
        <f>MAX(0,ROUND(H218*(1+H$162/12)-O218,2))</f>
        <v/>
      </c>
      <c r="I219" s="303">
        <f>IF(SUMPRODUCT(($D$164:$H$164=1)*($D219:$H219&gt;0))&gt;0,1,IF(SUMPRODUCT(($D$164:$H$164=2)*($D219:$H219&gt;0))&gt;0,2,IF(SUMPRODUCT(($D$164:$H$164=3)*($D219:$H219&gt;0))&gt;0,3,IF(SUMPRODUCT(($D$164:$H$164=4)*($D219:$H219&gt;0))&gt;0,4,IF(SUMPRODUCT(($D$164:$H$164=5)*($D219:$H219&gt;0))&gt;0,5,0)))))</f>
        <v/>
      </c>
      <c r="J219" s="305" t="n">
        <v>0</v>
      </c>
      <c r="K219" s="305">
        <f>IF(D219&lt;=0,0,MIN(ROUND(D219*(1+D$162/12),2),D$163+IF(D$164=$I219,$J219,0)))</f>
        <v/>
      </c>
      <c r="L219" s="305">
        <f>IF(E219&lt;=0,0,MIN(ROUND(E219*(1+E$162/12),2),E$163+IF(E$164=$I219,$J219,0)))</f>
        <v/>
      </c>
      <c r="M219" s="305">
        <f>IF(F219&lt;=0,0,MIN(ROUND(F219*(1+F$162/12),2),F$163+IF(F$164=$I219,$J219,0)))</f>
        <v/>
      </c>
      <c r="N219" s="305">
        <f>IF(G219&lt;=0,0,MIN(ROUND(G219*(1+G$162/12),2),G$163+IF(G$164=$I219,$J219,0)))</f>
        <v/>
      </c>
      <c r="O219" s="305">
        <f>IF(H219&lt;=0,0,MIN(ROUND(H219*(1+H$162/12),2),H$163+IF(H$164=$I219,$J219,0)))</f>
        <v/>
      </c>
      <c r="P219" s="305">
        <f>SUMPRODUCT($D219:$H219,$D$162:$H$162)/12</f>
        <v/>
      </c>
      <c r="Q219" s="305">
        <f>SUM($K219:$O219)</f>
        <v/>
      </c>
      <c r="R219" s="306">
        <f>SUM($D219:$H219)</f>
        <v/>
      </c>
      <c r="S219" s="1" t="n"/>
      <c r="T219" s="1" t="n"/>
      <c r="U219" s="1" t="n"/>
      <c r="V219" s="1" t="n"/>
      <c r="W219" s="1" t="n"/>
      <c r="X219" s="1" t="n"/>
      <c r="Y219" s="1" t="n"/>
      <c r="Z219" s="1" t="n"/>
    </row>
    <row r="220" ht="15.75" customHeight="1" s="311">
      <c r="A220" s="1" t="n"/>
      <c r="B220" s="303" t="n">
        <v>55</v>
      </c>
      <c r="C220" s="304">
        <f>EDATE(TODAY(),54)</f>
        <v/>
      </c>
      <c r="D220" s="305">
        <f>MAX(0,ROUND(D219*(1+D$162/12)-K219,2))</f>
        <v/>
      </c>
      <c r="E220" s="305">
        <f>MAX(0,ROUND(E219*(1+E$162/12)-L219,2))</f>
        <v/>
      </c>
      <c r="F220" s="305">
        <f>MAX(0,ROUND(F219*(1+F$162/12)-M219,2))</f>
        <v/>
      </c>
      <c r="G220" s="305">
        <f>MAX(0,ROUND(G219*(1+G$162/12)-N219,2))</f>
        <v/>
      </c>
      <c r="H220" s="305">
        <f>MAX(0,ROUND(H219*(1+H$162/12)-O219,2))</f>
        <v/>
      </c>
      <c r="I220" s="303">
        <f>IF(SUMPRODUCT(($D$164:$H$164=1)*($D220:$H220&gt;0))&gt;0,1,IF(SUMPRODUCT(($D$164:$H$164=2)*($D220:$H220&gt;0))&gt;0,2,IF(SUMPRODUCT(($D$164:$H$164=3)*($D220:$H220&gt;0))&gt;0,3,IF(SUMPRODUCT(($D$164:$H$164=4)*($D220:$H220&gt;0))&gt;0,4,IF(SUMPRODUCT(($D$164:$H$164=5)*($D220:$H220&gt;0))&gt;0,5,0)))))</f>
        <v/>
      </c>
      <c r="J220" s="305" t="n">
        <v>0</v>
      </c>
      <c r="K220" s="305">
        <f>IF(D220&lt;=0,0,MIN(ROUND(D220*(1+D$162/12),2),D$163+IF(D$164=$I220,$J220,0)))</f>
        <v/>
      </c>
      <c r="L220" s="305">
        <f>IF(E220&lt;=0,0,MIN(ROUND(E220*(1+E$162/12),2),E$163+IF(E$164=$I220,$J220,0)))</f>
        <v/>
      </c>
      <c r="M220" s="305">
        <f>IF(F220&lt;=0,0,MIN(ROUND(F220*(1+F$162/12),2),F$163+IF(F$164=$I220,$J220,0)))</f>
        <v/>
      </c>
      <c r="N220" s="305">
        <f>IF(G220&lt;=0,0,MIN(ROUND(G220*(1+G$162/12),2),G$163+IF(G$164=$I220,$J220,0)))</f>
        <v/>
      </c>
      <c r="O220" s="305">
        <f>IF(H220&lt;=0,0,MIN(ROUND(H220*(1+H$162/12),2),H$163+IF(H$164=$I220,$J220,0)))</f>
        <v/>
      </c>
      <c r="P220" s="305">
        <f>SUMPRODUCT($D220:$H220,$D$162:$H$162)/12</f>
        <v/>
      </c>
      <c r="Q220" s="305">
        <f>SUM($K220:$O220)</f>
        <v/>
      </c>
      <c r="R220" s="306">
        <f>SUM($D220:$H220)</f>
        <v/>
      </c>
      <c r="S220" s="1" t="n"/>
      <c r="T220" s="1" t="n"/>
      <c r="U220" s="1" t="n"/>
      <c r="V220" s="1" t="n"/>
      <c r="W220" s="1" t="n"/>
      <c r="X220" s="1" t="n"/>
      <c r="Y220" s="1" t="n"/>
      <c r="Z220" s="1" t="n"/>
    </row>
    <row r="221" ht="15.75" customHeight="1" s="311">
      <c r="A221" s="1" t="n"/>
      <c r="B221" s="303" t="n">
        <v>56</v>
      </c>
      <c r="C221" s="304">
        <f>EDATE(TODAY(),55)</f>
        <v/>
      </c>
      <c r="D221" s="305">
        <f>MAX(0,ROUND(D220*(1+D$162/12)-K220,2))</f>
        <v/>
      </c>
      <c r="E221" s="305">
        <f>MAX(0,ROUND(E220*(1+E$162/12)-L220,2))</f>
        <v/>
      </c>
      <c r="F221" s="305">
        <f>MAX(0,ROUND(F220*(1+F$162/12)-M220,2))</f>
        <v/>
      </c>
      <c r="G221" s="305">
        <f>MAX(0,ROUND(G220*(1+G$162/12)-N220,2))</f>
        <v/>
      </c>
      <c r="H221" s="305">
        <f>MAX(0,ROUND(H220*(1+H$162/12)-O220,2))</f>
        <v/>
      </c>
      <c r="I221" s="303">
        <f>IF(SUMPRODUCT(($D$164:$H$164=1)*($D221:$H221&gt;0))&gt;0,1,IF(SUMPRODUCT(($D$164:$H$164=2)*($D221:$H221&gt;0))&gt;0,2,IF(SUMPRODUCT(($D$164:$H$164=3)*($D221:$H221&gt;0))&gt;0,3,IF(SUMPRODUCT(($D$164:$H$164=4)*($D221:$H221&gt;0))&gt;0,4,IF(SUMPRODUCT(($D$164:$H$164=5)*($D221:$H221&gt;0))&gt;0,5,0)))))</f>
        <v/>
      </c>
      <c r="J221" s="305" t="n">
        <v>0</v>
      </c>
      <c r="K221" s="305">
        <f>IF(D221&lt;=0,0,MIN(ROUND(D221*(1+D$162/12),2),D$163+IF(D$164=$I221,$J221,0)))</f>
        <v/>
      </c>
      <c r="L221" s="305">
        <f>IF(E221&lt;=0,0,MIN(ROUND(E221*(1+E$162/12),2),E$163+IF(E$164=$I221,$J221,0)))</f>
        <v/>
      </c>
      <c r="M221" s="305">
        <f>IF(F221&lt;=0,0,MIN(ROUND(F221*(1+F$162/12),2),F$163+IF(F$164=$I221,$J221,0)))</f>
        <v/>
      </c>
      <c r="N221" s="305">
        <f>IF(G221&lt;=0,0,MIN(ROUND(G221*(1+G$162/12),2),G$163+IF(G$164=$I221,$J221,0)))</f>
        <v/>
      </c>
      <c r="O221" s="305">
        <f>IF(H221&lt;=0,0,MIN(ROUND(H221*(1+H$162/12),2),H$163+IF(H$164=$I221,$J221,0)))</f>
        <v/>
      </c>
      <c r="P221" s="305">
        <f>SUMPRODUCT($D221:$H221,$D$162:$H$162)/12</f>
        <v/>
      </c>
      <c r="Q221" s="305">
        <f>SUM($K221:$O221)</f>
        <v/>
      </c>
      <c r="R221" s="306">
        <f>SUM($D221:$H221)</f>
        <v/>
      </c>
      <c r="S221" s="1" t="n"/>
      <c r="T221" s="1" t="n"/>
      <c r="U221" s="1" t="n"/>
      <c r="V221" s="1" t="n"/>
      <c r="W221" s="1" t="n"/>
      <c r="X221" s="1" t="n"/>
      <c r="Y221" s="1" t="n"/>
      <c r="Z221" s="1" t="n"/>
    </row>
    <row r="222" ht="15.75" customHeight="1" s="311">
      <c r="A222" s="1" t="n"/>
      <c r="B222" s="303" t="n">
        <v>57</v>
      </c>
      <c r="C222" s="304">
        <f>EDATE(TODAY(),56)</f>
        <v/>
      </c>
      <c r="D222" s="305">
        <f>MAX(0,ROUND(D221*(1+D$162/12)-K221,2))</f>
        <v/>
      </c>
      <c r="E222" s="305">
        <f>MAX(0,ROUND(E221*(1+E$162/12)-L221,2))</f>
        <v/>
      </c>
      <c r="F222" s="305">
        <f>MAX(0,ROUND(F221*(1+F$162/12)-M221,2))</f>
        <v/>
      </c>
      <c r="G222" s="305">
        <f>MAX(0,ROUND(G221*(1+G$162/12)-N221,2))</f>
        <v/>
      </c>
      <c r="H222" s="305">
        <f>MAX(0,ROUND(H221*(1+H$162/12)-O221,2))</f>
        <v/>
      </c>
      <c r="I222" s="303">
        <f>IF(SUMPRODUCT(($D$164:$H$164=1)*($D222:$H222&gt;0))&gt;0,1,IF(SUMPRODUCT(($D$164:$H$164=2)*($D222:$H222&gt;0))&gt;0,2,IF(SUMPRODUCT(($D$164:$H$164=3)*($D222:$H222&gt;0))&gt;0,3,IF(SUMPRODUCT(($D$164:$H$164=4)*($D222:$H222&gt;0))&gt;0,4,IF(SUMPRODUCT(($D$164:$H$164=5)*($D222:$H222&gt;0))&gt;0,5,0)))))</f>
        <v/>
      </c>
      <c r="J222" s="305" t="n">
        <v>0</v>
      </c>
      <c r="K222" s="305">
        <f>IF(D222&lt;=0,0,MIN(ROUND(D222*(1+D$162/12),2),D$163+IF(D$164=$I222,$J222,0)))</f>
        <v/>
      </c>
      <c r="L222" s="305">
        <f>IF(E222&lt;=0,0,MIN(ROUND(E222*(1+E$162/12),2),E$163+IF(E$164=$I222,$J222,0)))</f>
        <v/>
      </c>
      <c r="M222" s="305">
        <f>IF(F222&lt;=0,0,MIN(ROUND(F222*(1+F$162/12),2),F$163+IF(F$164=$I222,$J222,0)))</f>
        <v/>
      </c>
      <c r="N222" s="305">
        <f>IF(G222&lt;=0,0,MIN(ROUND(G222*(1+G$162/12),2),G$163+IF(G$164=$I222,$J222,0)))</f>
        <v/>
      </c>
      <c r="O222" s="305">
        <f>IF(H222&lt;=0,0,MIN(ROUND(H222*(1+H$162/12),2),H$163+IF(H$164=$I222,$J222,0)))</f>
        <v/>
      </c>
      <c r="P222" s="305">
        <f>SUMPRODUCT($D222:$H222,$D$162:$H$162)/12</f>
        <v/>
      </c>
      <c r="Q222" s="305">
        <f>SUM($K222:$O222)</f>
        <v/>
      </c>
      <c r="R222" s="306">
        <f>SUM($D222:$H222)</f>
        <v/>
      </c>
      <c r="S222" s="1" t="n"/>
      <c r="T222" s="1" t="n"/>
      <c r="U222" s="1" t="n"/>
      <c r="V222" s="1" t="n"/>
      <c r="W222" s="1" t="n"/>
      <c r="X222" s="1" t="n"/>
      <c r="Y222" s="1" t="n"/>
      <c r="Z222" s="1" t="n"/>
    </row>
    <row r="223" ht="15.75" customHeight="1" s="311">
      <c r="A223" s="1" t="n"/>
      <c r="B223" s="303" t="n">
        <v>58</v>
      </c>
      <c r="C223" s="304">
        <f>EDATE(TODAY(),57)</f>
        <v/>
      </c>
      <c r="D223" s="305">
        <f>MAX(0,ROUND(D222*(1+D$162/12)-K222,2))</f>
        <v/>
      </c>
      <c r="E223" s="305">
        <f>MAX(0,ROUND(E222*(1+E$162/12)-L222,2))</f>
        <v/>
      </c>
      <c r="F223" s="305">
        <f>MAX(0,ROUND(F222*(1+F$162/12)-M222,2))</f>
        <v/>
      </c>
      <c r="G223" s="305">
        <f>MAX(0,ROUND(G222*(1+G$162/12)-N222,2))</f>
        <v/>
      </c>
      <c r="H223" s="305">
        <f>MAX(0,ROUND(H222*(1+H$162/12)-O222,2))</f>
        <v/>
      </c>
      <c r="I223" s="303">
        <f>IF(SUMPRODUCT(($D$164:$H$164=1)*($D223:$H223&gt;0))&gt;0,1,IF(SUMPRODUCT(($D$164:$H$164=2)*($D223:$H223&gt;0))&gt;0,2,IF(SUMPRODUCT(($D$164:$H$164=3)*($D223:$H223&gt;0))&gt;0,3,IF(SUMPRODUCT(($D$164:$H$164=4)*($D223:$H223&gt;0))&gt;0,4,IF(SUMPRODUCT(($D$164:$H$164=5)*($D223:$H223&gt;0))&gt;0,5,0)))))</f>
        <v/>
      </c>
      <c r="J223" s="305" t="n">
        <v>0</v>
      </c>
      <c r="K223" s="305">
        <f>IF(D223&lt;=0,0,MIN(ROUND(D223*(1+D$162/12),2),D$163+IF(D$164=$I223,$J223,0)))</f>
        <v/>
      </c>
      <c r="L223" s="305">
        <f>IF(E223&lt;=0,0,MIN(ROUND(E223*(1+E$162/12),2),E$163+IF(E$164=$I223,$J223,0)))</f>
        <v/>
      </c>
      <c r="M223" s="305">
        <f>IF(F223&lt;=0,0,MIN(ROUND(F223*(1+F$162/12),2),F$163+IF(F$164=$I223,$J223,0)))</f>
        <v/>
      </c>
      <c r="N223" s="305">
        <f>IF(G223&lt;=0,0,MIN(ROUND(G223*(1+G$162/12),2),G$163+IF(G$164=$I223,$J223,0)))</f>
        <v/>
      </c>
      <c r="O223" s="305">
        <f>IF(H223&lt;=0,0,MIN(ROUND(H223*(1+H$162/12),2),H$163+IF(H$164=$I223,$J223,0)))</f>
        <v/>
      </c>
      <c r="P223" s="305">
        <f>SUMPRODUCT($D223:$H223,$D$162:$H$162)/12</f>
        <v/>
      </c>
      <c r="Q223" s="305">
        <f>SUM($K223:$O223)</f>
        <v/>
      </c>
      <c r="R223" s="306">
        <f>SUM($D223:$H223)</f>
        <v/>
      </c>
      <c r="S223" s="1" t="n"/>
      <c r="T223" s="1" t="n"/>
      <c r="U223" s="1" t="n"/>
      <c r="V223" s="1" t="n"/>
      <c r="W223" s="1" t="n"/>
      <c r="X223" s="1" t="n"/>
      <c r="Y223" s="1" t="n"/>
      <c r="Z223" s="1" t="n"/>
    </row>
    <row r="224" ht="15.75" customHeight="1" s="311">
      <c r="A224" s="1" t="n"/>
      <c r="B224" s="303" t="n">
        <v>59</v>
      </c>
      <c r="C224" s="304">
        <f>EDATE(TODAY(),58)</f>
        <v/>
      </c>
      <c r="D224" s="305">
        <f>MAX(0,ROUND(D223*(1+D$162/12)-K223,2))</f>
        <v/>
      </c>
      <c r="E224" s="305">
        <f>MAX(0,ROUND(E223*(1+E$162/12)-L223,2))</f>
        <v/>
      </c>
      <c r="F224" s="305">
        <f>MAX(0,ROUND(F223*(1+F$162/12)-M223,2))</f>
        <v/>
      </c>
      <c r="G224" s="305">
        <f>MAX(0,ROUND(G223*(1+G$162/12)-N223,2))</f>
        <v/>
      </c>
      <c r="H224" s="305">
        <f>MAX(0,ROUND(H223*(1+H$162/12)-O223,2))</f>
        <v/>
      </c>
      <c r="I224" s="303">
        <f>IF(SUMPRODUCT(($D$164:$H$164=1)*($D224:$H224&gt;0))&gt;0,1,IF(SUMPRODUCT(($D$164:$H$164=2)*($D224:$H224&gt;0))&gt;0,2,IF(SUMPRODUCT(($D$164:$H$164=3)*($D224:$H224&gt;0))&gt;0,3,IF(SUMPRODUCT(($D$164:$H$164=4)*($D224:$H224&gt;0))&gt;0,4,IF(SUMPRODUCT(($D$164:$H$164=5)*($D224:$H224&gt;0))&gt;0,5,0)))))</f>
        <v/>
      </c>
      <c r="J224" s="305" t="n">
        <v>0</v>
      </c>
      <c r="K224" s="305">
        <f>IF(D224&lt;=0,0,MIN(ROUND(D224*(1+D$162/12),2),D$163+IF(D$164=$I224,$J224,0)))</f>
        <v/>
      </c>
      <c r="L224" s="305">
        <f>IF(E224&lt;=0,0,MIN(ROUND(E224*(1+E$162/12),2),E$163+IF(E$164=$I224,$J224,0)))</f>
        <v/>
      </c>
      <c r="M224" s="305">
        <f>IF(F224&lt;=0,0,MIN(ROUND(F224*(1+F$162/12),2),F$163+IF(F$164=$I224,$J224,0)))</f>
        <v/>
      </c>
      <c r="N224" s="305">
        <f>IF(G224&lt;=0,0,MIN(ROUND(G224*(1+G$162/12),2),G$163+IF(G$164=$I224,$J224,0)))</f>
        <v/>
      </c>
      <c r="O224" s="305">
        <f>IF(H224&lt;=0,0,MIN(ROUND(H224*(1+H$162/12),2),H$163+IF(H$164=$I224,$J224,0)))</f>
        <v/>
      </c>
      <c r="P224" s="305">
        <f>SUMPRODUCT($D224:$H224,$D$162:$H$162)/12</f>
        <v/>
      </c>
      <c r="Q224" s="305">
        <f>SUM($K224:$O224)</f>
        <v/>
      </c>
      <c r="R224" s="306">
        <f>SUM($D224:$H224)</f>
        <v/>
      </c>
      <c r="S224" s="1" t="n"/>
      <c r="T224" s="1" t="n"/>
      <c r="U224" s="1" t="n"/>
      <c r="V224" s="1" t="n"/>
      <c r="W224" s="1" t="n"/>
      <c r="X224" s="1" t="n"/>
      <c r="Y224" s="1" t="n"/>
      <c r="Z224" s="1" t="n"/>
    </row>
    <row r="225" ht="15.75" customHeight="1" s="311">
      <c r="A225" s="1" t="n"/>
      <c r="B225" s="303" t="n">
        <v>60</v>
      </c>
      <c r="C225" s="304">
        <f>EDATE(TODAY(),59)</f>
        <v/>
      </c>
      <c r="D225" s="305">
        <f>MAX(0,ROUND(D224*(1+D$162/12)-K224,2))</f>
        <v/>
      </c>
      <c r="E225" s="305">
        <f>MAX(0,ROUND(E224*(1+E$162/12)-L224,2))</f>
        <v/>
      </c>
      <c r="F225" s="305">
        <f>MAX(0,ROUND(F224*(1+F$162/12)-M224,2))</f>
        <v/>
      </c>
      <c r="G225" s="305">
        <f>MAX(0,ROUND(G224*(1+G$162/12)-N224,2))</f>
        <v/>
      </c>
      <c r="H225" s="305">
        <f>MAX(0,ROUND(H224*(1+H$162/12)-O224,2))</f>
        <v/>
      </c>
      <c r="I225" s="303">
        <f>IF(SUMPRODUCT(($D$164:$H$164=1)*($D225:$H225&gt;0))&gt;0,1,IF(SUMPRODUCT(($D$164:$H$164=2)*($D225:$H225&gt;0))&gt;0,2,IF(SUMPRODUCT(($D$164:$H$164=3)*($D225:$H225&gt;0))&gt;0,3,IF(SUMPRODUCT(($D$164:$H$164=4)*($D225:$H225&gt;0))&gt;0,4,IF(SUMPRODUCT(($D$164:$H$164=5)*($D225:$H225&gt;0))&gt;0,5,0)))))</f>
        <v/>
      </c>
      <c r="J225" s="305" t="n">
        <v>0</v>
      </c>
      <c r="K225" s="305">
        <f>IF(D225&lt;=0,0,MIN(ROUND(D225*(1+D$162/12),2),D$163+IF(D$164=$I225,$J225,0)))</f>
        <v/>
      </c>
      <c r="L225" s="305">
        <f>IF(E225&lt;=0,0,MIN(ROUND(E225*(1+E$162/12),2),E$163+IF(E$164=$I225,$J225,0)))</f>
        <v/>
      </c>
      <c r="M225" s="305">
        <f>IF(F225&lt;=0,0,MIN(ROUND(F225*(1+F$162/12),2),F$163+IF(F$164=$I225,$J225,0)))</f>
        <v/>
      </c>
      <c r="N225" s="305">
        <f>IF(G225&lt;=0,0,MIN(ROUND(G225*(1+G$162/12),2),G$163+IF(G$164=$I225,$J225,0)))</f>
        <v/>
      </c>
      <c r="O225" s="305">
        <f>IF(H225&lt;=0,0,MIN(ROUND(H225*(1+H$162/12),2),H$163+IF(H$164=$I225,$J225,0)))</f>
        <v/>
      </c>
      <c r="P225" s="305">
        <f>SUMPRODUCT($D225:$H225,$D$162:$H$162)/12</f>
        <v/>
      </c>
      <c r="Q225" s="305">
        <f>SUM($K225:$O225)</f>
        <v/>
      </c>
      <c r="R225" s="306">
        <f>SUM($D225:$H225)</f>
        <v/>
      </c>
      <c r="S225" s="1" t="n"/>
      <c r="T225" s="1" t="n"/>
      <c r="U225" s="1" t="n"/>
      <c r="V225" s="1" t="n"/>
      <c r="W225" s="1" t="n"/>
      <c r="X225" s="1" t="n"/>
      <c r="Y225" s="1" t="n"/>
      <c r="Z225" s="1" t="n"/>
    </row>
    <row r="226" ht="15.75" customHeight="1" s="31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31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31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24" customHeight="1" s="311">
      <c r="A229" s="1" t="n"/>
      <c r="B229" s="97" t="inlineStr">
        <is>
          <t>D.  COMPARATIVA  —  cuál te conviene</t>
        </is>
      </c>
      <c r="S229" s="1" t="n"/>
      <c r="T229" s="1" t="n"/>
      <c r="U229" s="1" t="n"/>
      <c r="V229" s="1" t="n"/>
      <c r="W229" s="1" t="n"/>
      <c r="X229" s="1" t="n"/>
      <c r="Y229" s="1" t="n"/>
      <c r="Z229" s="1" t="n"/>
    </row>
    <row r="230" ht="30" customHeight="1" s="311">
      <c r="A230" s="1" t="n"/>
      <c r="B230" s="11" t="n"/>
      <c r="C230" s="11" t="inlineStr">
        <is>
          <t>Método</t>
        </is>
      </c>
      <c r="D230" s="11" t="inlineStr">
        <is>
          <t>Meses hasta
quedar libre</t>
        </is>
      </c>
      <c r="E230" s="11" t="inlineStr">
        <is>
          <t>Fecha de
liberación</t>
        </is>
      </c>
      <c r="F230" s="11" t="inlineStr">
        <is>
          <t>Intereses
totales (€)</t>
        </is>
      </c>
      <c r="G230" s="11" t="inlineStr">
        <is>
          <t>Coste frente al
mejor (€)</t>
        </is>
      </c>
      <c r="H230" s="11" t="inlineStr">
        <is>
          <t>Lectura</t>
        </is>
      </c>
      <c r="I230" s="403" t="n"/>
      <c r="J230" s="403" t="n"/>
      <c r="K230" s="403" t="n"/>
      <c r="L230" s="403" t="n"/>
      <c r="M230" s="403" t="n"/>
      <c r="N230" s="403" t="n"/>
      <c r="O230" s="403" t="n"/>
      <c r="P230" s="403" t="n"/>
      <c r="Q230" s="403" t="n"/>
      <c r="R230" s="395" t="n"/>
      <c r="S230" s="1" t="n"/>
      <c r="T230" s="1" t="n"/>
      <c r="U230" s="1" t="n"/>
      <c r="V230" s="1" t="n"/>
      <c r="W230" s="1" t="n"/>
      <c r="X230" s="1" t="n"/>
      <c r="Y230" s="1" t="n"/>
      <c r="Z230" s="1" t="n"/>
    </row>
    <row r="231" ht="24" customHeight="1" s="311">
      <c r="A231" s="1" t="n"/>
      <c r="B231" s="204" t="n">
        <v>1</v>
      </c>
      <c r="C231" s="4" t="inlineStr">
        <is>
          <t>AVALANCHA</t>
        </is>
      </c>
      <c r="D231" s="257">
        <f>IFERROR(MATCH(0,$R$30:$R$89,0)-1,"&gt;60")</f>
        <v/>
      </c>
      <c r="E231" s="307">
        <f t="array" ref="E231">IFERROR(INDEX($C$30:$C$89,MATCH(0,$R$30:$R$89,0)),"—")</f>
        <v/>
      </c>
      <c r="F231" s="222">
        <f>SUM($P$30:$P$89)</f>
        <v/>
      </c>
      <c r="G231" s="13">
        <f>$F231-MIN($F$231:$F$233)</f>
        <v/>
      </c>
      <c r="H231" s="209" t="inlineStr">
        <is>
          <t>La opción matemáticamente óptima: es la que menos intereses te cuesta.</t>
        </is>
      </c>
      <c r="I231" s="403" t="n"/>
      <c r="J231" s="403" t="n"/>
      <c r="K231" s="403" t="n"/>
      <c r="L231" s="403" t="n"/>
      <c r="M231" s="403" t="n"/>
      <c r="N231" s="403" t="n"/>
      <c r="O231" s="403" t="n"/>
      <c r="P231" s="403" t="n"/>
      <c r="Q231" s="403" t="n"/>
      <c r="R231" s="395" t="n"/>
      <c r="S231" s="1" t="n"/>
      <c r="T231" s="1" t="n"/>
      <c r="U231" s="1" t="n"/>
      <c r="V231" s="1" t="n"/>
      <c r="W231" s="1" t="n"/>
      <c r="X231" s="1" t="n"/>
      <c r="Y231" s="1" t="n"/>
      <c r="Z231" s="1" t="n"/>
    </row>
    <row r="232" ht="24" customHeight="1" s="311">
      <c r="A232" s="1" t="n"/>
      <c r="B232" s="204" t="n">
        <v>2</v>
      </c>
      <c r="C232" s="4" t="inlineStr">
        <is>
          <t>BOLA DE NIEVE</t>
        </is>
      </c>
      <c r="D232" s="257">
        <f>IFERROR(MATCH(0,$R$98:$R$157,0)-1,"&gt;60")</f>
        <v/>
      </c>
      <c r="E232" s="307">
        <f t="array" ref="E232">IFERROR(INDEX($C$98:$C$157,MATCH(0,$R$98:$R$157,0)),"—")</f>
        <v/>
      </c>
      <c r="F232" s="222">
        <f>SUM($P$98:$P$157)</f>
        <v/>
      </c>
      <c r="G232" s="13">
        <f>$F232-MIN($F$231:$F$233)</f>
        <v/>
      </c>
      <c r="H232" s="209" t="inlineStr">
        <is>
          <t>Cuesta algo más, pero cancelas deudas enteras antes. Si te cuesta mantener la constancia, esta gana en la práctica.</t>
        </is>
      </c>
      <c r="I232" s="403" t="n"/>
      <c r="J232" s="403" t="n"/>
      <c r="K232" s="403" t="n"/>
      <c r="L232" s="403" t="n"/>
      <c r="M232" s="403" t="n"/>
      <c r="N232" s="403" t="n"/>
      <c r="O232" s="403" t="n"/>
      <c r="P232" s="403" t="n"/>
      <c r="Q232" s="403" t="n"/>
      <c r="R232" s="395" t="n"/>
      <c r="S232" s="1" t="n"/>
      <c r="T232" s="1" t="n"/>
      <c r="U232" s="1" t="n"/>
      <c r="V232" s="1" t="n"/>
      <c r="W232" s="1" t="n"/>
      <c r="X232" s="1" t="n"/>
      <c r="Y232" s="1" t="n"/>
      <c r="Z232" s="1" t="n"/>
    </row>
    <row r="233" ht="24" customHeight="1" s="311">
      <c r="A233" s="1" t="n"/>
      <c r="B233" s="204" t="n">
        <v>3</v>
      </c>
      <c r="C233" s="4" t="inlineStr">
        <is>
          <t>SOLO MÍNIMOS</t>
        </is>
      </c>
      <c r="D233" s="257">
        <f>IFERROR(MATCH(0,$R$166:$R$225,0)-1,"&gt;60")</f>
        <v/>
      </c>
      <c r="E233" s="307">
        <f t="array" ref="E233">IFERROR(INDEX($C$166:$C$225,MATCH(0,$R$166:$R$225,0)),"—")</f>
        <v/>
      </c>
      <c r="F233" s="222">
        <f>SUM($P$166:$P$225)</f>
        <v/>
      </c>
      <c r="G233" s="13">
        <f>$F233-MIN($F$231:$F$233)</f>
        <v/>
      </c>
      <c r="H233" s="209" t="inlineStr">
        <is>
          <t>Lo que pasa si no cambias nada. Compáralo con las dos de arriba: la diferencia es el precio de no actuar.</t>
        </is>
      </c>
      <c r="I233" s="403" t="n"/>
      <c r="J233" s="403" t="n"/>
      <c r="K233" s="403" t="n"/>
      <c r="L233" s="403" t="n"/>
      <c r="M233" s="403" t="n"/>
      <c r="N233" s="403" t="n"/>
      <c r="O233" s="403" t="n"/>
      <c r="P233" s="403" t="n"/>
      <c r="Q233" s="403" t="n"/>
      <c r="R233" s="395" t="n"/>
      <c r="S233" s="1" t="n"/>
      <c r="T233" s="1" t="n"/>
      <c r="U233" s="1" t="n"/>
      <c r="V233" s="1" t="n"/>
      <c r="W233" s="1" t="n"/>
      <c r="X233" s="1" t="n"/>
      <c r="Y233" s="1" t="n"/>
      <c r="Z233" s="1" t="n"/>
    </row>
    <row r="234" ht="15.75" customHeight="1" s="31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48" customHeight="1" s="311">
      <c r="A235" s="1" t="n"/>
      <c r="B235" s="99">
        <f>IF($D$21=0,"🔴 No has activado ninguna palanca: solo con los mínimos la deuda casi no se mueve. Activa al menos la carencia de la hipoteca en el bloque B y vuelve a mirar.","Con "&amp;TEXT($D$21,"#,##0")&amp;" €/mes extra, la AVALANCHA te deja libre de deuda cara en "&amp;$D$231&amp;" meses y la BOLA DE NIEVE en "&amp;$D$232&amp;". La diferencia de coste entre las dos es de "&amp;TEXT(ABS($F$232-$F$231),"#,##0.00")&amp;" €. Si esa diferencia te parece pequeña, elige bola de nieve: la que se termina siempre gana a la que es óptima sobre el papel.")</f>
        <v/>
      </c>
      <c r="S235" s="1" t="n"/>
      <c r="T235" s="1" t="n"/>
      <c r="U235" s="1" t="n"/>
      <c r="V235" s="1" t="n"/>
      <c r="W235" s="1" t="n"/>
      <c r="X235" s="1" t="n"/>
      <c r="Y235" s="1" t="n"/>
      <c r="Z235" s="1" t="n"/>
    </row>
    <row r="236" ht="15.75" customHeight="1" s="31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48" customHeight="1" s="311">
      <c r="A237" s="1" t="n"/>
      <c r="B237" s="105" t="inlineStr">
        <is>
          <t>CÓMO LEER LA SIMULACIÓN: cada mes se cobran los intereses de cada deuda, se pagan los mínimos y todo el dinero extra va íntegro a la deuda marcada como "objetivo". Cuando una deuda llega a cero, su cuota mínima se suma automáticamente al extra del mes siguiente: eso es el efecto bola de nieve. La simulación es conservadora: no reparte el sobrante del mismo mes entre dos deudas, así que en la vida real irás algo más rápido de lo que ves aquí.</t>
        </is>
      </c>
      <c r="S237" s="1" t="n"/>
      <c r="T237" s="1" t="n"/>
      <c r="U237" s="1" t="n"/>
      <c r="V237" s="1" t="n"/>
      <c r="W237" s="1" t="n"/>
      <c r="X237" s="1" t="n"/>
      <c r="Y237" s="1" t="n"/>
      <c r="Z237" s="1" t="n"/>
    </row>
    <row r="238" ht="15.75" customHeight="1" s="31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31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31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31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31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31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31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31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31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31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31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31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31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31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31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31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31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31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31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31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31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31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31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31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31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31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31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31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31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31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31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31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31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31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31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31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31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31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31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31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31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31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31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31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31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31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31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31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31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31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31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31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31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31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31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31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31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31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31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31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31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31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31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31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31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31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31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31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31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31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31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31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31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31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31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31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31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31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31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31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31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31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31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31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31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31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31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31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31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31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31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31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31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31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31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31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31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31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31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31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31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31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31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31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31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31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31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31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31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31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31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31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31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31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31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31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31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31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31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31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31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31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31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31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31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31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31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31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31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31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31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31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31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31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31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31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31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31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31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31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31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31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31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31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31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31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31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31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31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31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31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31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31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31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31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31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31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31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31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31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31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31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31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31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31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31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31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31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31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31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31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31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3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31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31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31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31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31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31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31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31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31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31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31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31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31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31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31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31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31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31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31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31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31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31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31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31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31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31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31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31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31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31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31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31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31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31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31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31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31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31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31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31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31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31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31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31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31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31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31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31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31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31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31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31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31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31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31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31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31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31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31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31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31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31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31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31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31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31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31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31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31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31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31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31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31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31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31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31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31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31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31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31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31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31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31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31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31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31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31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31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31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31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31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31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31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31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31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31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31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31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31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3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31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31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31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31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31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31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31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31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31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31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31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31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31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31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31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31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31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31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31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31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31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31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31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31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31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31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31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31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31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31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31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31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31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31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31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31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31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31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31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31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31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31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31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31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31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31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31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31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31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31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31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31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31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31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31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31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31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31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31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31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31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31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31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31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31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31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31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31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31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31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31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31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31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31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31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31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31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31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31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31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31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31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31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31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31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31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31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31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31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31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31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31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31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31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31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31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31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31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31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3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31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31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31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31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31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31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31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31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31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31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31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31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31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31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31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31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31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31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31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31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31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31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31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31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31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31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31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31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31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31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31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31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31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31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31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31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31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31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31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31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31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31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31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31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31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31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31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31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31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31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31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31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31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31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31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31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31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31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31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31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31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31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31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31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31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31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31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31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31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31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31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31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31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31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31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31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31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31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31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31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31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31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31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31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31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31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31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31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31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31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31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31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31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31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31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31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31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31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31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3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31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31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31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31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31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31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31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31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31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31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31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31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31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31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31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31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31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31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31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31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31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31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31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31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31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31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31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31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31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31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31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31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31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31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31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31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31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31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31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31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31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31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31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31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31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31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31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31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31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31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31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31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31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31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31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31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31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31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31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31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31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31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31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31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31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31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31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31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31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31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31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31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31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31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31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31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31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31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31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31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31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31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31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31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31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31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31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31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31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31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31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31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31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31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31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31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31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31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31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3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31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31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31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31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31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31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31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31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31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31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31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31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31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31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31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31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31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31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31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31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31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31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31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31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31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31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31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31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31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31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31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31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31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31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31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31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31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31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31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31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31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31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31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31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31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31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31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31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31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31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31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31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31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31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31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31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31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31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31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31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31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31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31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31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31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31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31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31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31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31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31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31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31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31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31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31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31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31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31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31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31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31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31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31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31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31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31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31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31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31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31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31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31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31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31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31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31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31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31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3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31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31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31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31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31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31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31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31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31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31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31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31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31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31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31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31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31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31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31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31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31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31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31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31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31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31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31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31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31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31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31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31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31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31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31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31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31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31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31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31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31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31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31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31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31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31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31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31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31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31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31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31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31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31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31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31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31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31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31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31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31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31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31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31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31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31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31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31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31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31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31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31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31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31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31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31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31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31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31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31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311">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311">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311">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311">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311">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311">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311">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311">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311">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0">
    <mergeCell ref="B4:R4"/>
    <mergeCell ref="J6:R6"/>
    <mergeCell ref="F22:R22"/>
    <mergeCell ref="H231:R231"/>
    <mergeCell ref="B237:R237"/>
    <mergeCell ref="B25:R25"/>
    <mergeCell ref="H230:R230"/>
    <mergeCell ref="J11:R11"/>
    <mergeCell ref="B93:R93"/>
    <mergeCell ref="J7:R7"/>
    <mergeCell ref="B161:R161"/>
    <mergeCell ref="H232:R232"/>
    <mergeCell ref="B235:R235"/>
    <mergeCell ref="B2:R2"/>
    <mergeCell ref="B229:R229"/>
    <mergeCell ref="F19:R19"/>
    <mergeCell ref="B1:R1"/>
    <mergeCell ref="J12:R12"/>
    <mergeCell ref="B14:R14"/>
    <mergeCell ref="F16:R16"/>
    <mergeCell ref="J8:R8"/>
    <mergeCell ref="F21:R21"/>
    <mergeCell ref="F15:R15"/>
    <mergeCell ref="F20:R20"/>
    <mergeCell ref="H233:R233"/>
    <mergeCell ref="J5:R5"/>
    <mergeCell ref="F18:R18"/>
    <mergeCell ref="J10:R10"/>
    <mergeCell ref="F17:R17"/>
    <mergeCell ref="J9:R9"/>
  </mergeCells>
  <conditionalFormatting sqref="R30:R89">
    <cfRule type="expression" priority="1" dxfId="12">
      <formula>$R30=0</formula>
    </cfRule>
  </conditionalFormatting>
  <conditionalFormatting sqref="R98:R157">
    <cfRule type="expression" priority="2" dxfId="12">
      <formula>$R98=0</formula>
    </cfRule>
  </conditionalFormatting>
  <conditionalFormatting sqref="R166:R225">
    <cfRule type="expression" priority="3" dxfId="12">
      <formula>$R166=0</formula>
    </cfRule>
  </conditionalFormatting>
  <dataValidations count="1">
    <dataValidation sqref="E16:E20" showDropDown="0" showInputMessage="0" showErrorMessage="0" allowBlank="1" type="list">
      <formula1>"Sí,No"</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2026-08-11T13:28:05Z</dcterms:created>
  <dcterms:modified xmlns:dcterms="http://purl.org/dc/terms/" xmlns:xsi="http://www.w3.org/2001/XMLSchema-instance" xsi:type="dcterms:W3CDTF">2026-08-11T13:28:10Z</dcterms:modified>
</cp:coreProperties>
</file>