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6540" activeTab="2"/>
  </bookViews>
  <sheets>
    <sheet name="SCORE" sheetId="1" r:id="rId1"/>
    <sheet name="second" sheetId="3" r:id="rId2"/>
    <sheet name="report" sheetId="2" r:id="rId3"/>
    <sheet name="Sheet1" sheetId="4" r:id="rId4"/>
  </sheets>
  <definedNames>
    <definedName name="_xlnm.Print_Area" localSheetId="2">report!$A$1:$R$51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K35" i="2"/>
  <c r="J35" i="2"/>
  <c r="F35" i="2"/>
  <c r="K39" i="2"/>
  <c r="J38" i="2"/>
  <c r="K38" i="2"/>
  <c r="F38" i="2"/>
  <c r="K26" i="2"/>
  <c r="J26" i="2"/>
  <c r="K27" i="2"/>
  <c r="J27" i="2"/>
  <c r="F27" i="2"/>
  <c r="K31" i="2"/>
  <c r="J31" i="2"/>
  <c r="J40" i="2"/>
  <c r="J36" i="2"/>
  <c r="K37" i="2"/>
  <c r="J37" i="2"/>
  <c r="G37" i="2"/>
  <c r="F37" i="2"/>
  <c r="K40" i="2"/>
  <c r="J30" i="2"/>
  <c r="J39" i="2"/>
  <c r="K36" i="2"/>
  <c r="J33" i="2"/>
  <c r="K34" i="2"/>
  <c r="J34" i="2"/>
  <c r="K33" i="2"/>
  <c r="L32" i="2"/>
  <c r="K30" i="2"/>
  <c r="L29" i="2"/>
  <c r="K28" i="2"/>
  <c r="J28" i="2"/>
  <c r="K25" i="2"/>
  <c r="G25" i="2"/>
  <c r="H40" i="2"/>
  <c r="H30" i="2"/>
  <c r="H29" i="2"/>
  <c r="H28" i="2"/>
  <c r="G40" i="2"/>
  <c r="G39" i="2"/>
  <c r="G36" i="2"/>
  <c r="G34" i="2"/>
  <c r="G33" i="2"/>
  <c r="G32" i="2"/>
  <c r="G30" i="2"/>
  <c r="G28" i="2"/>
  <c r="E16" i="2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18" i="1"/>
  <c r="BF19" i="1"/>
  <c r="L36" i="2" l="1"/>
  <c r="L27" i="2"/>
  <c r="L35" i="2"/>
  <c r="L38" i="2"/>
  <c r="L34" i="2"/>
  <c r="L37" i="2"/>
  <c r="L26" i="2"/>
  <c r="L31" i="2"/>
  <c r="K41" i="2"/>
  <c r="J41" i="2"/>
  <c r="L40" i="2"/>
  <c r="L25" i="2"/>
  <c r="L28" i="2"/>
  <c r="L39" i="2"/>
  <c r="L33" i="2"/>
  <c r="L30" i="2"/>
  <c r="BC18" i="1"/>
  <c r="BC19" i="1"/>
  <c r="BC20" i="1"/>
  <c r="BC21" i="1"/>
  <c r="BC22" i="1"/>
  <c r="BC24" i="1"/>
  <c r="BC25" i="1"/>
  <c r="BC26" i="1"/>
  <c r="BC27" i="1"/>
  <c r="BC28" i="1"/>
  <c r="BC29" i="1"/>
  <c r="BC30" i="1"/>
  <c r="BC31" i="1"/>
  <c r="BC32" i="1"/>
  <c r="BC33" i="1"/>
  <c r="BC34" i="1"/>
  <c r="BC23" i="1"/>
  <c r="AZ25" i="1"/>
  <c r="AZ26" i="1"/>
  <c r="AZ27" i="1"/>
  <c r="AZ28" i="1"/>
  <c r="AZ29" i="1"/>
  <c r="AZ30" i="1"/>
  <c r="AZ31" i="1"/>
  <c r="AZ32" i="1"/>
  <c r="AZ33" i="1"/>
  <c r="AZ34" i="1"/>
  <c r="AZ18" i="1"/>
  <c r="AZ19" i="1"/>
  <c r="AZ20" i="1"/>
  <c r="AZ21" i="1"/>
  <c r="AZ22" i="1"/>
  <c r="AZ23" i="1"/>
  <c r="AZ24" i="1"/>
  <c r="AW18" i="1"/>
  <c r="AW19" i="1"/>
  <c r="AW20" i="1"/>
  <c r="AW21" i="1"/>
  <c r="AW22" i="1"/>
  <c r="AW23" i="1"/>
  <c r="AW24" i="1"/>
  <c r="AW29" i="1"/>
  <c r="AW30" i="1"/>
  <c r="AW31" i="1"/>
  <c r="AW32" i="1"/>
  <c r="AW33" i="1"/>
  <c r="AW34" i="1"/>
  <c r="AW35" i="1"/>
  <c r="AW27" i="1"/>
  <c r="AW28" i="1"/>
  <c r="AW26" i="1"/>
  <c r="AW25" i="1"/>
  <c r="AU18" i="1"/>
  <c r="AU19" i="1"/>
  <c r="AU20" i="1"/>
  <c r="AU21" i="1"/>
  <c r="AU22" i="1"/>
  <c r="AU23" i="1"/>
  <c r="AU24" i="1"/>
  <c r="AU25" i="1"/>
  <c r="AU26" i="1"/>
  <c r="AU28" i="1"/>
  <c r="AU29" i="1"/>
  <c r="AU30" i="1"/>
  <c r="AU31" i="1"/>
  <c r="AU32" i="1"/>
  <c r="AU33" i="1"/>
  <c r="AU34" i="1"/>
  <c r="AU35" i="1"/>
  <c r="AU27" i="1"/>
  <c r="BK25" i="1" l="1"/>
  <c r="BL25" i="1" s="1"/>
  <c r="BK21" i="1"/>
  <c r="BL21" i="1" s="1"/>
  <c r="L41" i="2"/>
  <c r="AO20" i="1"/>
  <c r="BK20" i="1" s="1"/>
  <c r="BL20" i="1" s="1"/>
  <c r="AO21" i="1"/>
  <c r="AO22" i="1"/>
  <c r="BK22" i="1" s="1"/>
  <c r="BL22" i="1" s="1"/>
  <c r="AO23" i="1"/>
  <c r="BK23" i="1" s="1"/>
  <c r="BL23" i="1" s="1"/>
  <c r="AO24" i="1"/>
  <c r="AO25" i="1"/>
  <c r="AO26" i="1"/>
  <c r="AO27" i="1"/>
  <c r="BK27" i="1" s="1"/>
  <c r="BL27" i="1" s="1"/>
  <c r="BM27" i="1" s="1"/>
  <c r="AO28" i="1"/>
  <c r="AO29" i="1"/>
  <c r="BK29" i="1" s="1"/>
  <c r="BL29" i="1" s="1"/>
  <c r="AO30" i="1"/>
  <c r="BK30" i="1" s="1"/>
  <c r="BL30" i="1" s="1"/>
  <c r="AO31" i="1"/>
  <c r="BK31" i="1" s="1"/>
  <c r="BL31" i="1" s="1"/>
  <c r="AO32" i="1"/>
  <c r="BK32" i="1" s="1"/>
  <c r="BL32" i="1" s="1"/>
  <c r="AO33" i="1"/>
  <c r="BK33" i="1" s="1"/>
  <c r="BL33" i="1" s="1"/>
  <c r="AO34" i="1"/>
  <c r="AO35" i="1"/>
  <c r="BK35" i="1" s="1"/>
  <c r="BL35" i="1" s="1"/>
  <c r="J42" i="2" s="1"/>
  <c r="J44" i="2" s="1"/>
  <c r="AO18" i="1"/>
  <c r="AO19" i="1"/>
  <c r="BK19" i="1" s="1"/>
  <c r="BL19" i="1" s="1"/>
  <c r="AL18" i="1"/>
  <c r="AL20" i="1"/>
  <c r="AL21" i="1"/>
  <c r="AL22" i="1"/>
  <c r="AL23" i="1"/>
  <c r="AL24" i="1"/>
  <c r="BK24" i="1" s="1"/>
  <c r="BL24" i="1" s="1"/>
  <c r="AL25" i="1"/>
  <c r="AL26" i="1"/>
  <c r="BK26" i="1" s="1"/>
  <c r="BL26" i="1" s="1"/>
  <c r="AL27" i="1"/>
  <c r="AL28" i="1"/>
  <c r="BK28" i="1" s="1"/>
  <c r="BL28" i="1" s="1"/>
  <c r="AL29" i="1"/>
  <c r="AL30" i="1"/>
  <c r="AL31" i="1"/>
  <c r="AL32" i="1"/>
  <c r="AL33" i="1"/>
  <c r="AL34" i="1"/>
  <c r="AL35" i="1"/>
  <c r="AL19" i="1"/>
  <c r="AJ18" i="1"/>
  <c r="BK18" i="1" s="1"/>
  <c r="BL18" i="1" s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BK34" i="1" s="1"/>
  <c r="BL34" i="1" s="1"/>
  <c r="AJ35" i="1"/>
  <c r="AJ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18" i="1"/>
  <c r="AG19" i="1"/>
  <c r="AD18" i="1"/>
  <c r="AD19" i="1"/>
  <c r="AD20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21" i="1"/>
  <c r="BM28" i="1" l="1"/>
  <c r="BM22" i="1"/>
  <c r="BM26" i="1"/>
  <c r="BM32" i="1"/>
  <c r="BM19" i="1"/>
  <c r="BM23" i="1"/>
  <c r="BM18" i="1"/>
  <c r="BM24" i="1"/>
  <c r="BM31" i="1"/>
  <c r="BM29" i="1"/>
  <c r="BM34" i="1"/>
  <c r="BM35" i="1"/>
  <c r="J43" i="2" s="1"/>
  <c r="BM33" i="1"/>
  <c r="BM20" i="1"/>
  <c r="BM30" i="1"/>
  <c r="BM21" i="1"/>
  <c r="BM25" i="1"/>
  <c r="E41" i="2"/>
  <c r="D41" i="2"/>
  <c r="F40" i="2"/>
  <c r="F39" i="2"/>
  <c r="F36" i="2"/>
  <c r="F34" i="2"/>
  <c r="F33" i="2"/>
  <c r="F32" i="2"/>
  <c r="F30" i="2"/>
  <c r="I29" i="2"/>
  <c r="F29" i="2"/>
  <c r="F28" i="2"/>
  <c r="F25" i="2"/>
  <c r="R32" i="1"/>
  <c r="P32" i="1"/>
  <c r="N32" i="1"/>
  <c r="L32" i="1"/>
  <c r="J32" i="1"/>
  <c r="E32" i="1"/>
  <c r="R31" i="1"/>
  <c r="P31" i="1"/>
  <c r="N31" i="1"/>
  <c r="L31" i="1"/>
  <c r="J31" i="1"/>
  <c r="E31" i="1"/>
  <c r="R30" i="1"/>
  <c r="P30" i="1"/>
  <c r="N30" i="1"/>
  <c r="L30" i="1"/>
  <c r="J30" i="1"/>
  <c r="E30" i="1"/>
  <c r="R29" i="1"/>
  <c r="P29" i="1"/>
  <c r="N29" i="1"/>
  <c r="L29" i="1"/>
  <c r="J29" i="1"/>
  <c r="E29" i="1"/>
  <c r="R28" i="1"/>
  <c r="P28" i="1"/>
  <c r="N28" i="1"/>
  <c r="L28" i="1"/>
  <c r="J28" i="1"/>
  <c r="E28" i="1"/>
  <c r="R27" i="1"/>
  <c r="P27" i="1"/>
  <c r="N27" i="1"/>
  <c r="L27" i="1"/>
  <c r="J27" i="1"/>
  <c r="E27" i="1"/>
  <c r="R26" i="1"/>
  <c r="P26" i="1"/>
  <c r="N26" i="1"/>
  <c r="L26" i="1"/>
  <c r="J26" i="1"/>
  <c r="E26" i="1"/>
  <c r="R25" i="1"/>
  <c r="P25" i="1"/>
  <c r="N25" i="1"/>
  <c r="L25" i="1"/>
  <c r="J25" i="1"/>
  <c r="E25" i="1"/>
  <c r="R24" i="1"/>
  <c r="P24" i="1"/>
  <c r="N24" i="1"/>
  <c r="L24" i="1"/>
  <c r="J24" i="1"/>
  <c r="E24" i="1"/>
  <c r="R23" i="1"/>
  <c r="P23" i="1"/>
  <c r="N23" i="1"/>
  <c r="L23" i="1"/>
  <c r="J23" i="1"/>
  <c r="E23" i="1"/>
  <c r="R22" i="1"/>
  <c r="P22" i="1"/>
  <c r="N22" i="1"/>
  <c r="L22" i="1"/>
  <c r="J22" i="1"/>
  <c r="E22" i="1"/>
  <c r="R21" i="1"/>
  <c r="P21" i="1"/>
  <c r="N21" i="1"/>
  <c r="L21" i="1"/>
  <c r="J21" i="1"/>
  <c r="E21" i="1"/>
  <c r="R20" i="1"/>
  <c r="P20" i="1"/>
  <c r="N20" i="1"/>
  <c r="L20" i="1"/>
  <c r="J20" i="1"/>
  <c r="E20" i="1"/>
  <c r="R19" i="1"/>
  <c r="P19" i="1"/>
  <c r="N19" i="1"/>
  <c r="L19" i="1"/>
  <c r="J19" i="1"/>
  <c r="E19" i="1"/>
  <c r="R18" i="1"/>
  <c r="H39" i="2" s="1"/>
  <c r="P18" i="1"/>
  <c r="N18" i="1"/>
  <c r="H34" i="2" s="1"/>
  <c r="L18" i="1"/>
  <c r="H33" i="2" s="1"/>
  <c r="J18" i="1"/>
  <c r="H32" i="2" s="1"/>
  <c r="E18" i="1"/>
  <c r="H25" i="2" s="1"/>
  <c r="H37" i="2" l="1"/>
  <c r="I37" i="2" s="1"/>
  <c r="H36" i="2"/>
  <c r="F41" i="2"/>
  <c r="I30" i="2"/>
  <c r="I40" i="2"/>
  <c r="I32" i="2"/>
  <c r="Y18" i="1"/>
  <c r="I28" i="2"/>
  <c r="I36" i="2"/>
  <c r="I39" i="2"/>
  <c r="I33" i="2"/>
  <c r="G41" i="2"/>
  <c r="I34" i="2"/>
  <c r="I25" i="2"/>
  <c r="H41" i="2" l="1"/>
  <c r="I41" i="2"/>
  <c r="D42" i="2" s="1"/>
  <c r="D44" i="2" s="1"/>
  <c r="BD11" i="1" l="1"/>
</calcChain>
</file>

<file path=xl/sharedStrings.xml><?xml version="1.0" encoding="utf-8"?>
<sst xmlns="http://schemas.openxmlformats.org/spreadsheetml/2006/main" count="172" uniqueCount="105">
  <si>
    <t>UMURERWA Estella</t>
  </si>
  <si>
    <t>UWIRAGIYE Alice</t>
  </si>
  <si>
    <t>UWANYIRIGIRA Divine</t>
  </si>
  <si>
    <t>MASENGESHO Claudine</t>
  </si>
  <si>
    <t>BIZIMANA Jacques</t>
  </si>
  <si>
    <t>MUKASETI Pascaline</t>
  </si>
  <si>
    <t>KANEZA Karebu</t>
  </si>
  <si>
    <t>HAGENIMANA Theogene</t>
  </si>
  <si>
    <t>SHEMA Levis</t>
  </si>
  <si>
    <t>TUYISENGE Julienne</t>
  </si>
  <si>
    <t>MUTAMBA Joyce</t>
  </si>
  <si>
    <t>ATOSHA Gerardine</t>
  </si>
  <si>
    <t>IGIRANEZA Thierry</t>
  </si>
  <si>
    <t>FOOD AND BEVERAGE SERVICE</t>
  </si>
  <si>
    <t>HYGIENNE AND SAFETY</t>
  </si>
  <si>
    <t>COOKING METHOD</t>
  </si>
  <si>
    <t>Name</t>
  </si>
  <si>
    <t>ENGLISH</t>
  </si>
  <si>
    <t>NISINGIZWE Aimee Queen</t>
  </si>
  <si>
    <t>MICE EN PLACE</t>
  </si>
  <si>
    <t>SAUSE  AND SOUP</t>
  </si>
  <si>
    <t>MICE EN PLACE/50</t>
  </si>
  <si>
    <t>SAUSE  AND SOUP/50</t>
  </si>
  <si>
    <t>KINYARWANDA</t>
  </si>
  <si>
    <t>KINYARWANDA/50</t>
  </si>
  <si>
    <t>ENTREPRENEURSHIP</t>
  </si>
  <si>
    <t>ENTREPRENEURSHIP/50</t>
  </si>
  <si>
    <t>PASTA AND STARCH</t>
  </si>
  <si>
    <t>S/N</t>
  </si>
  <si>
    <t>TEST</t>
  </si>
  <si>
    <t>:</t>
  </si>
  <si>
    <t>Student number</t>
  </si>
  <si>
    <t>Class</t>
  </si>
  <si>
    <t>Trade</t>
  </si>
  <si>
    <t>Student name</t>
  </si>
  <si>
    <t>L5</t>
  </si>
  <si>
    <t>SUBJECT</t>
  </si>
  <si>
    <t>MAX POINT</t>
  </si>
  <si>
    <t>EXAM</t>
  </si>
  <si>
    <t>TOTAL</t>
  </si>
  <si>
    <t>Total</t>
  </si>
  <si>
    <t>Percentage</t>
  </si>
  <si>
    <t>Teacher's signature</t>
  </si>
  <si>
    <t>Parent’s signature</t>
  </si>
  <si>
    <t>BEHAVIORS</t>
  </si>
  <si>
    <t>FIRST TERM</t>
  </si>
  <si>
    <t>PRACTICE</t>
  </si>
  <si>
    <t>CULINARY ART</t>
  </si>
  <si>
    <t>T COOKING</t>
  </si>
  <si>
    <t>T SAUSE</t>
  </si>
  <si>
    <t>T HYGIENNE</t>
  </si>
  <si>
    <t>T MICE</t>
  </si>
  <si>
    <t>POSITION</t>
  </si>
  <si>
    <t>MUSANIWABO Florence</t>
  </si>
  <si>
    <t>TBAKERY</t>
  </si>
  <si>
    <t>BAKERY</t>
  </si>
  <si>
    <t>DUHIMBAZIMANA Yvonne</t>
  </si>
  <si>
    <t>NGOGA Ivan</t>
  </si>
  <si>
    <t>Bakery</t>
  </si>
  <si>
    <t>KAYIREBWA PEACE</t>
  </si>
  <si>
    <t>Pasta</t>
  </si>
  <si>
    <t>Pasta/50</t>
  </si>
  <si>
    <t xml:space="preserve">Cooking </t>
  </si>
  <si>
    <t>Tcooking</t>
  </si>
  <si>
    <t>Cooking/50</t>
  </si>
  <si>
    <t>vegetable test</t>
  </si>
  <si>
    <t>Vegetable</t>
  </si>
  <si>
    <t>Tvegtable/50</t>
  </si>
  <si>
    <t>Vegetable/50</t>
  </si>
  <si>
    <t>Sauce and saup</t>
  </si>
  <si>
    <t>Sauce and Saup/50</t>
  </si>
  <si>
    <t>Francaise</t>
  </si>
  <si>
    <t>Tmath</t>
  </si>
  <si>
    <t>Math</t>
  </si>
  <si>
    <t>Enter-Ship</t>
  </si>
  <si>
    <t>Tenter_ship</t>
  </si>
  <si>
    <t>Enter-ship/50</t>
  </si>
  <si>
    <t>Tenter-ship/50</t>
  </si>
  <si>
    <t>Food&amp;hygien</t>
  </si>
  <si>
    <t>Food&amp;hygien/50</t>
  </si>
  <si>
    <t>Kiny</t>
  </si>
  <si>
    <t>Kiny/50</t>
  </si>
  <si>
    <t>pasta/50</t>
  </si>
  <si>
    <t>Meat fish&amp;paultry</t>
  </si>
  <si>
    <t>Meat fish&amp;paultry/50</t>
  </si>
  <si>
    <t>T Francaise</t>
  </si>
  <si>
    <t>Tatal</t>
  </si>
  <si>
    <t>T saup&amp;souce</t>
  </si>
  <si>
    <t>Tmeat&amp;Fish</t>
  </si>
  <si>
    <t>Place</t>
  </si>
  <si>
    <t>Tkinya</t>
  </si>
  <si>
    <t>Tfood hygen</t>
  </si>
  <si>
    <t>Tenglish</t>
  </si>
  <si>
    <t>English</t>
  </si>
  <si>
    <t>SECOND TERM</t>
  </si>
  <si>
    <t>Tpractice</t>
  </si>
  <si>
    <t>practise</t>
  </si>
  <si>
    <t>MEAT FISH&amp;PAULTRY</t>
  </si>
  <si>
    <t>Position</t>
  </si>
  <si>
    <t>FOOD AND HYGIENE</t>
  </si>
  <si>
    <t>MATHEMATICS</t>
  </si>
  <si>
    <t>5O</t>
  </si>
  <si>
    <t>VEGETABLES</t>
  </si>
  <si>
    <t>FRENCH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</si>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</sst>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E2EE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  <xf numFmtId="0" fontId="4" fillId="3" borderId="2" xfId="0" applyFont="1" applyFill="1" applyBorder="1"/>
    <xf numFmtId="0" fontId="4" fillId="0" borderId="2" xfId="0" applyFont="1" applyBorder="1"/>
    <xf numFmtId="0" fontId="3" fillId="3" borderId="0" xfId="0" applyFont="1" applyFill="1" applyBorder="1"/>
    <xf numFmtId="0" fontId="3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/>
    <xf numFmtId="0" fontId="3" fillId="3" borderId="11" xfId="0" applyFont="1" applyFill="1" applyBorder="1"/>
    <xf numFmtId="0" fontId="3" fillId="3" borderId="6" xfId="0" applyFont="1" applyFill="1" applyBorder="1"/>
    <xf numFmtId="0" fontId="5" fillId="3" borderId="0" xfId="0" applyFont="1" applyFill="1" applyBorder="1"/>
    <xf numFmtId="0" fontId="5" fillId="3" borderId="2" xfId="0" applyFont="1" applyFill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3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9" fontId="0" fillId="0" borderId="0" xfId="1" applyFont="1"/>
    <xf numFmtId="0" fontId="7" fillId="0" borderId="0" xfId="0" applyFont="1"/>
    <xf numFmtId="0" fontId="0" fillId="0" borderId="0" xfId="0" applyBorder="1"/>
    <xf numFmtId="0" fontId="4" fillId="3" borderId="11" xfId="0" applyFont="1" applyFill="1" applyBorder="1"/>
    <xf numFmtId="0" fontId="4" fillId="3" borderId="6" xfId="0" applyFont="1" applyFill="1" applyBorder="1"/>
    <xf numFmtId="0" fontId="6" fillId="0" borderId="2" xfId="0" applyFont="1" applyBorder="1"/>
    <xf numFmtId="0" fontId="4" fillId="0" borderId="2" xfId="0" applyFont="1" applyBorder="1" applyAlignment="1">
      <alignment vertical="top"/>
    </xf>
    <xf numFmtId="0" fontId="3" fillId="3" borderId="0" xfId="0" applyFont="1" applyFill="1" applyBorder="1" applyAlignment="1"/>
    <xf numFmtId="0" fontId="3" fillId="3" borderId="13" xfId="0" applyFont="1" applyFill="1" applyBorder="1"/>
    <xf numFmtId="0" fontId="4" fillId="3" borderId="13" xfId="0" applyFont="1" applyFill="1" applyBorder="1"/>
    <xf numFmtId="10" fontId="5" fillId="3" borderId="6" xfId="1" applyNumberFormat="1" applyFont="1" applyFill="1" applyBorder="1" applyAlignment="1">
      <alignment horizontal="center" vertical="center"/>
    </xf>
    <xf numFmtId="10" fontId="5" fillId="3" borderId="1" xfId="1" applyNumberFormat="1" applyFont="1" applyFill="1" applyBorder="1" applyAlignment="1">
      <alignment horizontal="center" vertical="center"/>
    </xf>
    <xf numFmtId="10" fontId="5" fillId="3" borderId="7" xfId="1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0" fillId="0" borderId="0" xfId="1" applyNumberFormat="1" applyFont="1"/>
    <xf numFmtId="0" fontId="5" fillId="0" borderId="2" xfId="0" applyFont="1" applyBorder="1"/>
    <xf numFmtId="2" fontId="5" fillId="0" borderId="2" xfId="0" applyNumberFormat="1" applyFont="1" applyBorder="1"/>
    <xf numFmtId="0" fontId="3" fillId="3" borderId="15" xfId="0" applyFont="1" applyFill="1" applyBorder="1"/>
    <xf numFmtId="0" fontId="3" fillId="3" borderId="16" xfId="0" applyFont="1" applyFill="1" applyBorder="1"/>
    <xf numFmtId="0" fontId="3" fillId="3" borderId="17" xfId="0" applyFont="1" applyFill="1" applyBorder="1"/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3" fillId="3" borderId="19" xfId="0" applyFont="1" applyFill="1" applyBorder="1"/>
    <xf numFmtId="0" fontId="3" fillId="3" borderId="20" xfId="0" applyFont="1" applyFill="1" applyBorder="1" applyAlignment="1"/>
    <xf numFmtId="0" fontId="3" fillId="3" borderId="21" xfId="0" applyFont="1" applyFill="1" applyBorder="1"/>
    <xf numFmtId="0" fontId="0" fillId="0" borderId="20" xfId="0" applyBorder="1"/>
    <xf numFmtId="0" fontId="3" fillId="3" borderId="22" xfId="0" applyFont="1" applyFill="1" applyBorder="1"/>
    <xf numFmtId="0" fontId="3" fillId="3" borderId="24" xfId="0" applyFont="1" applyFill="1" applyBorder="1"/>
    <xf numFmtId="0" fontId="5" fillId="3" borderId="24" xfId="0" applyFont="1" applyFill="1" applyBorder="1"/>
    <xf numFmtId="0" fontId="6" fillId="0" borderId="25" xfId="0" applyFont="1" applyBorder="1"/>
    <xf numFmtId="0" fontId="5" fillId="0" borderId="25" xfId="0" applyFont="1" applyBorder="1"/>
    <xf numFmtId="2" fontId="5" fillId="0" borderId="25" xfId="0" applyNumberFormat="1" applyFont="1" applyBorder="1"/>
    <xf numFmtId="0" fontId="3" fillId="3" borderId="19" xfId="0" applyFont="1" applyFill="1" applyBorder="1" applyAlignment="1"/>
    <xf numFmtId="0" fontId="4" fillId="3" borderId="12" xfId="0" applyFont="1" applyFill="1" applyBorder="1"/>
    <xf numFmtId="10" fontId="5" fillId="3" borderId="3" xfId="1" applyNumberFormat="1" applyFont="1" applyFill="1" applyBorder="1" applyAlignment="1">
      <alignment horizontal="center" vertical="center"/>
    </xf>
    <xf numFmtId="10" fontId="5" fillId="3" borderId="4" xfId="1" applyNumberFormat="1" applyFont="1" applyFill="1" applyBorder="1" applyAlignment="1">
      <alignment horizontal="center" vertical="center"/>
    </xf>
    <xf numFmtId="10" fontId="5" fillId="3" borderId="5" xfId="1" applyNumberFormat="1" applyFont="1" applyFill="1" applyBorder="1" applyAlignment="1">
      <alignment horizontal="center" vertical="center"/>
    </xf>
    <xf numFmtId="0" fontId="3" fillId="3" borderId="32" xfId="0" applyFont="1" applyFill="1" applyBorder="1"/>
    <xf numFmtId="0" fontId="2" fillId="3" borderId="33" xfId="0" applyFont="1" applyFill="1" applyBorder="1"/>
    <xf numFmtId="9" fontId="5" fillId="3" borderId="34" xfId="1" applyFont="1" applyFill="1" applyBorder="1" applyAlignment="1">
      <alignment horizontal="center"/>
    </xf>
    <xf numFmtId="9" fontId="5" fillId="3" borderId="35" xfId="1" applyFont="1" applyFill="1" applyBorder="1" applyAlignment="1">
      <alignment horizontal="center"/>
    </xf>
    <xf numFmtId="9" fontId="5" fillId="3" borderId="36" xfId="1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9" fontId="5" fillId="0" borderId="6" xfId="1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9" fontId="5" fillId="0" borderId="26" xfId="1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3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4" fillId="3" borderId="14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495300</xdr:colOff>
      <xdr:row>2</xdr:row>
      <xdr:rowOff>19050</xdr:rowOff>
    </xdr:from>
    <xdr:ext cx="2724150" cy="269304"/>
    <xdr:sp macro="" textlink="">
      <xdr:nvSpPr>
        <xdr:cNvPr id="2" name="TextBox 1"/>
        <xdr:cNvSpPr txBox="1"/>
      </xdr:nvSpPr>
      <xdr:spPr>
        <a:xfrm>
          <a:off x="1104900" y="755650"/>
          <a:ext cx="272415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REPUBLIC OF RWANDA</a:t>
          </a:r>
        </a:p>
      </xdr:txBody>
    </xdr:sp>
    <xdr:clientData/>
  </xdr:oneCellAnchor>
  <xdr:oneCellAnchor>
    <xdr:from>
      <xdr:col>1</xdr:col>
      <xdr:colOff>488950</xdr:colOff>
      <xdr:row>3</xdr:row>
      <xdr:rowOff>114300</xdr:rowOff>
    </xdr:from>
    <xdr:ext cx="2400300" cy="269304"/>
    <xdr:sp macro="" textlink="">
      <xdr:nvSpPr>
        <xdr:cNvPr id="3" name="TextBox 2"/>
        <xdr:cNvSpPr txBox="1"/>
      </xdr:nvSpPr>
      <xdr:spPr>
        <a:xfrm>
          <a:off x="1098550" y="1035050"/>
          <a:ext cx="240030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MINISTRY OF EDUCATION</a:t>
          </a:r>
        </a:p>
      </xdr:txBody>
    </xdr:sp>
    <xdr:clientData/>
  </xdr:oneCellAnchor>
  <xdr:oneCellAnchor>
    <xdr:from>
      <xdr:col>1</xdr:col>
      <xdr:colOff>482600</xdr:colOff>
      <xdr:row>5</xdr:row>
      <xdr:rowOff>31750</xdr:rowOff>
    </xdr:from>
    <xdr:ext cx="2914650" cy="269304"/>
    <xdr:sp macro="" textlink="">
      <xdr:nvSpPr>
        <xdr:cNvPr id="4" name="TextBox 3"/>
        <xdr:cNvSpPr txBox="1"/>
      </xdr:nvSpPr>
      <xdr:spPr>
        <a:xfrm>
          <a:off x="1092200" y="1320800"/>
          <a:ext cx="291465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LIVE TO SERVE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AND SAVE SCHOOL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603250</xdr:colOff>
      <xdr:row>8</xdr:row>
      <xdr:rowOff>120650</xdr:rowOff>
    </xdr:from>
    <xdr:ext cx="184731" cy="264560"/>
    <xdr:sp macro="" textlink="">
      <xdr:nvSpPr>
        <xdr:cNvPr id="5" name="TextBox 4"/>
        <xdr:cNvSpPr txBox="1"/>
      </xdr:nvSpPr>
      <xdr:spPr>
        <a:xfrm>
          <a:off x="1212850" y="1962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469900</xdr:colOff>
      <xdr:row>6</xdr:row>
      <xdr:rowOff>127000</xdr:rowOff>
    </xdr:from>
    <xdr:ext cx="666750" cy="280205"/>
    <xdr:sp macro="" textlink="">
      <xdr:nvSpPr>
        <xdr:cNvPr id="6" name="TextBox 5"/>
        <xdr:cNvSpPr txBox="1"/>
      </xdr:nvSpPr>
      <xdr:spPr>
        <a:xfrm>
          <a:off x="1079500" y="1600200"/>
          <a:ext cx="6667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Email</a:t>
          </a:r>
          <a:r>
            <a:rPr lang="en-US" sz="1200" b="1"/>
            <a:t> :</a:t>
          </a:r>
        </a:p>
      </xdr:txBody>
    </xdr:sp>
    <xdr:clientData/>
  </xdr:oneCellAnchor>
  <xdr:oneCellAnchor>
    <xdr:from>
      <xdr:col>2</xdr:col>
      <xdr:colOff>533400</xdr:colOff>
      <xdr:row>6</xdr:row>
      <xdr:rowOff>139700</xdr:rowOff>
    </xdr:from>
    <xdr:ext cx="2641600" cy="269304"/>
    <xdr:sp macro="" textlink="">
      <xdr:nvSpPr>
        <xdr:cNvPr id="7" name="TextBox 6"/>
        <xdr:cNvSpPr txBox="1"/>
      </xdr:nvSpPr>
      <xdr:spPr>
        <a:xfrm>
          <a:off x="1962150" y="1600200"/>
          <a:ext cx="264160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borntoserveschool1@gmail.com</a:t>
          </a:r>
        </a:p>
      </xdr:txBody>
    </xdr:sp>
    <xdr:clientData/>
  </xdr:oneCellAnchor>
  <xdr:oneCellAnchor>
    <xdr:from>
      <xdr:col>1</xdr:col>
      <xdr:colOff>469900</xdr:colOff>
      <xdr:row>8</xdr:row>
      <xdr:rowOff>38100</xdr:rowOff>
    </xdr:from>
    <xdr:ext cx="1930400" cy="269304"/>
    <xdr:sp macro="" textlink="">
      <xdr:nvSpPr>
        <xdr:cNvPr id="8" name="TextBox 7"/>
        <xdr:cNvSpPr txBox="1"/>
      </xdr:nvSpPr>
      <xdr:spPr>
        <a:xfrm>
          <a:off x="1079500" y="1879600"/>
          <a:ext cx="193040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TEL: 0788525247</a:t>
          </a:r>
        </a:p>
      </xdr:txBody>
    </xdr:sp>
    <xdr:clientData/>
  </xdr:oneCellAnchor>
  <xdr:oneCellAnchor>
    <xdr:from>
      <xdr:col>3</xdr:col>
      <xdr:colOff>82550</xdr:colOff>
      <xdr:row>11</xdr:row>
      <xdr:rowOff>82550</xdr:rowOff>
    </xdr:from>
    <xdr:ext cx="3435350" cy="264560"/>
    <xdr:sp macro="" textlink="">
      <xdr:nvSpPr>
        <xdr:cNvPr id="9" name="TextBox 8"/>
        <xdr:cNvSpPr txBox="1"/>
      </xdr:nvSpPr>
      <xdr:spPr>
        <a:xfrm>
          <a:off x="3136900" y="2476500"/>
          <a:ext cx="34353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>
              <a:latin typeface="Times New Roman" panose="02020603050405020304" pitchFamily="18" charset="0"/>
              <a:cs typeface="Times New Roman" panose="02020603050405020304" pitchFamily="18" charset="0"/>
            </a:rPr>
            <a:t>PROGRESIVE</a:t>
          </a:r>
          <a:r>
            <a:rPr lang="en-US" sz="1100" b="1" u="sng"/>
            <a:t> REPORT</a:t>
          </a:r>
        </a:p>
      </xdr:txBody>
    </xdr:sp>
    <xdr:clientData/>
  </xdr:oneCellAnchor>
  <xdr:oneCellAnchor>
    <xdr:from>
      <xdr:col>8</xdr:col>
      <xdr:colOff>1136650</xdr:colOff>
      <xdr:row>4</xdr:row>
      <xdr:rowOff>41276</xdr:rowOff>
    </xdr:from>
    <xdr:ext cx="1174750" cy="1438274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0900" y="1136651"/>
          <a:ext cx="1174750" cy="1438274"/>
        </a:xfrm>
        <a:prstGeom prst="rect">
          <a:avLst/>
        </a:prstGeom>
      </xdr:spPr>
    </xdr:pic>
    <xdr:clientData/>
  </xdr:oneCellAnchor>
  <xdr:oneCellAnchor>
    <xdr:from>
      <xdr:col>3</xdr:col>
      <xdr:colOff>273050</xdr:colOff>
      <xdr:row>47</xdr:row>
      <xdr:rowOff>31750</xdr:rowOff>
    </xdr:from>
    <xdr:ext cx="2095500" cy="280205"/>
    <xdr:sp macro="" textlink="">
      <xdr:nvSpPr>
        <xdr:cNvPr id="11" name="TextBox 10"/>
        <xdr:cNvSpPr txBox="1"/>
      </xdr:nvSpPr>
      <xdr:spPr>
        <a:xfrm>
          <a:off x="3327400" y="8115300"/>
          <a:ext cx="20955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Stamp &amp; </a:t>
          </a:r>
          <a:r>
            <a:rPr lang="en-US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signature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565150</xdr:colOff>
      <xdr:row>46</xdr:row>
      <xdr:rowOff>139700</xdr:rowOff>
    </xdr:from>
    <xdr:ext cx="184731" cy="264560"/>
    <xdr:sp macro="" textlink="">
      <xdr:nvSpPr>
        <xdr:cNvPr id="12" name="TextBox 11"/>
        <xdr:cNvSpPr txBox="1"/>
      </xdr:nvSpPr>
      <xdr:spPr>
        <a:xfrm>
          <a:off x="5168900" y="768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781050</xdr:colOff>
      <xdr:row>46</xdr:row>
      <xdr:rowOff>6350</xdr:rowOff>
    </xdr:from>
    <xdr:ext cx="2286000" cy="280205"/>
    <xdr:sp macro="" textlink="">
      <xdr:nvSpPr>
        <xdr:cNvPr id="13" name="TextBox 12"/>
        <xdr:cNvSpPr txBox="1"/>
      </xdr:nvSpPr>
      <xdr:spPr>
        <a:xfrm>
          <a:off x="5384800" y="7905750"/>
          <a:ext cx="22860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Done</a:t>
          </a:r>
          <a:r>
            <a:rPr lang="en-US" sz="1100"/>
            <a:t> at Kigali</a:t>
          </a:r>
          <a:r>
            <a:rPr lang="en-US" sz="1100" baseline="0"/>
            <a:t> at 4/4/2024</a:t>
          </a:r>
          <a:endParaRPr lang="en-US" sz="1100"/>
        </a:p>
      </xdr:txBody>
    </xdr:sp>
    <xdr:clientData/>
  </xdr:oneCellAnchor>
  <xdr:oneCellAnchor>
    <xdr:from>
      <xdr:col>7</xdr:col>
      <xdr:colOff>349250</xdr:colOff>
      <xdr:row>47</xdr:row>
      <xdr:rowOff>25400</xdr:rowOff>
    </xdr:from>
    <xdr:ext cx="1892300" cy="269304"/>
    <xdr:sp macro="" textlink="">
      <xdr:nvSpPr>
        <xdr:cNvPr id="14" name="TextBox 13"/>
        <xdr:cNvSpPr txBox="1"/>
      </xdr:nvSpPr>
      <xdr:spPr>
        <a:xfrm>
          <a:off x="6356350" y="8108950"/>
          <a:ext cx="1892300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Headmaster</a:t>
          </a:r>
        </a:p>
      </xdr:txBody>
    </xdr:sp>
    <xdr:clientData/>
  </xdr:oneCellAnchor>
  <xdr:oneCellAnchor>
    <xdr:from>
      <xdr:col>5</xdr:col>
      <xdr:colOff>222250</xdr:colOff>
      <xdr:row>48</xdr:row>
      <xdr:rowOff>63500</xdr:rowOff>
    </xdr:from>
    <xdr:ext cx="2641600" cy="452432"/>
    <xdr:sp macro="" textlink="">
      <xdr:nvSpPr>
        <xdr:cNvPr id="15" name="TextBox 14"/>
        <xdr:cNvSpPr txBox="1"/>
      </xdr:nvSpPr>
      <xdr:spPr>
        <a:xfrm>
          <a:off x="4826000" y="8870950"/>
          <a:ext cx="2641600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HABUMUGISHA THEOPHILE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BM35"/>
  <sheetViews>
    <sheetView topLeftCell="A10" workbookViewId="0">
      <pane xSplit="3" ySplit="8" topLeftCell="AW29" activePane="bottomRight" state="frozen"/>
      <selection activeCell="A10" sqref="A10"/>
      <selection pane="topRight" activeCell="D10" sqref="D10"/>
      <selection pane="bottomLeft" activeCell="A19" sqref="A19"/>
      <selection pane="bottomRight" activeCell="BC36" sqref="BC36"/>
    </sheetView>
  </sheetViews>
  <sheetFormatPr defaultRowHeight="15" x14ac:dyDescent="0.25"/>
  <cols>
    <col min="1" max="1" width="25.140625" customWidth="1"/>
    <col min="2" max="2" width="17.140625" customWidth="1"/>
    <col min="3" max="3" width="27.5703125" customWidth="1"/>
    <col min="4" max="4" width="21.140625" customWidth="1"/>
    <col min="5" max="5" width="26.5703125" customWidth="1"/>
    <col min="6" max="6" width="21.5703125" customWidth="1"/>
    <col min="7" max="7" width="22.140625" customWidth="1"/>
    <col min="8" max="8" width="16.140625" customWidth="1"/>
    <col min="9" max="9" width="16.7109375" customWidth="1"/>
    <col min="10" max="10" width="17.7109375" customWidth="1"/>
    <col min="11" max="11" width="14.5703125" customWidth="1"/>
    <col min="12" max="12" width="30.5703125" customWidth="1"/>
    <col min="13" max="13" width="17.28515625" customWidth="1"/>
    <col min="14" max="14" width="22.140625" customWidth="1"/>
    <col min="15" max="15" width="17.5703125" customWidth="1"/>
    <col min="16" max="16" width="17.140625" customWidth="1"/>
    <col min="18" max="18" width="17.140625" customWidth="1"/>
    <col min="19" max="19" width="11.140625" customWidth="1"/>
    <col min="23" max="23" width="13" customWidth="1"/>
    <col min="27" max="27" width="16.5703125" customWidth="1"/>
    <col min="28" max="28" width="15.5703125" customWidth="1"/>
    <col min="30" max="31" width="13.42578125" customWidth="1"/>
    <col min="33" max="33" width="11.5703125" customWidth="1"/>
    <col min="34" max="34" width="11.42578125" customWidth="1"/>
    <col min="35" max="35" width="14.28515625" customWidth="1"/>
    <col min="36" max="36" width="12.42578125" style="1" customWidth="1"/>
    <col min="37" max="37" width="10.140625" customWidth="1"/>
    <col min="38" max="38" width="14.5703125" style="1" customWidth="1"/>
    <col min="39" max="40" width="14.28515625" customWidth="1"/>
    <col min="41" max="42" width="18.140625" customWidth="1"/>
    <col min="43" max="43" width="14.140625" customWidth="1"/>
    <col min="46" max="47" width="13.42578125" customWidth="1"/>
    <col min="48" max="48" width="15.42578125" customWidth="1"/>
    <col min="49" max="49" width="18.28515625" style="1" customWidth="1"/>
    <col min="50" max="51" width="17.7109375" customWidth="1"/>
    <col min="52" max="52" width="19.7109375" customWidth="1"/>
    <col min="53" max="54" width="15.140625" customWidth="1"/>
    <col min="56" max="57" width="20" customWidth="1"/>
    <col min="58" max="62" width="20.7109375" style="1" customWidth="1"/>
    <col min="64" max="64" width="12.42578125" style="23" customWidth="1"/>
  </cols>
  <sheetData>
    <row r="11" spans="2:65" x14ac:dyDescent="0.25">
      <c r="BD11">
        <f ca="1">BD11:BD16</f>
        <v>0</v>
      </c>
    </row>
    <row r="15" spans="2:65" x14ac:dyDescent="0.25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 s="2">
        <v>35</v>
      </c>
      <c r="AK15">
        <v>36</v>
      </c>
      <c r="AL15" s="2">
        <v>37</v>
      </c>
      <c r="AM15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39">
        <v>63</v>
      </c>
      <c r="BM15" s="39">
        <v>64</v>
      </c>
    </row>
    <row r="17" spans="2:65" x14ac:dyDescent="0.25">
      <c r="B17" t="s">
        <v>28</v>
      </c>
      <c r="C17" t="s">
        <v>16</v>
      </c>
      <c r="D17" t="s">
        <v>15</v>
      </c>
      <c r="E17" s="3" t="s">
        <v>15</v>
      </c>
      <c r="F17" s="3" t="s">
        <v>14</v>
      </c>
      <c r="G17" s="3" t="s">
        <v>13</v>
      </c>
      <c r="H17" s="3" t="s">
        <v>17</v>
      </c>
      <c r="I17" t="s">
        <v>19</v>
      </c>
      <c r="J17" s="3" t="s">
        <v>21</v>
      </c>
      <c r="K17" t="s">
        <v>20</v>
      </c>
      <c r="L17" s="3" t="s">
        <v>22</v>
      </c>
      <c r="M17" t="s">
        <v>23</v>
      </c>
      <c r="N17" t="s">
        <v>24</v>
      </c>
      <c r="O17" t="s">
        <v>25</v>
      </c>
      <c r="P17" t="s">
        <v>26</v>
      </c>
      <c r="Q17" t="s">
        <v>27</v>
      </c>
      <c r="R17" t="s">
        <v>27</v>
      </c>
      <c r="S17" t="s">
        <v>48</v>
      </c>
      <c r="T17" t="s">
        <v>46</v>
      </c>
      <c r="U17" t="s">
        <v>38</v>
      </c>
      <c r="V17" t="s">
        <v>49</v>
      </c>
      <c r="W17" t="s">
        <v>50</v>
      </c>
      <c r="X17" t="s">
        <v>51</v>
      </c>
      <c r="Y17" t="s">
        <v>39</v>
      </c>
      <c r="Z17" t="s">
        <v>52</v>
      </c>
      <c r="AA17" t="s">
        <v>58</v>
      </c>
      <c r="AB17" t="s">
        <v>54</v>
      </c>
      <c r="AC17" t="s">
        <v>60</v>
      </c>
      <c r="AD17" t="s">
        <v>61</v>
      </c>
      <c r="AE17" t="s">
        <v>82</v>
      </c>
      <c r="AF17" t="s">
        <v>62</v>
      </c>
      <c r="AG17" t="s">
        <v>64</v>
      </c>
      <c r="AH17" t="s">
        <v>63</v>
      </c>
      <c r="AI17" t="s">
        <v>65</v>
      </c>
      <c r="AJ17" s="1" t="s">
        <v>67</v>
      </c>
      <c r="AK17" t="s">
        <v>66</v>
      </c>
      <c r="AL17" s="1" t="s">
        <v>68</v>
      </c>
      <c r="AM17" t="s">
        <v>69</v>
      </c>
      <c r="AN17" s="1" t="s">
        <v>87</v>
      </c>
      <c r="AO17" t="s">
        <v>70</v>
      </c>
      <c r="AP17" t="s">
        <v>85</v>
      </c>
      <c r="AQ17" t="s">
        <v>71</v>
      </c>
      <c r="AR17" t="s">
        <v>72</v>
      </c>
      <c r="AS17" t="s">
        <v>73</v>
      </c>
      <c r="AT17" t="s">
        <v>74</v>
      </c>
      <c r="AU17" t="s">
        <v>76</v>
      </c>
      <c r="AV17" t="s">
        <v>75</v>
      </c>
      <c r="AW17" s="1" t="s">
        <v>77</v>
      </c>
      <c r="AX17" t="s">
        <v>78</v>
      </c>
      <c r="AY17" t="s">
        <v>91</v>
      </c>
      <c r="AZ17" t="s">
        <v>79</v>
      </c>
      <c r="BA17" t="s">
        <v>80</v>
      </c>
      <c r="BB17" t="s">
        <v>90</v>
      </c>
      <c r="BC17" t="s">
        <v>81</v>
      </c>
      <c r="BD17" t="s">
        <v>83</v>
      </c>
      <c r="BE17" t="s">
        <v>88</v>
      </c>
      <c r="BF17" s="1" t="s">
        <v>84</v>
      </c>
      <c r="BG17" s="1" t="s">
        <v>93</v>
      </c>
      <c r="BH17" s="1" t="s">
        <v>92</v>
      </c>
      <c r="BI17" s="1" t="s">
        <v>95</v>
      </c>
      <c r="BJ17" s="1" t="s">
        <v>96</v>
      </c>
      <c r="BK17" t="s">
        <v>86</v>
      </c>
      <c r="BL17" s="23" t="s">
        <v>41</v>
      </c>
      <c r="BM17" t="s">
        <v>89</v>
      </c>
    </row>
    <row r="18" spans="2:65" ht="18.75" x14ac:dyDescent="0.25">
      <c r="B18">
        <v>1</v>
      </c>
      <c r="C18" t="s">
        <v>11</v>
      </c>
      <c r="D18">
        <v>60</v>
      </c>
      <c r="E18" s="3">
        <f t="shared" ref="E18:E32" si="0">D18/2</f>
        <v>30</v>
      </c>
      <c r="F18" s="3"/>
      <c r="G18" s="3">
        <v>36</v>
      </c>
      <c r="H18" s="3"/>
      <c r="I18" s="1">
        <v>87</v>
      </c>
      <c r="J18" s="3">
        <f t="shared" ref="J18:J32" si="1">I18/2</f>
        <v>43.5</v>
      </c>
      <c r="L18" s="3">
        <f>K18/2</f>
        <v>0</v>
      </c>
      <c r="N18">
        <f>M18/2</f>
        <v>0</v>
      </c>
      <c r="P18">
        <f>O18/2</f>
        <v>0</v>
      </c>
      <c r="R18">
        <f>Q18/2</f>
        <v>0</v>
      </c>
      <c r="S18">
        <v>45</v>
      </c>
      <c r="T18">
        <v>45</v>
      </c>
      <c r="U18">
        <v>48</v>
      </c>
      <c r="V18">
        <v>46</v>
      </c>
      <c r="W18">
        <v>45</v>
      </c>
      <c r="X18">
        <v>44</v>
      </c>
      <c r="Y18">
        <f>E18+F18+G18+H18+J18+L18+N18+P18+R18+S18+T18+U18+V18+W18+X18</f>
        <v>382.5</v>
      </c>
      <c r="AD18">
        <f t="shared" ref="AD18:AD20" si="2">AC18/100*50</f>
        <v>0</v>
      </c>
      <c r="AE18">
        <v>0</v>
      </c>
      <c r="AG18">
        <f>AF18/100*50</f>
        <v>0</v>
      </c>
      <c r="AH18">
        <v>0</v>
      </c>
      <c r="AJ18" s="1">
        <f>AI18/30*50</f>
        <v>0</v>
      </c>
      <c r="AL18" s="1">
        <f>AK18/70*50</f>
        <v>0</v>
      </c>
      <c r="AO18">
        <f>AM18/100*50</f>
        <v>0</v>
      </c>
      <c r="AU18">
        <f t="shared" ref="AU18:AU26" si="3">AT18/100*50</f>
        <v>0</v>
      </c>
      <c r="AW18" s="1">
        <f t="shared" ref="AW18:AW24" si="4">AV18/30*50</f>
        <v>0</v>
      </c>
      <c r="AZ18">
        <f t="shared" ref="AZ18:AZ34" si="5">AX18/100*50</f>
        <v>0</v>
      </c>
      <c r="BC18">
        <f t="shared" ref="BC18:BC22" si="6">BA18/100*50</f>
        <v>0</v>
      </c>
      <c r="BF18" s="1">
        <f>BD18/55*50</f>
        <v>0</v>
      </c>
      <c r="BG18" s="1">
        <v>43</v>
      </c>
      <c r="BK18" s="1">
        <f>SUM(BH18,BG18,BF18,BE18,BC18,BB18,AZ18,AY18,AW18,AU18,AS18,AR18,AQ18,AP18,AO18,AN18,AL18,AJ18,AH18,AG18,AE18,AD18,AB18,AA18)</f>
        <v>43</v>
      </c>
      <c r="BL18" s="23">
        <f>BK18/1200</f>
        <v>3.5833333333333335E-2</v>
      </c>
      <c r="BM18" s="24">
        <f>RANK(BL18,$BL$18:$BL$35,0)</f>
        <v>18</v>
      </c>
    </row>
    <row r="19" spans="2:65" ht="18.75" x14ac:dyDescent="0.25">
      <c r="B19">
        <v>2</v>
      </c>
      <c r="C19" t="s">
        <v>4</v>
      </c>
      <c r="D19">
        <v>83</v>
      </c>
      <c r="E19" s="3">
        <f t="shared" si="0"/>
        <v>41.5</v>
      </c>
      <c r="F19" s="3">
        <v>46</v>
      </c>
      <c r="G19" s="3">
        <v>41</v>
      </c>
      <c r="H19" s="3">
        <v>31</v>
      </c>
      <c r="I19">
        <v>92</v>
      </c>
      <c r="J19" s="3">
        <f t="shared" si="1"/>
        <v>46</v>
      </c>
      <c r="K19">
        <v>84</v>
      </c>
      <c r="L19" s="3">
        <f t="shared" ref="L19:L32" si="7">K19/2</f>
        <v>42</v>
      </c>
      <c r="M19">
        <v>64</v>
      </c>
      <c r="N19">
        <f t="shared" ref="N19:N32" si="8">M19/2</f>
        <v>32</v>
      </c>
      <c r="O19">
        <v>98</v>
      </c>
      <c r="P19">
        <f t="shared" ref="P19:P32" si="9">O19/2</f>
        <v>49</v>
      </c>
      <c r="Q19">
        <v>75</v>
      </c>
      <c r="R19">
        <f t="shared" ref="R19:R32" si="10">Q19/2</f>
        <v>37.5</v>
      </c>
      <c r="S19">
        <v>47</v>
      </c>
      <c r="T19">
        <v>45</v>
      </c>
      <c r="U19">
        <v>48</v>
      </c>
      <c r="V19">
        <v>46</v>
      </c>
      <c r="W19">
        <v>47</v>
      </c>
      <c r="X19">
        <v>46</v>
      </c>
      <c r="AA19">
        <v>23</v>
      </c>
      <c r="AB19">
        <v>41</v>
      </c>
      <c r="AC19">
        <v>79</v>
      </c>
      <c r="AD19">
        <f t="shared" si="2"/>
        <v>39.5</v>
      </c>
      <c r="AE19">
        <v>45</v>
      </c>
      <c r="AF19">
        <v>74</v>
      </c>
      <c r="AG19">
        <f>AF19/100*50</f>
        <v>37</v>
      </c>
      <c r="AH19">
        <v>47</v>
      </c>
      <c r="AI19">
        <v>24</v>
      </c>
      <c r="AJ19" s="1">
        <f>AI19/30*50</f>
        <v>40</v>
      </c>
      <c r="AK19">
        <v>28</v>
      </c>
      <c r="AL19" s="1">
        <f>AK19/70*50</f>
        <v>20</v>
      </c>
      <c r="AM19">
        <v>77</v>
      </c>
      <c r="AN19" s="1">
        <v>47</v>
      </c>
      <c r="AO19">
        <f>AM19/100*50</f>
        <v>38.5</v>
      </c>
      <c r="AP19">
        <v>45</v>
      </c>
      <c r="AQ19">
        <v>43</v>
      </c>
      <c r="AR19">
        <v>0</v>
      </c>
      <c r="AS19">
        <v>34</v>
      </c>
      <c r="AT19">
        <v>64</v>
      </c>
      <c r="AU19">
        <f t="shared" si="3"/>
        <v>32</v>
      </c>
      <c r="AV19">
        <v>29</v>
      </c>
      <c r="AW19" s="1">
        <f t="shared" si="4"/>
        <v>48.333333333333336</v>
      </c>
      <c r="AX19">
        <v>91</v>
      </c>
      <c r="AY19">
        <v>44</v>
      </c>
      <c r="AZ19">
        <f t="shared" si="5"/>
        <v>45.5</v>
      </c>
      <c r="BA19">
        <v>61</v>
      </c>
      <c r="BB19">
        <v>45</v>
      </c>
      <c r="BC19">
        <f t="shared" si="6"/>
        <v>30.5</v>
      </c>
      <c r="BD19">
        <v>38</v>
      </c>
      <c r="BE19">
        <v>46</v>
      </c>
      <c r="BF19" s="1">
        <f>BD19/55*50</f>
        <v>34.545454545454547</v>
      </c>
      <c r="BG19" s="1">
        <v>43</v>
      </c>
      <c r="BH19" s="1">
        <v>44</v>
      </c>
      <c r="BI19" s="1">
        <v>48</v>
      </c>
      <c r="BJ19" s="1">
        <v>48</v>
      </c>
      <c r="BK19" s="1">
        <f>SUM(BH19,BG19,BF19,BE19,BC19,BB19,AZ19,AY19,AW19,AU19,AS19,AR19,AQ19,AP19,AO19,AN19,AL19,AJ19,AH19,AG19,AE19,AD19,AB19,AA19)</f>
        <v>912.87878787878788</v>
      </c>
      <c r="BL19" s="23">
        <f t="shared" ref="BL19:BL35" si="11">BK19/1200</f>
        <v>0.7607323232323232</v>
      </c>
      <c r="BM19" s="24">
        <f t="shared" ref="BM19:BM35" si="12">RANK(BL19,$BL$18:$BL$35,0)</f>
        <v>4</v>
      </c>
    </row>
    <row r="20" spans="2:65" ht="18.75" x14ac:dyDescent="0.25">
      <c r="B20">
        <v>3</v>
      </c>
      <c r="C20" t="s">
        <v>7</v>
      </c>
      <c r="D20">
        <v>96</v>
      </c>
      <c r="E20" s="3">
        <f t="shared" si="0"/>
        <v>48</v>
      </c>
      <c r="F20" s="3">
        <v>47</v>
      </c>
      <c r="G20" s="3">
        <v>46</v>
      </c>
      <c r="H20" s="3">
        <v>21</v>
      </c>
      <c r="I20">
        <v>98</v>
      </c>
      <c r="J20" s="3">
        <f t="shared" si="1"/>
        <v>49</v>
      </c>
      <c r="K20">
        <v>78</v>
      </c>
      <c r="L20" s="3">
        <f t="shared" si="7"/>
        <v>39</v>
      </c>
      <c r="M20">
        <v>73</v>
      </c>
      <c r="N20">
        <f t="shared" si="8"/>
        <v>36.5</v>
      </c>
      <c r="O20">
        <v>85</v>
      </c>
      <c r="P20">
        <f t="shared" si="9"/>
        <v>42.5</v>
      </c>
      <c r="Q20">
        <v>77</v>
      </c>
      <c r="R20">
        <f t="shared" si="10"/>
        <v>38.5</v>
      </c>
      <c r="S20">
        <v>49</v>
      </c>
      <c r="T20">
        <v>45</v>
      </c>
      <c r="U20">
        <v>48</v>
      </c>
      <c r="V20">
        <v>46</v>
      </c>
      <c r="W20">
        <v>47</v>
      </c>
      <c r="X20">
        <v>47</v>
      </c>
      <c r="AA20">
        <v>34</v>
      </c>
      <c r="AB20">
        <v>41</v>
      </c>
      <c r="AC20">
        <v>81</v>
      </c>
      <c r="AD20">
        <f t="shared" si="2"/>
        <v>40.5</v>
      </c>
      <c r="AE20">
        <v>45</v>
      </c>
      <c r="AF20">
        <v>85</v>
      </c>
      <c r="AG20">
        <f t="shared" ref="AG20:AG35" si="13">AF20/100*50</f>
        <v>42.5</v>
      </c>
      <c r="AH20">
        <v>47</v>
      </c>
      <c r="AJ20" s="1">
        <f t="shared" ref="AJ20:AJ35" si="14">AI20/30*50</f>
        <v>0</v>
      </c>
      <c r="AK20">
        <v>49</v>
      </c>
      <c r="AL20" s="1">
        <f t="shared" ref="AL20:AL35" si="15">AK20/70*50</f>
        <v>35</v>
      </c>
      <c r="AM20">
        <v>87.5</v>
      </c>
      <c r="AN20" s="1">
        <v>47</v>
      </c>
      <c r="AO20">
        <f t="shared" ref="AO20:AO35" si="16">AM20/100*50</f>
        <v>43.75</v>
      </c>
      <c r="AP20">
        <v>45</v>
      </c>
      <c r="AQ20">
        <v>26</v>
      </c>
      <c r="AR20">
        <v>0</v>
      </c>
      <c r="AS20">
        <v>24</v>
      </c>
      <c r="AT20">
        <v>54</v>
      </c>
      <c r="AU20">
        <f t="shared" si="3"/>
        <v>27</v>
      </c>
      <c r="AV20">
        <v>29</v>
      </c>
      <c r="AW20" s="1">
        <f t="shared" si="4"/>
        <v>48.333333333333336</v>
      </c>
      <c r="AX20">
        <v>77</v>
      </c>
      <c r="AY20">
        <v>44</v>
      </c>
      <c r="AZ20">
        <f t="shared" si="5"/>
        <v>38.5</v>
      </c>
      <c r="BA20">
        <v>48</v>
      </c>
      <c r="BB20">
        <v>45</v>
      </c>
      <c r="BC20">
        <f t="shared" si="6"/>
        <v>24</v>
      </c>
      <c r="BD20">
        <v>39</v>
      </c>
      <c r="BE20">
        <v>46</v>
      </c>
      <c r="BF20" s="1">
        <f t="shared" ref="BF20:BF35" si="17">BD20/55*50</f>
        <v>35.454545454545453</v>
      </c>
      <c r="BG20" s="1">
        <v>43</v>
      </c>
      <c r="BH20" s="1">
        <v>44</v>
      </c>
      <c r="BI20" s="1">
        <v>48</v>
      </c>
      <c r="BJ20" s="1">
        <v>48</v>
      </c>
      <c r="BK20" s="1">
        <f t="shared" ref="BK20:BK35" si="18">SUM(BH20,BG20,BF20,BE20,BC20,BB20,AZ20,AY20,AW20,AU20,AS20,AR20,AQ20,AP20,AO20,AN20,AL20,AJ20,AH20,AG20,AE20,AD20,AB20,AA20)</f>
        <v>866.03787878787875</v>
      </c>
      <c r="BL20" s="23">
        <f t="shared" si="11"/>
        <v>0.72169823232323227</v>
      </c>
      <c r="BM20" s="24">
        <f t="shared" si="12"/>
        <v>8</v>
      </c>
    </row>
    <row r="21" spans="2:65" ht="18.75" x14ac:dyDescent="0.25">
      <c r="B21">
        <v>4</v>
      </c>
      <c r="C21" t="s">
        <v>12</v>
      </c>
      <c r="D21">
        <v>34</v>
      </c>
      <c r="E21" s="3">
        <f t="shared" si="0"/>
        <v>17</v>
      </c>
      <c r="F21" s="3">
        <v>46</v>
      </c>
      <c r="G21" s="3">
        <v>14</v>
      </c>
      <c r="H21" s="3">
        <v>3</v>
      </c>
      <c r="I21">
        <v>51</v>
      </c>
      <c r="J21" s="3">
        <f>I21/2</f>
        <v>25.5</v>
      </c>
      <c r="L21" s="3">
        <f t="shared" si="7"/>
        <v>0</v>
      </c>
      <c r="N21">
        <f t="shared" si="8"/>
        <v>0</v>
      </c>
      <c r="O21">
        <v>85</v>
      </c>
      <c r="P21">
        <f t="shared" si="9"/>
        <v>42.5</v>
      </c>
      <c r="Q21">
        <v>75</v>
      </c>
      <c r="R21">
        <f t="shared" si="10"/>
        <v>37.5</v>
      </c>
      <c r="S21">
        <v>44</v>
      </c>
      <c r="T21">
        <v>45</v>
      </c>
      <c r="U21">
        <v>48</v>
      </c>
      <c r="V21">
        <v>45</v>
      </c>
      <c r="W21">
        <v>44.5</v>
      </c>
      <c r="X21">
        <v>44.7</v>
      </c>
      <c r="AA21">
        <v>28</v>
      </c>
      <c r="AB21">
        <v>41</v>
      </c>
      <c r="AC21">
        <v>74</v>
      </c>
      <c r="AD21">
        <f>AC21/100*50</f>
        <v>37</v>
      </c>
      <c r="AE21">
        <v>45</v>
      </c>
      <c r="AF21">
        <v>37</v>
      </c>
      <c r="AG21">
        <f t="shared" si="13"/>
        <v>18.5</v>
      </c>
      <c r="AH21">
        <v>47</v>
      </c>
      <c r="AI21">
        <v>23</v>
      </c>
      <c r="AJ21" s="1">
        <f t="shared" si="14"/>
        <v>38.333333333333336</v>
      </c>
      <c r="AK21">
        <v>25</v>
      </c>
      <c r="AL21" s="1">
        <f t="shared" si="15"/>
        <v>17.857142857142858</v>
      </c>
      <c r="AM21">
        <v>46</v>
      </c>
      <c r="AN21" s="1">
        <v>47</v>
      </c>
      <c r="AO21">
        <f t="shared" si="16"/>
        <v>23</v>
      </c>
      <c r="AP21">
        <v>45</v>
      </c>
      <c r="AQ21">
        <v>20</v>
      </c>
      <c r="AR21">
        <v>0</v>
      </c>
      <c r="AS21">
        <v>16</v>
      </c>
      <c r="AT21">
        <v>7</v>
      </c>
      <c r="AU21">
        <f t="shared" si="3"/>
        <v>3.5000000000000004</v>
      </c>
      <c r="AV21">
        <v>18</v>
      </c>
      <c r="AW21" s="1">
        <f t="shared" si="4"/>
        <v>30</v>
      </c>
      <c r="AX21">
        <v>68</v>
      </c>
      <c r="AY21">
        <v>44</v>
      </c>
      <c r="AZ21">
        <f t="shared" si="5"/>
        <v>34</v>
      </c>
      <c r="BA21">
        <v>46</v>
      </c>
      <c r="BB21">
        <v>45</v>
      </c>
      <c r="BC21">
        <f t="shared" si="6"/>
        <v>23</v>
      </c>
      <c r="BD21">
        <v>34</v>
      </c>
      <c r="BE21">
        <v>46</v>
      </c>
      <c r="BF21" s="1">
        <f t="shared" si="17"/>
        <v>30.909090909090907</v>
      </c>
      <c r="BG21" s="1">
        <v>43</v>
      </c>
      <c r="BH21" s="1">
        <v>44</v>
      </c>
      <c r="BI21" s="1">
        <v>48</v>
      </c>
      <c r="BJ21" s="1">
        <v>48</v>
      </c>
      <c r="BK21" s="1">
        <f>SUM(BH21,BG21,BF21,BE21,BC21,BB21,AZ21,AY21,AW21,AU21,AS21,AR21,AQ21,AP21,AO21,AN21,AL21,AJ21,AH21,AG21,AE21,AD21,AB21,AA21,BI21,BJ21)</f>
        <v>863.09956709956714</v>
      </c>
      <c r="BL21" s="23">
        <f t="shared" si="11"/>
        <v>0.71924963924963925</v>
      </c>
      <c r="BM21" s="24">
        <f t="shared" si="12"/>
        <v>9</v>
      </c>
    </row>
    <row r="22" spans="2:65" ht="18.75" x14ac:dyDescent="0.25">
      <c r="B22">
        <v>5</v>
      </c>
      <c r="C22" t="s">
        <v>6</v>
      </c>
      <c r="D22">
        <v>98</v>
      </c>
      <c r="E22" s="3">
        <f t="shared" si="0"/>
        <v>49</v>
      </c>
      <c r="F22" s="3">
        <v>48</v>
      </c>
      <c r="G22" s="3">
        <v>45</v>
      </c>
      <c r="H22" s="3">
        <v>10</v>
      </c>
      <c r="I22">
        <v>95</v>
      </c>
      <c r="J22" s="3">
        <f t="shared" si="1"/>
        <v>47.5</v>
      </c>
      <c r="K22">
        <v>89</v>
      </c>
      <c r="L22" s="3">
        <f t="shared" si="7"/>
        <v>44.5</v>
      </c>
      <c r="M22">
        <v>77</v>
      </c>
      <c r="N22">
        <f t="shared" si="8"/>
        <v>38.5</v>
      </c>
      <c r="O22">
        <v>97</v>
      </c>
      <c r="P22">
        <f t="shared" si="9"/>
        <v>48.5</v>
      </c>
      <c r="Q22">
        <v>91</v>
      </c>
      <c r="R22">
        <f t="shared" si="10"/>
        <v>45.5</v>
      </c>
      <c r="S22">
        <v>48</v>
      </c>
      <c r="T22">
        <v>45</v>
      </c>
      <c r="U22">
        <v>48</v>
      </c>
      <c r="V22">
        <v>49</v>
      </c>
      <c r="W22">
        <v>48</v>
      </c>
      <c r="X22">
        <v>49</v>
      </c>
      <c r="AA22">
        <v>32</v>
      </c>
      <c r="AB22">
        <v>41</v>
      </c>
      <c r="AC22">
        <v>85</v>
      </c>
      <c r="AD22">
        <f t="shared" ref="AD22:AD35" si="19">AC22/100*50</f>
        <v>42.5</v>
      </c>
      <c r="AE22">
        <v>45</v>
      </c>
      <c r="AF22">
        <v>76</v>
      </c>
      <c r="AG22">
        <f t="shared" si="13"/>
        <v>38</v>
      </c>
      <c r="AH22">
        <v>47</v>
      </c>
      <c r="AJ22" s="1">
        <f t="shared" si="14"/>
        <v>0</v>
      </c>
      <c r="AK22">
        <v>52</v>
      </c>
      <c r="AL22" s="1">
        <f t="shared" si="15"/>
        <v>37.142857142857146</v>
      </c>
      <c r="AM22">
        <v>71.5</v>
      </c>
      <c r="AN22" s="1">
        <v>47</v>
      </c>
      <c r="AO22">
        <f t="shared" si="16"/>
        <v>35.75</v>
      </c>
      <c r="AP22">
        <v>45</v>
      </c>
      <c r="AQ22">
        <v>28</v>
      </c>
      <c r="AR22">
        <v>20</v>
      </c>
      <c r="AS22">
        <v>15</v>
      </c>
      <c r="AT22">
        <v>89</v>
      </c>
      <c r="AU22">
        <f t="shared" si="3"/>
        <v>44.5</v>
      </c>
      <c r="AV22">
        <v>29</v>
      </c>
      <c r="AW22" s="1">
        <f t="shared" si="4"/>
        <v>48.333333333333336</v>
      </c>
      <c r="AX22">
        <v>86</v>
      </c>
      <c r="AY22">
        <v>44</v>
      </c>
      <c r="AZ22">
        <f t="shared" si="5"/>
        <v>43</v>
      </c>
      <c r="BA22">
        <v>67</v>
      </c>
      <c r="BB22">
        <v>45</v>
      </c>
      <c r="BC22">
        <f t="shared" si="6"/>
        <v>33.5</v>
      </c>
      <c r="BD22">
        <v>46</v>
      </c>
      <c r="BE22">
        <v>46</v>
      </c>
      <c r="BF22" s="1">
        <f t="shared" si="17"/>
        <v>41.818181818181813</v>
      </c>
      <c r="BG22" s="1">
        <v>43</v>
      </c>
      <c r="BH22" s="1">
        <v>44</v>
      </c>
      <c r="BI22" s="1">
        <v>48</v>
      </c>
      <c r="BJ22" s="1">
        <v>48</v>
      </c>
      <c r="BK22" s="1">
        <f t="shared" si="18"/>
        <v>906.54437229437224</v>
      </c>
      <c r="BL22" s="23">
        <f t="shared" si="11"/>
        <v>0.75545364357864353</v>
      </c>
      <c r="BM22" s="24">
        <f t="shared" si="12"/>
        <v>7</v>
      </c>
    </row>
    <row r="23" spans="2:65" ht="18.75" x14ac:dyDescent="0.25">
      <c r="B23">
        <v>6</v>
      </c>
      <c r="C23" t="s">
        <v>3</v>
      </c>
      <c r="D23">
        <v>72</v>
      </c>
      <c r="E23" s="3">
        <f t="shared" si="0"/>
        <v>36</v>
      </c>
      <c r="F23" s="3">
        <v>40</v>
      </c>
      <c r="G23" s="3">
        <v>19</v>
      </c>
      <c r="H23" s="3">
        <v>6</v>
      </c>
      <c r="I23">
        <v>85</v>
      </c>
      <c r="J23" s="3">
        <f t="shared" si="1"/>
        <v>42.5</v>
      </c>
      <c r="K23">
        <v>69</v>
      </c>
      <c r="L23" s="3">
        <f t="shared" si="7"/>
        <v>34.5</v>
      </c>
      <c r="M23">
        <v>70</v>
      </c>
      <c r="N23">
        <f t="shared" si="8"/>
        <v>35</v>
      </c>
      <c r="O23">
        <v>90</v>
      </c>
      <c r="P23">
        <f t="shared" si="9"/>
        <v>45</v>
      </c>
      <c r="Q23">
        <v>75</v>
      </c>
      <c r="R23">
        <f t="shared" si="10"/>
        <v>37.5</v>
      </c>
      <c r="S23">
        <v>45</v>
      </c>
      <c r="T23">
        <v>45</v>
      </c>
      <c r="U23">
        <v>48</v>
      </c>
      <c r="V23">
        <v>44</v>
      </c>
      <c r="W23">
        <v>44.5</v>
      </c>
      <c r="X23">
        <v>45</v>
      </c>
      <c r="AA23">
        <v>21</v>
      </c>
      <c r="AB23">
        <v>41</v>
      </c>
      <c r="AC23">
        <v>53</v>
      </c>
      <c r="AD23">
        <f t="shared" si="19"/>
        <v>26.5</v>
      </c>
      <c r="AE23">
        <v>45</v>
      </c>
      <c r="AF23">
        <v>76</v>
      </c>
      <c r="AG23">
        <f t="shared" si="13"/>
        <v>38</v>
      </c>
      <c r="AH23">
        <v>47</v>
      </c>
      <c r="AI23">
        <v>23</v>
      </c>
      <c r="AJ23" s="1">
        <f t="shared" si="14"/>
        <v>38.333333333333336</v>
      </c>
      <c r="AK23">
        <v>15</v>
      </c>
      <c r="AL23" s="1">
        <f t="shared" si="15"/>
        <v>10.714285714285714</v>
      </c>
      <c r="AM23">
        <v>70</v>
      </c>
      <c r="AN23" s="1">
        <v>47</v>
      </c>
      <c r="AO23">
        <f t="shared" si="16"/>
        <v>35</v>
      </c>
      <c r="AP23">
        <v>45</v>
      </c>
      <c r="AT23">
        <v>52</v>
      </c>
      <c r="AU23">
        <f t="shared" si="3"/>
        <v>26</v>
      </c>
      <c r="AV23">
        <v>29</v>
      </c>
      <c r="AW23" s="1">
        <f t="shared" si="4"/>
        <v>48.333333333333336</v>
      </c>
      <c r="AY23">
        <v>44</v>
      </c>
      <c r="AZ23">
        <f t="shared" si="5"/>
        <v>0</v>
      </c>
      <c r="BA23">
        <v>46</v>
      </c>
      <c r="BB23">
        <v>45</v>
      </c>
      <c r="BC23">
        <f>BA23/100*50</f>
        <v>23</v>
      </c>
      <c r="BD23">
        <v>30</v>
      </c>
      <c r="BE23">
        <v>46</v>
      </c>
      <c r="BF23" s="1">
        <f t="shared" si="17"/>
        <v>27.27272727272727</v>
      </c>
      <c r="BG23" s="1">
        <v>43</v>
      </c>
      <c r="BH23" s="1">
        <v>44</v>
      </c>
      <c r="BI23" s="1">
        <v>48</v>
      </c>
      <c r="BJ23" s="1">
        <v>48</v>
      </c>
      <c r="BK23" s="1">
        <f t="shared" si="18"/>
        <v>741.15367965367966</v>
      </c>
      <c r="BL23" s="23">
        <f t="shared" si="11"/>
        <v>0.61762806637806633</v>
      </c>
      <c r="BM23" s="24">
        <f t="shared" si="12"/>
        <v>15</v>
      </c>
    </row>
    <row r="24" spans="2:65" ht="18.75" x14ac:dyDescent="0.25">
      <c r="B24">
        <v>7</v>
      </c>
      <c r="C24" t="s">
        <v>5</v>
      </c>
      <c r="D24">
        <v>97</v>
      </c>
      <c r="E24" s="3">
        <f t="shared" si="0"/>
        <v>48.5</v>
      </c>
      <c r="F24" s="3"/>
      <c r="G24" s="3">
        <v>22</v>
      </c>
      <c r="H24" s="4"/>
      <c r="I24">
        <v>96</v>
      </c>
      <c r="J24" s="3">
        <f t="shared" si="1"/>
        <v>48</v>
      </c>
      <c r="L24" s="3">
        <f t="shared" si="7"/>
        <v>0</v>
      </c>
      <c r="N24">
        <f t="shared" si="8"/>
        <v>0</v>
      </c>
      <c r="O24">
        <v>90</v>
      </c>
      <c r="P24">
        <f t="shared" si="9"/>
        <v>45</v>
      </c>
      <c r="R24">
        <f t="shared" si="10"/>
        <v>0</v>
      </c>
      <c r="S24">
        <v>47</v>
      </c>
      <c r="T24">
        <v>45</v>
      </c>
      <c r="U24">
        <v>48</v>
      </c>
      <c r="V24">
        <v>46</v>
      </c>
      <c r="W24">
        <v>46.5</v>
      </c>
      <c r="X24">
        <v>47</v>
      </c>
      <c r="AA24">
        <v>31</v>
      </c>
      <c r="AB24">
        <v>41</v>
      </c>
      <c r="AC24">
        <v>77</v>
      </c>
      <c r="AD24">
        <f t="shared" si="19"/>
        <v>38.5</v>
      </c>
      <c r="AE24">
        <v>45</v>
      </c>
      <c r="AF24">
        <v>75</v>
      </c>
      <c r="AG24">
        <f t="shared" si="13"/>
        <v>37.5</v>
      </c>
      <c r="AH24">
        <v>47</v>
      </c>
      <c r="AI24">
        <v>23</v>
      </c>
      <c r="AJ24" s="1">
        <f t="shared" si="14"/>
        <v>38.333333333333336</v>
      </c>
      <c r="AK24">
        <v>54</v>
      </c>
      <c r="AL24" s="1">
        <f t="shared" si="15"/>
        <v>38.571428571428577</v>
      </c>
      <c r="AM24">
        <v>60</v>
      </c>
      <c r="AN24" s="1">
        <v>47</v>
      </c>
      <c r="AO24">
        <f t="shared" si="16"/>
        <v>30</v>
      </c>
      <c r="AP24">
        <v>45</v>
      </c>
      <c r="AQ24">
        <v>26</v>
      </c>
      <c r="AR24">
        <v>0</v>
      </c>
      <c r="AS24">
        <v>26</v>
      </c>
      <c r="AT24">
        <v>65</v>
      </c>
      <c r="AU24">
        <f t="shared" si="3"/>
        <v>32.5</v>
      </c>
      <c r="AV24">
        <v>29</v>
      </c>
      <c r="AW24" s="1">
        <f t="shared" si="4"/>
        <v>48.333333333333336</v>
      </c>
      <c r="AX24">
        <v>100</v>
      </c>
      <c r="AY24">
        <v>44</v>
      </c>
      <c r="AZ24">
        <f>AX24/100*50</f>
        <v>50</v>
      </c>
      <c r="BA24">
        <v>50</v>
      </c>
      <c r="BB24">
        <v>45</v>
      </c>
      <c r="BC24">
        <f t="shared" ref="BC24:BC35" si="20">BA24/100*50</f>
        <v>25</v>
      </c>
      <c r="BD24">
        <v>42</v>
      </c>
      <c r="BE24">
        <v>46</v>
      </c>
      <c r="BF24" s="1">
        <f t="shared" si="17"/>
        <v>38.181818181818187</v>
      </c>
      <c r="BG24" s="1">
        <v>43</v>
      </c>
      <c r="BH24" s="1">
        <v>44</v>
      </c>
      <c r="BI24" s="1">
        <v>48</v>
      </c>
      <c r="BJ24" s="1">
        <v>48</v>
      </c>
      <c r="BK24" s="1">
        <f t="shared" si="18"/>
        <v>906.91991341991343</v>
      </c>
      <c r="BL24" s="23">
        <f t="shared" si="11"/>
        <v>0.75576659451659456</v>
      </c>
      <c r="BM24" s="24">
        <f t="shared" si="12"/>
        <v>6</v>
      </c>
    </row>
    <row r="25" spans="2:65" ht="18.75" x14ac:dyDescent="0.25">
      <c r="B25">
        <v>8</v>
      </c>
      <c r="C25" t="s">
        <v>53</v>
      </c>
      <c r="D25">
        <v>37</v>
      </c>
      <c r="E25" s="3">
        <f t="shared" si="0"/>
        <v>18.5</v>
      </c>
      <c r="F25" s="3">
        <v>46</v>
      </c>
      <c r="G25" s="3">
        <v>7</v>
      </c>
      <c r="H25" s="3">
        <v>5</v>
      </c>
      <c r="J25" s="3">
        <f t="shared" si="1"/>
        <v>0</v>
      </c>
      <c r="K25">
        <v>80</v>
      </c>
      <c r="L25" s="3">
        <f t="shared" si="7"/>
        <v>40</v>
      </c>
      <c r="M25">
        <v>56</v>
      </c>
      <c r="N25">
        <f t="shared" si="8"/>
        <v>28</v>
      </c>
      <c r="O25">
        <v>96</v>
      </c>
      <c r="P25">
        <f t="shared" si="9"/>
        <v>48</v>
      </c>
      <c r="Q25">
        <v>80</v>
      </c>
      <c r="R25">
        <f t="shared" si="10"/>
        <v>40</v>
      </c>
      <c r="S25">
        <v>45</v>
      </c>
      <c r="T25">
        <v>45</v>
      </c>
      <c r="U25">
        <v>48</v>
      </c>
      <c r="V25">
        <v>45</v>
      </c>
      <c r="W25">
        <v>44.5</v>
      </c>
      <c r="X25">
        <v>46</v>
      </c>
      <c r="AA25">
        <v>32</v>
      </c>
      <c r="AB25">
        <v>41</v>
      </c>
      <c r="AC25">
        <v>83</v>
      </c>
      <c r="AD25">
        <f t="shared" si="19"/>
        <v>41.5</v>
      </c>
      <c r="AE25">
        <v>45</v>
      </c>
      <c r="AF25">
        <v>74</v>
      </c>
      <c r="AG25">
        <f t="shared" si="13"/>
        <v>37</v>
      </c>
      <c r="AH25">
        <v>47</v>
      </c>
      <c r="AJ25" s="1">
        <f t="shared" si="14"/>
        <v>0</v>
      </c>
      <c r="AK25">
        <v>34</v>
      </c>
      <c r="AL25" s="1">
        <f t="shared" si="15"/>
        <v>24.285714285714285</v>
      </c>
      <c r="AM25">
        <v>87</v>
      </c>
      <c r="AN25" s="1">
        <v>47</v>
      </c>
      <c r="AO25">
        <f t="shared" si="16"/>
        <v>43.5</v>
      </c>
      <c r="AP25">
        <v>45</v>
      </c>
      <c r="AQ25">
        <v>34</v>
      </c>
      <c r="AT25">
        <v>76</v>
      </c>
      <c r="AU25">
        <f t="shared" si="3"/>
        <v>38</v>
      </c>
      <c r="AV25">
        <v>29</v>
      </c>
      <c r="AW25" s="1">
        <f>AV25/30*50</f>
        <v>48.333333333333336</v>
      </c>
      <c r="AX25">
        <v>65</v>
      </c>
      <c r="AY25">
        <v>44</v>
      </c>
      <c r="AZ25">
        <f t="shared" si="5"/>
        <v>32.5</v>
      </c>
      <c r="BA25">
        <v>40</v>
      </c>
      <c r="BB25">
        <v>45</v>
      </c>
      <c r="BC25">
        <f t="shared" si="20"/>
        <v>20</v>
      </c>
      <c r="BD25">
        <v>35</v>
      </c>
      <c r="BE25">
        <v>46</v>
      </c>
      <c r="BF25" s="1">
        <f t="shared" si="17"/>
        <v>31.818181818181817</v>
      </c>
      <c r="BG25" s="1">
        <v>43</v>
      </c>
      <c r="BH25" s="1">
        <v>44</v>
      </c>
      <c r="BI25" s="1">
        <v>48</v>
      </c>
      <c r="BJ25" s="1">
        <v>48</v>
      </c>
      <c r="BK25" s="1">
        <f t="shared" si="18"/>
        <v>829.93722943722946</v>
      </c>
      <c r="BL25" s="23">
        <f t="shared" si="11"/>
        <v>0.69161435786435788</v>
      </c>
      <c r="BM25" s="24">
        <f t="shared" si="12"/>
        <v>11</v>
      </c>
    </row>
    <row r="26" spans="2:65" ht="18.75" x14ac:dyDescent="0.25">
      <c r="B26">
        <v>9</v>
      </c>
      <c r="C26" t="s">
        <v>10</v>
      </c>
      <c r="D26">
        <v>87</v>
      </c>
      <c r="E26" s="3">
        <f t="shared" si="0"/>
        <v>43.5</v>
      </c>
      <c r="F26" s="3">
        <v>48</v>
      </c>
      <c r="G26" s="3">
        <v>40</v>
      </c>
      <c r="H26" s="3">
        <v>8</v>
      </c>
      <c r="I26">
        <v>96</v>
      </c>
      <c r="J26" s="3">
        <f t="shared" si="1"/>
        <v>48</v>
      </c>
      <c r="K26">
        <v>90</v>
      </c>
      <c r="L26" s="3">
        <f t="shared" si="7"/>
        <v>45</v>
      </c>
      <c r="M26">
        <v>81</v>
      </c>
      <c r="N26">
        <f t="shared" si="8"/>
        <v>40.5</v>
      </c>
      <c r="O26">
        <v>87</v>
      </c>
      <c r="P26">
        <f t="shared" si="9"/>
        <v>43.5</v>
      </c>
      <c r="Q26">
        <v>46</v>
      </c>
      <c r="R26">
        <f t="shared" si="10"/>
        <v>23</v>
      </c>
      <c r="S26">
        <v>46</v>
      </c>
      <c r="T26">
        <v>45</v>
      </c>
      <c r="U26">
        <v>48</v>
      </c>
      <c r="V26">
        <v>46</v>
      </c>
      <c r="W26">
        <v>46.5</v>
      </c>
      <c r="X26">
        <v>48</v>
      </c>
      <c r="AA26">
        <v>41</v>
      </c>
      <c r="AB26">
        <v>41</v>
      </c>
      <c r="AC26">
        <v>83</v>
      </c>
      <c r="AD26">
        <f t="shared" si="19"/>
        <v>41.5</v>
      </c>
      <c r="AE26">
        <v>45</v>
      </c>
      <c r="AF26">
        <v>68</v>
      </c>
      <c r="AG26">
        <f t="shared" si="13"/>
        <v>34</v>
      </c>
      <c r="AH26">
        <v>47</v>
      </c>
      <c r="AI26">
        <v>23</v>
      </c>
      <c r="AJ26" s="1">
        <f t="shared" si="14"/>
        <v>38.333333333333336</v>
      </c>
      <c r="AK26">
        <v>43</v>
      </c>
      <c r="AL26" s="1">
        <f t="shared" si="15"/>
        <v>30.714285714285715</v>
      </c>
      <c r="AM26">
        <v>90</v>
      </c>
      <c r="AN26" s="1">
        <v>47</v>
      </c>
      <c r="AO26">
        <f t="shared" si="16"/>
        <v>45</v>
      </c>
      <c r="AP26">
        <v>45</v>
      </c>
      <c r="AQ26">
        <v>20</v>
      </c>
      <c r="AR26">
        <v>37</v>
      </c>
      <c r="AS26">
        <v>26</v>
      </c>
      <c r="AT26">
        <v>92</v>
      </c>
      <c r="AU26">
        <f t="shared" si="3"/>
        <v>46</v>
      </c>
      <c r="AV26">
        <v>29</v>
      </c>
      <c r="AW26" s="1">
        <f>AV26/30*50</f>
        <v>48.333333333333336</v>
      </c>
      <c r="AX26">
        <v>82</v>
      </c>
      <c r="AY26">
        <v>44</v>
      </c>
      <c r="AZ26">
        <f t="shared" si="5"/>
        <v>41</v>
      </c>
      <c r="BA26">
        <v>56</v>
      </c>
      <c r="BB26">
        <v>45</v>
      </c>
      <c r="BC26">
        <f t="shared" si="20"/>
        <v>28.000000000000004</v>
      </c>
      <c r="BD26">
        <v>50</v>
      </c>
      <c r="BE26">
        <v>46</v>
      </c>
      <c r="BF26" s="1">
        <f t="shared" si="17"/>
        <v>45.454545454545453</v>
      </c>
      <c r="BG26" s="1">
        <v>43</v>
      </c>
      <c r="BH26" s="1">
        <v>44</v>
      </c>
      <c r="BI26" s="1">
        <v>48</v>
      </c>
      <c r="BJ26" s="1">
        <v>48</v>
      </c>
      <c r="BK26" s="1">
        <f t="shared" si="18"/>
        <v>969.33549783549779</v>
      </c>
      <c r="BL26" s="23">
        <f t="shared" si="11"/>
        <v>0.80777958152958151</v>
      </c>
      <c r="BM26" s="24">
        <f t="shared" si="12"/>
        <v>1</v>
      </c>
    </row>
    <row r="27" spans="2:65" ht="18.75" x14ac:dyDescent="0.25">
      <c r="B27">
        <v>10</v>
      </c>
      <c r="C27" t="s">
        <v>18</v>
      </c>
      <c r="D27">
        <v>50</v>
      </c>
      <c r="E27" s="3">
        <f t="shared" si="0"/>
        <v>25</v>
      </c>
      <c r="F27" s="3">
        <v>38</v>
      </c>
      <c r="G27" s="3">
        <v>30</v>
      </c>
      <c r="H27" s="3">
        <v>1</v>
      </c>
      <c r="I27">
        <v>90</v>
      </c>
      <c r="J27" s="3">
        <f t="shared" si="1"/>
        <v>45</v>
      </c>
      <c r="K27">
        <v>70</v>
      </c>
      <c r="L27" s="3">
        <f t="shared" si="7"/>
        <v>35</v>
      </c>
      <c r="M27">
        <v>50</v>
      </c>
      <c r="N27">
        <f t="shared" si="8"/>
        <v>25</v>
      </c>
      <c r="O27">
        <v>73</v>
      </c>
      <c r="P27">
        <f t="shared" si="9"/>
        <v>36.5</v>
      </c>
      <c r="Q27">
        <v>80</v>
      </c>
      <c r="R27">
        <f t="shared" si="10"/>
        <v>40</v>
      </c>
      <c r="S27">
        <v>46</v>
      </c>
      <c r="T27">
        <v>45</v>
      </c>
      <c r="U27">
        <v>48</v>
      </c>
      <c r="V27">
        <v>45.5</v>
      </c>
      <c r="W27">
        <v>46</v>
      </c>
      <c r="X27">
        <v>46.5</v>
      </c>
      <c r="AA27">
        <v>25</v>
      </c>
      <c r="AB27">
        <v>41</v>
      </c>
      <c r="AC27">
        <v>78</v>
      </c>
      <c r="AD27">
        <f t="shared" si="19"/>
        <v>39</v>
      </c>
      <c r="AE27">
        <v>45</v>
      </c>
      <c r="AF27">
        <v>71</v>
      </c>
      <c r="AG27">
        <f t="shared" si="13"/>
        <v>35.5</v>
      </c>
      <c r="AH27">
        <v>47</v>
      </c>
      <c r="AJ27" s="1">
        <f t="shared" si="14"/>
        <v>0</v>
      </c>
      <c r="AK27">
        <v>27</v>
      </c>
      <c r="AL27" s="1">
        <f t="shared" si="15"/>
        <v>19.285714285714288</v>
      </c>
      <c r="AM27">
        <v>68</v>
      </c>
      <c r="AN27" s="1">
        <v>47</v>
      </c>
      <c r="AO27">
        <f t="shared" si="16"/>
        <v>34</v>
      </c>
      <c r="AP27">
        <v>45</v>
      </c>
      <c r="AQ27">
        <v>26</v>
      </c>
      <c r="AT27">
        <v>40</v>
      </c>
      <c r="AU27">
        <f>AT27/100*50</f>
        <v>20</v>
      </c>
      <c r="AV27">
        <v>29</v>
      </c>
      <c r="AW27" s="1">
        <f t="shared" ref="AW27:AW35" si="21">AV27/30*50</f>
        <v>48.333333333333336</v>
      </c>
      <c r="AX27">
        <v>54</v>
      </c>
      <c r="AY27">
        <v>44</v>
      </c>
      <c r="AZ27">
        <f t="shared" si="5"/>
        <v>27</v>
      </c>
      <c r="BA27">
        <v>67</v>
      </c>
      <c r="BB27">
        <v>45</v>
      </c>
      <c r="BC27">
        <f t="shared" si="20"/>
        <v>33.5</v>
      </c>
      <c r="BD27">
        <v>32</v>
      </c>
      <c r="BE27">
        <v>46</v>
      </c>
      <c r="BF27" s="1">
        <f t="shared" si="17"/>
        <v>29.09090909090909</v>
      </c>
      <c r="BG27" s="1">
        <v>43</v>
      </c>
      <c r="BH27" s="1">
        <v>44</v>
      </c>
      <c r="BI27" s="1">
        <v>48</v>
      </c>
      <c r="BJ27" s="1">
        <v>48</v>
      </c>
      <c r="BK27" s="1">
        <f t="shared" si="18"/>
        <v>783.70995670995683</v>
      </c>
      <c r="BL27" s="23">
        <f t="shared" si="11"/>
        <v>0.65309163059163067</v>
      </c>
      <c r="BM27" s="24">
        <f t="shared" si="12"/>
        <v>12</v>
      </c>
    </row>
    <row r="28" spans="2:65" ht="18.75" x14ac:dyDescent="0.25">
      <c r="B28">
        <v>11</v>
      </c>
      <c r="C28" t="s">
        <v>8</v>
      </c>
      <c r="D28">
        <v>24</v>
      </c>
      <c r="E28" s="3">
        <f t="shared" si="0"/>
        <v>12</v>
      </c>
      <c r="F28" s="3"/>
      <c r="G28" s="3">
        <v>26</v>
      </c>
      <c r="H28" s="3"/>
      <c r="J28" s="3">
        <f t="shared" si="1"/>
        <v>0</v>
      </c>
      <c r="L28" s="3">
        <f t="shared" si="7"/>
        <v>0</v>
      </c>
      <c r="N28">
        <f t="shared" si="8"/>
        <v>0</v>
      </c>
      <c r="P28">
        <f t="shared" si="9"/>
        <v>0</v>
      </c>
      <c r="R28">
        <f t="shared" si="10"/>
        <v>0</v>
      </c>
      <c r="S28">
        <v>44</v>
      </c>
      <c r="T28">
        <v>45</v>
      </c>
      <c r="U28">
        <v>48</v>
      </c>
      <c r="V28" s="16">
        <v>45</v>
      </c>
      <c r="W28" s="16">
        <v>44.5</v>
      </c>
      <c r="X28" s="16">
        <v>45</v>
      </c>
      <c r="AA28">
        <v>14</v>
      </c>
      <c r="AB28">
        <v>41</v>
      </c>
      <c r="AD28">
        <f t="shared" si="19"/>
        <v>0</v>
      </c>
      <c r="AE28">
        <v>45</v>
      </c>
      <c r="AG28">
        <f t="shared" si="13"/>
        <v>0</v>
      </c>
      <c r="AH28">
        <v>47</v>
      </c>
      <c r="AJ28" s="1">
        <f t="shared" si="14"/>
        <v>0</v>
      </c>
      <c r="AK28">
        <v>13</v>
      </c>
      <c r="AL28" s="1">
        <f t="shared" si="15"/>
        <v>9.2857142857142865</v>
      </c>
      <c r="AM28">
        <v>24</v>
      </c>
      <c r="AN28" s="1">
        <v>47</v>
      </c>
      <c r="AO28">
        <f t="shared" si="16"/>
        <v>12</v>
      </c>
      <c r="AP28">
        <v>45</v>
      </c>
      <c r="AR28">
        <v>16</v>
      </c>
      <c r="AS28">
        <v>0</v>
      </c>
      <c r="AT28">
        <v>24</v>
      </c>
      <c r="AU28">
        <f t="shared" ref="AU28:AU35" si="22">AT28/100*50</f>
        <v>12</v>
      </c>
      <c r="AV28">
        <v>29</v>
      </c>
      <c r="AW28" s="1">
        <f t="shared" si="21"/>
        <v>48.333333333333336</v>
      </c>
      <c r="AY28">
        <v>44</v>
      </c>
      <c r="AZ28">
        <f t="shared" si="5"/>
        <v>0</v>
      </c>
      <c r="BB28">
        <v>45</v>
      </c>
      <c r="BC28">
        <f t="shared" si="20"/>
        <v>0</v>
      </c>
      <c r="BD28">
        <v>9</v>
      </c>
      <c r="BE28">
        <v>46</v>
      </c>
      <c r="BF28" s="1">
        <f t="shared" si="17"/>
        <v>8.1818181818181817</v>
      </c>
      <c r="BG28" s="1">
        <v>43</v>
      </c>
      <c r="BH28" s="1">
        <v>44</v>
      </c>
      <c r="BI28" s="1">
        <v>48</v>
      </c>
      <c r="BJ28" s="1">
        <v>48</v>
      </c>
      <c r="BK28" s="1">
        <f t="shared" si="18"/>
        <v>566.80086580086572</v>
      </c>
      <c r="BL28" s="23">
        <f t="shared" si="11"/>
        <v>0.47233405483405477</v>
      </c>
      <c r="BM28" s="24">
        <f t="shared" si="12"/>
        <v>17</v>
      </c>
    </row>
    <row r="29" spans="2:65" ht="18.75" x14ac:dyDescent="0.25">
      <c r="B29">
        <v>12</v>
      </c>
      <c r="C29" t="s">
        <v>9</v>
      </c>
      <c r="D29">
        <v>84</v>
      </c>
      <c r="E29" s="3">
        <f t="shared" si="0"/>
        <v>42</v>
      </c>
      <c r="F29" s="3">
        <v>47</v>
      </c>
      <c r="G29" s="3">
        <v>35</v>
      </c>
      <c r="H29" s="3">
        <v>10</v>
      </c>
      <c r="I29">
        <v>93</v>
      </c>
      <c r="J29" s="3">
        <f t="shared" si="1"/>
        <v>46.5</v>
      </c>
      <c r="K29">
        <v>60</v>
      </c>
      <c r="L29" s="3">
        <f t="shared" si="7"/>
        <v>30</v>
      </c>
      <c r="M29">
        <v>80</v>
      </c>
      <c r="N29">
        <f t="shared" si="8"/>
        <v>40</v>
      </c>
      <c r="O29">
        <v>93</v>
      </c>
      <c r="P29">
        <f t="shared" si="9"/>
        <v>46.5</v>
      </c>
      <c r="Q29">
        <v>92</v>
      </c>
      <c r="R29">
        <f t="shared" si="10"/>
        <v>46</v>
      </c>
      <c r="S29">
        <v>46</v>
      </c>
      <c r="T29">
        <v>45</v>
      </c>
      <c r="U29">
        <v>48</v>
      </c>
      <c r="V29" s="16">
        <v>46</v>
      </c>
      <c r="W29" s="16">
        <v>46.5</v>
      </c>
      <c r="X29" s="16">
        <v>47</v>
      </c>
      <c r="AB29">
        <v>41</v>
      </c>
      <c r="AD29">
        <f t="shared" si="19"/>
        <v>0</v>
      </c>
      <c r="AE29">
        <v>45</v>
      </c>
      <c r="AF29">
        <v>22</v>
      </c>
      <c r="AG29">
        <f t="shared" si="13"/>
        <v>11</v>
      </c>
      <c r="AH29">
        <v>47</v>
      </c>
      <c r="AJ29" s="1">
        <f t="shared" si="14"/>
        <v>0</v>
      </c>
      <c r="AL29" s="1">
        <f t="shared" si="15"/>
        <v>0</v>
      </c>
      <c r="AN29" s="1">
        <v>47</v>
      </c>
      <c r="AO29">
        <f t="shared" si="16"/>
        <v>0</v>
      </c>
      <c r="AP29">
        <v>45</v>
      </c>
      <c r="AR29">
        <v>38.5</v>
      </c>
      <c r="AS29">
        <v>31</v>
      </c>
      <c r="AU29">
        <f t="shared" si="22"/>
        <v>0</v>
      </c>
      <c r="AV29">
        <v>29</v>
      </c>
      <c r="AW29" s="1">
        <f t="shared" si="21"/>
        <v>48.333333333333336</v>
      </c>
      <c r="AY29">
        <v>44</v>
      </c>
      <c r="AZ29">
        <f t="shared" si="5"/>
        <v>0</v>
      </c>
      <c r="BB29">
        <v>45</v>
      </c>
      <c r="BC29">
        <f t="shared" si="20"/>
        <v>0</v>
      </c>
      <c r="BE29">
        <v>46</v>
      </c>
      <c r="BF29" s="1">
        <f t="shared" si="17"/>
        <v>0</v>
      </c>
      <c r="BG29" s="1">
        <v>43</v>
      </c>
      <c r="BH29" s="1">
        <v>44</v>
      </c>
      <c r="BI29" s="1">
        <v>48</v>
      </c>
      <c r="BJ29" s="1">
        <v>48</v>
      </c>
      <c r="BK29" s="1">
        <f t="shared" si="18"/>
        <v>575.83333333333326</v>
      </c>
      <c r="BL29" s="23">
        <f t="shared" si="11"/>
        <v>0.47986111111111107</v>
      </c>
      <c r="BM29" s="24">
        <f t="shared" si="12"/>
        <v>16</v>
      </c>
    </row>
    <row r="30" spans="2:65" ht="18.75" x14ac:dyDescent="0.25">
      <c r="B30">
        <v>13</v>
      </c>
      <c r="C30" t="s">
        <v>0</v>
      </c>
      <c r="D30">
        <v>76</v>
      </c>
      <c r="E30" s="3">
        <f t="shared" si="0"/>
        <v>38</v>
      </c>
      <c r="F30" s="3">
        <v>44</v>
      </c>
      <c r="G30" s="3">
        <v>28</v>
      </c>
      <c r="H30" s="3">
        <v>16</v>
      </c>
      <c r="I30">
        <v>98</v>
      </c>
      <c r="J30" s="3">
        <f t="shared" si="1"/>
        <v>49</v>
      </c>
      <c r="K30">
        <v>70</v>
      </c>
      <c r="L30" s="3">
        <f t="shared" si="7"/>
        <v>35</v>
      </c>
      <c r="M30">
        <v>61</v>
      </c>
      <c r="N30">
        <f t="shared" si="8"/>
        <v>30.5</v>
      </c>
      <c r="O30">
        <v>94</v>
      </c>
      <c r="P30">
        <f t="shared" si="9"/>
        <v>47</v>
      </c>
      <c r="Q30">
        <v>73</v>
      </c>
      <c r="R30">
        <f t="shared" si="10"/>
        <v>36.5</v>
      </c>
      <c r="S30">
        <v>47</v>
      </c>
      <c r="T30">
        <v>45</v>
      </c>
      <c r="U30">
        <v>48</v>
      </c>
      <c r="V30" s="16">
        <v>46</v>
      </c>
      <c r="W30" s="16">
        <v>47</v>
      </c>
      <c r="X30" s="16">
        <v>46.5</v>
      </c>
      <c r="AA30">
        <v>36</v>
      </c>
      <c r="AB30">
        <v>41</v>
      </c>
      <c r="AC30">
        <v>95</v>
      </c>
      <c r="AD30">
        <f t="shared" si="19"/>
        <v>47.5</v>
      </c>
      <c r="AE30">
        <v>45</v>
      </c>
      <c r="AF30">
        <v>84</v>
      </c>
      <c r="AG30">
        <f t="shared" si="13"/>
        <v>42</v>
      </c>
      <c r="AH30">
        <v>47</v>
      </c>
      <c r="AI30">
        <v>24</v>
      </c>
      <c r="AJ30" s="1">
        <f t="shared" si="14"/>
        <v>40</v>
      </c>
      <c r="AK30">
        <v>35</v>
      </c>
      <c r="AL30" s="1">
        <f t="shared" si="15"/>
        <v>25</v>
      </c>
      <c r="AM30">
        <v>80</v>
      </c>
      <c r="AN30" s="1">
        <v>47</v>
      </c>
      <c r="AO30">
        <f t="shared" si="16"/>
        <v>40</v>
      </c>
      <c r="AP30">
        <v>45</v>
      </c>
      <c r="AQ30">
        <v>17</v>
      </c>
      <c r="AR30">
        <v>38</v>
      </c>
      <c r="AS30">
        <v>37</v>
      </c>
      <c r="AT30">
        <v>83</v>
      </c>
      <c r="AU30">
        <f t="shared" si="22"/>
        <v>41.5</v>
      </c>
      <c r="AV30">
        <v>29</v>
      </c>
      <c r="AW30" s="1">
        <f t="shared" si="21"/>
        <v>48.333333333333336</v>
      </c>
      <c r="AX30">
        <v>86</v>
      </c>
      <c r="AY30">
        <v>44</v>
      </c>
      <c r="AZ30">
        <f t="shared" si="5"/>
        <v>43</v>
      </c>
      <c r="BA30">
        <v>44</v>
      </c>
      <c r="BB30">
        <v>45</v>
      </c>
      <c r="BC30">
        <f t="shared" si="20"/>
        <v>22</v>
      </c>
      <c r="BD30">
        <v>26</v>
      </c>
      <c r="BE30">
        <v>46</v>
      </c>
      <c r="BF30" s="1">
        <f t="shared" si="17"/>
        <v>23.636363636363637</v>
      </c>
      <c r="BG30" s="1">
        <v>43</v>
      </c>
      <c r="BH30" s="1">
        <v>44</v>
      </c>
      <c r="BI30" s="1">
        <v>48</v>
      </c>
      <c r="BJ30" s="1">
        <v>48</v>
      </c>
      <c r="BK30" s="1">
        <f t="shared" si="18"/>
        <v>947.969696969697</v>
      </c>
      <c r="BL30" s="23">
        <f t="shared" si="11"/>
        <v>0.7899747474747475</v>
      </c>
      <c r="BM30" s="24">
        <f t="shared" si="12"/>
        <v>2</v>
      </c>
    </row>
    <row r="31" spans="2:65" ht="18.75" x14ac:dyDescent="0.25">
      <c r="B31">
        <v>14</v>
      </c>
      <c r="C31" t="s">
        <v>2</v>
      </c>
      <c r="D31">
        <v>55</v>
      </c>
      <c r="E31" s="3">
        <f t="shared" si="0"/>
        <v>27.5</v>
      </c>
      <c r="F31" s="3">
        <v>44</v>
      </c>
      <c r="G31" s="3">
        <v>24</v>
      </c>
      <c r="H31" s="5">
        <v>4</v>
      </c>
      <c r="I31" s="2">
        <v>90</v>
      </c>
      <c r="J31" s="3">
        <f t="shared" si="1"/>
        <v>45</v>
      </c>
      <c r="K31" s="2">
        <v>75</v>
      </c>
      <c r="L31" s="3">
        <f t="shared" si="7"/>
        <v>37.5</v>
      </c>
      <c r="M31" s="2">
        <v>59</v>
      </c>
      <c r="N31">
        <f t="shared" si="8"/>
        <v>29.5</v>
      </c>
      <c r="O31">
        <v>90</v>
      </c>
      <c r="P31">
        <f t="shared" si="9"/>
        <v>45</v>
      </c>
      <c r="Q31">
        <v>80</v>
      </c>
      <c r="R31">
        <f t="shared" si="10"/>
        <v>40</v>
      </c>
      <c r="S31">
        <v>46</v>
      </c>
      <c r="T31">
        <v>45</v>
      </c>
      <c r="U31">
        <v>48</v>
      </c>
      <c r="V31" s="16">
        <v>45</v>
      </c>
      <c r="W31" s="16">
        <v>45.5</v>
      </c>
      <c r="X31" s="16">
        <v>46</v>
      </c>
      <c r="AA31">
        <v>23</v>
      </c>
      <c r="AB31">
        <v>41</v>
      </c>
      <c r="AC31">
        <v>70</v>
      </c>
      <c r="AD31">
        <f t="shared" si="19"/>
        <v>35</v>
      </c>
      <c r="AE31">
        <v>45</v>
      </c>
      <c r="AF31">
        <v>75</v>
      </c>
      <c r="AG31">
        <f t="shared" si="13"/>
        <v>37.5</v>
      </c>
      <c r="AH31">
        <v>47</v>
      </c>
      <c r="AJ31" s="1">
        <f t="shared" si="14"/>
        <v>0</v>
      </c>
      <c r="AL31" s="1">
        <f t="shared" si="15"/>
        <v>0</v>
      </c>
      <c r="AM31">
        <v>72</v>
      </c>
      <c r="AN31" s="1">
        <v>47</v>
      </c>
      <c r="AO31">
        <f t="shared" si="16"/>
        <v>36</v>
      </c>
      <c r="AP31">
        <v>45</v>
      </c>
      <c r="AR31">
        <v>0</v>
      </c>
      <c r="AS31">
        <v>25</v>
      </c>
      <c r="AT31">
        <v>38</v>
      </c>
      <c r="AU31">
        <f t="shared" si="22"/>
        <v>19</v>
      </c>
      <c r="AV31">
        <v>29</v>
      </c>
      <c r="AW31" s="1">
        <f t="shared" si="21"/>
        <v>48.333333333333336</v>
      </c>
      <c r="AX31">
        <v>68</v>
      </c>
      <c r="AY31">
        <v>44</v>
      </c>
      <c r="AZ31">
        <f t="shared" si="5"/>
        <v>34</v>
      </c>
      <c r="BA31">
        <v>41</v>
      </c>
      <c r="BB31">
        <v>45</v>
      </c>
      <c r="BC31">
        <f t="shared" si="20"/>
        <v>20.5</v>
      </c>
      <c r="BD31">
        <v>43</v>
      </c>
      <c r="BE31">
        <v>46</v>
      </c>
      <c r="BF31" s="1">
        <f t="shared" si="17"/>
        <v>39.090909090909093</v>
      </c>
      <c r="BG31" s="1">
        <v>43</v>
      </c>
      <c r="BH31" s="1">
        <v>44</v>
      </c>
      <c r="BI31" s="1">
        <v>48</v>
      </c>
      <c r="BJ31" s="1">
        <v>48</v>
      </c>
      <c r="BK31" s="1">
        <f t="shared" si="18"/>
        <v>764.42424242424249</v>
      </c>
      <c r="BL31" s="23">
        <f t="shared" si="11"/>
        <v>0.63702020202020204</v>
      </c>
      <c r="BM31" s="24">
        <f t="shared" si="12"/>
        <v>13</v>
      </c>
    </row>
    <row r="32" spans="2:65" ht="18.75" x14ac:dyDescent="0.25">
      <c r="B32">
        <v>15</v>
      </c>
      <c r="C32" t="s">
        <v>1</v>
      </c>
      <c r="D32">
        <v>82</v>
      </c>
      <c r="E32" s="3">
        <f t="shared" si="0"/>
        <v>41</v>
      </c>
      <c r="F32" s="3">
        <v>41</v>
      </c>
      <c r="G32" s="3">
        <v>23</v>
      </c>
      <c r="H32" s="3">
        <v>8</v>
      </c>
      <c r="I32" s="2">
        <v>95</v>
      </c>
      <c r="J32" s="3">
        <f t="shared" si="1"/>
        <v>47.5</v>
      </c>
      <c r="K32" s="2">
        <v>88</v>
      </c>
      <c r="L32" s="3">
        <f t="shared" si="7"/>
        <v>44</v>
      </c>
      <c r="M32" s="2">
        <v>69</v>
      </c>
      <c r="N32">
        <f t="shared" si="8"/>
        <v>34.5</v>
      </c>
      <c r="O32">
        <v>94</v>
      </c>
      <c r="P32">
        <f t="shared" si="9"/>
        <v>47</v>
      </c>
      <c r="Q32">
        <v>64</v>
      </c>
      <c r="R32">
        <f t="shared" si="10"/>
        <v>32</v>
      </c>
      <c r="S32">
        <v>47</v>
      </c>
      <c r="T32">
        <v>45</v>
      </c>
      <c r="U32">
        <v>48</v>
      </c>
      <c r="V32" s="16">
        <v>46</v>
      </c>
      <c r="W32" s="16">
        <v>46.5</v>
      </c>
      <c r="X32" s="16">
        <v>48</v>
      </c>
      <c r="AA32">
        <v>41</v>
      </c>
      <c r="AB32">
        <v>41</v>
      </c>
      <c r="AC32">
        <v>70</v>
      </c>
      <c r="AD32">
        <f t="shared" si="19"/>
        <v>35</v>
      </c>
      <c r="AE32">
        <v>45</v>
      </c>
      <c r="AF32">
        <v>62</v>
      </c>
      <c r="AG32">
        <f t="shared" si="13"/>
        <v>31</v>
      </c>
      <c r="AH32">
        <v>47</v>
      </c>
      <c r="AI32">
        <v>19</v>
      </c>
      <c r="AJ32" s="1">
        <f t="shared" si="14"/>
        <v>31.666666666666664</v>
      </c>
      <c r="AK32">
        <v>50</v>
      </c>
      <c r="AL32" s="1">
        <f t="shared" si="15"/>
        <v>35.714285714285715</v>
      </c>
      <c r="AM32">
        <v>48</v>
      </c>
      <c r="AN32" s="1">
        <v>47</v>
      </c>
      <c r="AO32">
        <f t="shared" si="16"/>
        <v>24</v>
      </c>
      <c r="AP32">
        <v>45</v>
      </c>
      <c r="AQ32">
        <v>32</v>
      </c>
      <c r="AR32">
        <v>35</v>
      </c>
      <c r="AS32">
        <v>37</v>
      </c>
      <c r="AT32">
        <v>67</v>
      </c>
      <c r="AU32">
        <f t="shared" si="22"/>
        <v>33.5</v>
      </c>
      <c r="AV32">
        <v>29</v>
      </c>
      <c r="AW32" s="1">
        <f t="shared" si="21"/>
        <v>48.333333333333336</v>
      </c>
      <c r="AX32">
        <v>73</v>
      </c>
      <c r="AY32">
        <v>44</v>
      </c>
      <c r="AZ32">
        <f t="shared" si="5"/>
        <v>36.5</v>
      </c>
      <c r="BA32">
        <v>55</v>
      </c>
      <c r="BB32">
        <v>45</v>
      </c>
      <c r="BC32">
        <f t="shared" si="20"/>
        <v>27.500000000000004</v>
      </c>
      <c r="BD32">
        <v>15</v>
      </c>
      <c r="BE32">
        <v>46</v>
      </c>
      <c r="BF32" s="1">
        <f t="shared" si="17"/>
        <v>13.636363636363635</v>
      </c>
      <c r="BG32" s="1">
        <v>43</v>
      </c>
      <c r="BH32" s="1">
        <v>44</v>
      </c>
      <c r="BI32" s="1">
        <v>48</v>
      </c>
      <c r="BJ32" s="1">
        <v>48</v>
      </c>
      <c r="BK32" s="1">
        <f t="shared" si="18"/>
        <v>908.85064935064929</v>
      </c>
      <c r="BL32" s="23">
        <f t="shared" si="11"/>
        <v>0.75737554112554106</v>
      </c>
      <c r="BM32" s="24">
        <f t="shared" si="12"/>
        <v>5</v>
      </c>
    </row>
    <row r="33" spans="2:65" ht="18.75" x14ac:dyDescent="0.25">
      <c r="B33">
        <v>16</v>
      </c>
      <c r="C33" t="s">
        <v>56</v>
      </c>
      <c r="AA33">
        <v>22</v>
      </c>
      <c r="AB33">
        <v>41</v>
      </c>
      <c r="AC33">
        <v>43.5</v>
      </c>
      <c r="AD33">
        <f t="shared" si="19"/>
        <v>21.75</v>
      </c>
      <c r="AE33">
        <v>45</v>
      </c>
      <c r="AF33">
        <v>51</v>
      </c>
      <c r="AG33">
        <f t="shared" si="13"/>
        <v>25.5</v>
      </c>
      <c r="AH33">
        <v>47</v>
      </c>
      <c r="AJ33" s="1">
        <f t="shared" si="14"/>
        <v>0</v>
      </c>
      <c r="AL33" s="1">
        <f t="shared" si="15"/>
        <v>0</v>
      </c>
      <c r="AM33">
        <v>61</v>
      </c>
      <c r="AN33" s="1">
        <v>47</v>
      </c>
      <c r="AO33">
        <f t="shared" si="16"/>
        <v>30.5</v>
      </c>
      <c r="AP33">
        <v>45</v>
      </c>
      <c r="AQ33">
        <v>18</v>
      </c>
      <c r="AR33">
        <v>0</v>
      </c>
      <c r="AS33">
        <v>16.5</v>
      </c>
      <c r="AT33">
        <v>60</v>
      </c>
      <c r="AU33">
        <f t="shared" si="22"/>
        <v>30</v>
      </c>
      <c r="AV33">
        <v>29</v>
      </c>
      <c r="AW33" s="1">
        <f t="shared" si="21"/>
        <v>48.333333333333336</v>
      </c>
      <c r="AX33">
        <v>80</v>
      </c>
      <c r="AY33">
        <v>44</v>
      </c>
      <c r="AZ33">
        <f t="shared" si="5"/>
        <v>40</v>
      </c>
      <c r="BA33">
        <v>54</v>
      </c>
      <c r="BB33">
        <v>45</v>
      </c>
      <c r="BC33">
        <f t="shared" si="20"/>
        <v>27</v>
      </c>
      <c r="BD33">
        <v>41</v>
      </c>
      <c r="BE33">
        <v>46</v>
      </c>
      <c r="BF33" s="1">
        <f t="shared" si="17"/>
        <v>37.272727272727273</v>
      </c>
      <c r="BG33" s="1">
        <v>43</v>
      </c>
      <c r="BH33" s="1">
        <v>44</v>
      </c>
      <c r="BI33" s="1">
        <v>48</v>
      </c>
      <c r="BJ33" s="1">
        <v>48</v>
      </c>
      <c r="BK33" s="1">
        <f t="shared" si="18"/>
        <v>763.85606060606051</v>
      </c>
      <c r="BL33" s="23">
        <f t="shared" si="11"/>
        <v>0.63654671717171707</v>
      </c>
      <c r="BM33" s="24">
        <f t="shared" si="12"/>
        <v>14</v>
      </c>
    </row>
    <row r="34" spans="2:65" ht="18.75" x14ac:dyDescent="0.25">
      <c r="B34">
        <v>17</v>
      </c>
      <c r="C34" t="s">
        <v>57</v>
      </c>
      <c r="AA34">
        <v>22</v>
      </c>
      <c r="AB34">
        <v>41</v>
      </c>
      <c r="AC34">
        <v>71</v>
      </c>
      <c r="AD34">
        <f t="shared" si="19"/>
        <v>35.5</v>
      </c>
      <c r="AE34">
        <v>45</v>
      </c>
      <c r="AF34">
        <v>79</v>
      </c>
      <c r="AG34">
        <f t="shared" si="13"/>
        <v>39.5</v>
      </c>
      <c r="AH34">
        <v>47</v>
      </c>
      <c r="AI34">
        <v>25</v>
      </c>
      <c r="AJ34" s="1">
        <f t="shared" si="14"/>
        <v>41.666666666666671</v>
      </c>
      <c r="AK34">
        <v>35</v>
      </c>
      <c r="AL34" s="1">
        <f t="shared" si="15"/>
        <v>25</v>
      </c>
      <c r="AM34">
        <v>77</v>
      </c>
      <c r="AN34" s="1">
        <v>47</v>
      </c>
      <c r="AO34">
        <f t="shared" si="16"/>
        <v>38.5</v>
      </c>
      <c r="AP34">
        <v>45</v>
      </c>
      <c r="AQ34">
        <v>21</v>
      </c>
      <c r="AR34">
        <v>28</v>
      </c>
      <c r="AS34">
        <v>29</v>
      </c>
      <c r="AT34">
        <v>73</v>
      </c>
      <c r="AU34">
        <f t="shared" si="22"/>
        <v>36.5</v>
      </c>
      <c r="AV34">
        <v>29</v>
      </c>
      <c r="AW34" s="1">
        <f t="shared" si="21"/>
        <v>48.333333333333336</v>
      </c>
      <c r="AX34">
        <v>75</v>
      </c>
      <c r="AY34">
        <v>44</v>
      </c>
      <c r="AZ34">
        <f t="shared" si="5"/>
        <v>37.5</v>
      </c>
      <c r="BA34">
        <v>54</v>
      </c>
      <c r="BB34">
        <v>45</v>
      </c>
      <c r="BC34">
        <f t="shared" si="20"/>
        <v>27</v>
      </c>
      <c r="BD34">
        <v>45</v>
      </c>
      <c r="BE34">
        <v>46</v>
      </c>
      <c r="BF34" s="1">
        <f t="shared" si="17"/>
        <v>40.909090909090914</v>
      </c>
      <c r="BG34" s="1">
        <v>43</v>
      </c>
      <c r="BH34" s="1">
        <v>44</v>
      </c>
      <c r="BI34" s="1">
        <v>48</v>
      </c>
      <c r="BJ34" s="1">
        <v>48</v>
      </c>
      <c r="BK34" s="1">
        <f t="shared" si="18"/>
        <v>917.40909090909088</v>
      </c>
      <c r="BL34" s="23">
        <f t="shared" si="11"/>
        <v>0.76450757575757577</v>
      </c>
      <c r="BM34" s="24">
        <f t="shared" si="12"/>
        <v>3</v>
      </c>
    </row>
    <row r="35" spans="2:65" ht="18.75" x14ac:dyDescent="0.25">
      <c r="B35">
        <v>18</v>
      </c>
      <c r="C35" t="s">
        <v>59</v>
      </c>
      <c r="AA35">
        <v>28</v>
      </c>
      <c r="AB35">
        <v>41</v>
      </c>
      <c r="AC35">
        <v>76</v>
      </c>
      <c r="AD35">
        <f t="shared" si="19"/>
        <v>38</v>
      </c>
      <c r="AE35">
        <v>45</v>
      </c>
      <c r="AF35">
        <v>76</v>
      </c>
      <c r="AG35">
        <f t="shared" si="13"/>
        <v>38</v>
      </c>
      <c r="AH35">
        <v>47</v>
      </c>
      <c r="AI35">
        <v>20</v>
      </c>
      <c r="AJ35" s="1">
        <f t="shared" si="14"/>
        <v>33.333333333333329</v>
      </c>
      <c r="AK35">
        <v>38</v>
      </c>
      <c r="AL35" s="1">
        <f t="shared" si="15"/>
        <v>27.142857142857142</v>
      </c>
      <c r="AM35">
        <v>79</v>
      </c>
      <c r="AN35" s="1">
        <v>47</v>
      </c>
      <c r="AO35">
        <f t="shared" si="16"/>
        <v>39.5</v>
      </c>
      <c r="AP35">
        <v>45</v>
      </c>
      <c r="AQ35">
        <v>12</v>
      </c>
      <c r="AR35">
        <v>0</v>
      </c>
      <c r="AS35">
        <v>10</v>
      </c>
      <c r="AT35">
        <v>50</v>
      </c>
      <c r="AU35">
        <f t="shared" si="22"/>
        <v>25</v>
      </c>
      <c r="AV35">
        <v>29</v>
      </c>
      <c r="AW35" s="1">
        <f t="shared" si="21"/>
        <v>48.333333333333336</v>
      </c>
      <c r="AY35">
        <v>44</v>
      </c>
      <c r="AZ35">
        <v>37</v>
      </c>
      <c r="BA35">
        <v>46</v>
      </c>
      <c r="BB35">
        <v>45</v>
      </c>
      <c r="BC35">
        <v>43</v>
      </c>
      <c r="BD35">
        <v>33</v>
      </c>
      <c r="BE35">
        <v>46</v>
      </c>
      <c r="BF35" s="1">
        <f t="shared" si="17"/>
        <v>30</v>
      </c>
      <c r="BG35" s="1">
        <v>43</v>
      </c>
      <c r="BH35" s="1">
        <v>44</v>
      </c>
      <c r="BI35" s="1">
        <v>48</v>
      </c>
      <c r="BJ35" s="1">
        <v>48</v>
      </c>
      <c r="BK35" s="1">
        <f t="shared" si="18"/>
        <v>856.30952380952374</v>
      </c>
      <c r="BL35" s="23">
        <f t="shared" si="11"/>
        <v>0.71359126984126975</v>
      </c>
      <c r="BM35" s="24">
        <f t="shared" si="12"/>
        <v>10</v>
      </c>
    </row>
  </sheetData>
  <sortState ref="C19:H33">
    <sortCondition ref="C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8"/>
  <sheetViews>
    <sheetView workbookViewId="0">
      <pane xSplit="3" topLeftCell="L1" activePane="topRight" state="frozen"/>
      <selection pane="topRight" activeCell="C18" sqref="C18"/>
    </sheetView>
  </sheetViews>
  <sheetFormatPr defaultRowHeight="15" x14ac:dyDescent="0.25"/>
  <cols>
    <col min="3" max="3" width="28" customWidth="1"/>
    <col min="4" max="4" width="21.140625" customWidth="1"/>
    <col min="5" max="5" width="18.42578125" customWidth="1"/>
    <col min="6" max="6" width="18.140625" customWidth="1"/>
    <col min="7" max="7" width="18" customWidth="1"/>
    <col min="8" max="8" width="18.42578125" customWidth="1"/>
    <col min="9" max="9" width="18.140625" customWidth="1"/>
    <col min="10" max="10" width="17.85546875" customWidth="1"/>
    <col min="11" max="11" width="18.140625" customWidth="1"/>
    <col min="12" max="12" width="18" customWidth="1"/>
    <col min="13" max="13" width="18.28515625" customWidth="1"/>
    <col min="14" max="14" width="18.5703125" customWidth="1"/>
    <col min="15" max="15" width="18.140625" customWidth="1"/>
    <col min="16" max="16" width="27.5703125" customWidth="1"/>
    <col min="17" max="18" width="18.28515625" customWidth="1"/>
    <col min="19" max="19" width="21.140625" customWidth="1"/>
    <col min="20" max="20" width="18.140625" customWidth="1"/>
    <col min="21" max="22" width="18" customWidth="1"/>
    <col min="24" max="25" width="18.7109375" customWidth="1"/>
  </cols>
  <sheetData>
    <row r="1" spans="2:28" x14ac:dyDescent="0.25">
      <c r="B1" t="s">
        <v>28</v>
      </c>
      <c r="C1" t="s">
        <v>16</v>
      </c>
      <c r="D1" t="s">
        <v>15</v>
      </c>
      <c r="E1" s="3" t="s">
        <v>15</v>
      </c>
      <c r="F1" s="3" t="s">
        <v>14</v>
      </c>
      <c r="G1" s="3" t="s">
        <v>13</v>
      </c>
      <c r="H1" s="3" t="s">
        <v>17</v>
      </c>
      <c r="I1" t="s">
        <v>19</v>
      </c>
      <c r="J1" s="3" t="s">
        <v>21</v>
      </c>
      <c r="K1" t="s">
        <v>20</v>
      </c>
      <c r="L1" s="3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55</v>
      </c>
      <c r="S1" t="s">
        <v>27</v>
      </c>
      <c r="T1" t="s">
        <v>48</v>
      </c>
      <c r="U1" t="s">
        <v>46</v>
      </c>
      <c r="V1" t="s">
        <v>38</v>
      </c>
      <c r="W1" t="s">
        <v>49</v>
      </c>
      <c r="X1" t="s">
        <v>50</v>
      </c>
      <c r="Y1" t="s">
        <v>54</v>
      </c>
      <c r="Z1" t="s">
        <v>51</v>
      </c>
      <c r="AA1" t="s">
        <v>39</v>
      </c>
      <c r="AB1" t="s">
        <v>52</v>
      </c>
    </row>
    <row r="2" spans="2:28" x14ac:dyDescent="0.25">
      <c r="B2">
        <v>1</v>
      </c>
      <c r="C2" t="s">
        <v>11</v>
      </c>
    </row>
    <row r="3" spans="2:28" x14ac:dyDescent="0.25">
      <c r="B3">
        <v>2</v>
      </c>
      <c r="C3" t="s">
        <v>4</v>
      </c>
      <c r="R3">
        <v>32</v>
      </c>
    </row>
    <row r="4" spans="2:28" x14ac:dyDescent="0.25">
      <c r="B4">
        <v>3</v>
      </c>
      <c r="C4" t="s">
        <v>7</v>
      </c>
      <c r="R4">
        <v>34</v>
      </c>
    </row>
    <row r="5" spans="2:28" x14ac:dyDescent="0.25">
      <c r="B5">
        <v>4</v>
      </c>
      <c r="C5" t="s">
        <v>12</v>
      </c>
    </row>
    <row r="6" spans="2:28" x14ac:dyDescent="0.25">
      <c r="B6">
        <v>5</v>
      </c>
      <c r="C6" t="s">
        <v>6</v>
      </c>
    </row>
    <row r="7" spans="2:28" x14ac:dyDescent="0.25">
      <c r="B7">
        <v>6</v>
      </c>
      <c r="C7" t="s">
        <v>3</v>
      </c>
    </row>
    <row r="8" spans="2:28" x14ac:dyDescent="0.25">
      <c r="B8">
        <v>7</v>
      </c>
      <c r="C8" t="s">
        <v>5</v>
      </c>
    </row>
    <row r="9" spans="2:28" x14ac:dyDescent="0.25">
      <c r="B9">
        <v>8</v>
      </c>
      <c r="C9" t="s">
        <v>53</v>
      </c>
    </row>
    <row r="10" spans="2:28" x14ac:dyDescent="0.25">
      <c r="B10">
        <v>9</v>
      </c>
      <c r="C10" t="s">
        <v>10</v>
      </c>
      <c r="R10">
        <v>41</v>
      </c>
    </row>
    <row r="11" spans="2:28" x14ac:dyDescent="0.25">
      <c r="B11">
        <v>10</v>
      </c>
      <c r="C11" t="s">
        <v>18</v>
      </c>
      <c r="R11">
        <v>26</v>
      </c>
    </row>
    <row r="12" spans="2:28" x14ac:dyDescent="0.25">
      <c r="B12">
        <v>11</v>
      </c>
      <c r="C12" t="s">
        <v>8</v>
      </c>
    </row>
    <row r="13" spans="2:28" x14ac:dyDescent="0.25">
      <c r="B13">
        <v>12</v>
      </c>
      <c r="C13" t="s">
        <v>9</v>
      </c>
    </row>
    <row r="14" spans="2:28" x14ac:dyDescent="0.25">
      <c r="B14">
        <v>13</v>
      </c>
      <c r="C14" t="s">
        <v>0</v>
      </c>
      <c r="R14">
        <v>36</v>
      </c>
    </row>
    <row r="15" spans="2:28" x14ac:dyDescent="0.25">
      <c r="B15">
        <v>14</v>
      </c>
      <c r="C15" t="s">
        <v>2</v>
      </c>
      <c r="R15">
        <v>23</v>
      </c>
    </row>
    <row r="16" spans="2:28" x14ac:dyDescent="0.25">
      <c r="B16">
        <v>15</v>
      </c>
      <c r="C16" t="s">
        <v>1</v>
      </c>
    </row>
    <row r="17" spans="2:18" x14ac:dyDescent="0.25">
      <c r="B17">
        <v>16</v>
      </c>
      <c r="C17" t="s">
        <v>56</v>
      </c>
      <c r="R17">
        <v>22</v>
      </c>
    </row>
    <row r="18" spans="2:18" x14ac:dyDescent="0.25">
      <c r="B18">
        <v>17</v>
      </c>
      <c r="R18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2"/>
  <sheetViews>
    <sheetView tabSelected="1" showWhiteSpace="0" topLeftCell="A31" zoomScaleNormal="100" workbookViewId="0">
      <selection activeCell="E17" sqref="E17"/>
    </sheetView>
  </sheetViews>
  <sheetFormatPr defaultRowHeight="15" x14ac:dyDescent="0.25"/>
  <cols>
    <col min="1" max="1" width="20.140625" customWidth="1"/>
    <col min="2" max="2" width="0.85546875" customWidth="1"/>
    <col min="3" max="3" width="36.85546875" customWidth="1"/>
    <col min="4" max="4" width="10.85546875" customWidth="1"/>
    <col min="5" max="6" width="11.42578125" customWidth="1"/>
    <col min="9" max="9" width="19.42578125" customWidth="1"/>
  </cols>
  <sheetData>
    <row r="2" spans="2:12" ht="38.450000000000003" customHeight="1" thickBot="1" x14ac:dyDescent="0.3"/>
    <row r="3" spans="2:12" ht="16.5" thickTop="1" x14ac:dyDescent="0.25">
      <c r="B3" s="42"/>
      <c r="C3" s="43"/>
      <c r="D3" s="44"/>
      <c r="E3" s="44"/>
      <c r="F3" s="44"/>
      <c r="G3" s="44"/>
      <c r="H3" s="44"/>
      <c r="I3" s="45"/>
      <c r="J3" s="45"/>
      <c r="K3" s="45"/>
      <c r="L3" s="46"/>
    </row>
    <row r="4" spans="2:12" ht="15.75" x14ac:dyDescent="0.25">
      <c r="B4" s="47"/>
      <c r="C4" s="12"/>
      <c r="D4" s="8"/>
      <c r="E4" s="8"/>
      <c r="F4" s="8"/>
      <c r="G4" s="8"/>
      <c r="H4" s="8"/>
      <c r="I4" s="30"/>
      <c r="J4" s="30"/>
      <c r="K4" s="30"/>
      <c r="L4" s="48"/>
    </row>
    <row r="5" spans="2:12" ht="15.75" x14ac:dyDescent="0.25">
      <c r="B5" s="47"/>
      <c r="C5" s="12"/>
      <c r="D5" s="8"/>
      <c r="E5" s="8"/>
      <c r="F5" s="8"/>
      <c r="G5" s="8"/>
      <c r="H5" s="8"/>
      <c r="I5" s="30"/>
      <c r="J5" s="30"/>
      <c r="K5" s="30"/>
      <c r="L5" s="48"/>
    </row>
    <row r="6" spans="2:12" ht="15.75" x14ac:dyDescent="0.25">
      <c r="B6" s="47"/>
      <c r="C6" s="12"/>
      <c r="D6" s="8"/>
      <c r="E6" s="8"/>
      <c r="F6" s="8"/>
      <c r="G6" s="8"/>
      <c r="H6" s="8"/>
      <c r="I6" s="30"/>
      <c r="J6" s="30"/>
      <c r="K6" s="30"/>
      <c r="L6" s="48"/>
    </row>
    <row r="7" spans="2:12" ht="15.75" x14ac:dyDescent="0.25">
      <c r="B7" s="47"/>
      <c r="C7" s="12"/>
      <c r="D7" s="8"/>
      <c r="E7" s="8"/>
      <c r="F7" s="8"/>
      <c r="G7" s="8"/>
      <c r="H7" s="8"/>
      <c r="I7" s="30"/>
      <c r="J7" s="30"/>
      <c r="K7" s="30"/>
      <c r="L7" s="48"/>
    </row>
    <row r="8" spans="2:12" ht="15.75" x14ac:dyDescent="0.25">
      <c r="B8" s="47"/>
      <c r="C8" s="12"/>
      <c r="D8" s="8"/>
      <c r="E8" s="8"/>
      <c r="F8" s="8"/>
      <c r="G8" s="8"/>
      <c r="H8" s="8"/>
      <c r="I8" s="30"/>
      <c r="J8" s="30"/>
      <c r="K8" s="30"/>
      <c r="L8" s="48"/>
    </row>
    <row r="9" spans="2:12" ht="15.75" x14ac:dyDescent="0.25">
      <c r="B9" s="47"/>
      <c r="C9" s="12"/>
      <c r="D9" s="8"/>
      <c r="E9" s="8"/>
      <c r="F9" s="8"/>
      <c r="G9" s="8"/>
      <c r="H9" s="8"/>
      <c r="I9" s="30"/>
      <c r="J9" s="30"/>
      <c r="K9" s="30"/>
      <c r="L9" s="48"/>
    </row>
    <row r="10" spans="2:12" ht="15.75" x14ac:dyDescent="0.25">
      <c r="B10" s="47"/>
      <c r="C10" s="12"/>
      <c r="D10" s="8"/>
      <c r="E10" s="8"/>
      <c r="F10" s="8"/>
      <c r="G10" s="8"/>
      <c r="H10" s="8"/>
      <c r="I10" s="30"/>
      <c r="J10" s="30"/>
      <c r="K10" s="30"/>
      <c r="L10" s="48"/>
    </row>
    <row r="11" spans="2:12" ht="15.75" x14ac:dyDescent="0.25">
      <c r="B11" s="47"/>
      <c r="C11" s="12"/>
      <c r="D11" s="8"/>
      <c r="E11" s="8"/>
      <c r="F11" s="8"/>
      <c r="G11" s="8"/>
      <c r="H11" s="8"/>
      <c r="I11" s="30"/>
      <c r="J11" s="30"/>
      <c r="K11" s="30"/>
      <c r="L11" s="48"/>
    </row>
    <row r="12" spans="2:12" ht="15.75" x14ac:dyDescent="0.25">
      <c r="B12" s="47"/>
      <c r="C12" s="12"/>
      <c r="D12" s="8"/>
      <c r="E12" s="8"/>
      <c r="F12" s="8"/>
      <c r="G12" s="8"/>
      <c r="H12" s="8"/>
      <c r="I12" s="30"/>
      <c r="J12" s="30"/>
      <c r="K12" s="30"/>
      <c r="L12" s="48"/>
    </row>
    <row r="13" spans="2:12" ht="11.1" customHeight="1" x14ac:dyDescent="0.25">
      <c r="B13" s="47"/>
      <c r="C13" s="12"/>
      <c r="D13" s="8"/>
      <c r="E13" s="8"/>
      <c r="F13" s="8"/>
      <c r="G13" s="8"/>
      <c r="H13" s="8"/>
      <c r="I13" s="30"/>
      <c r="J13" s="30"/>
      <c r="K13" s="30"/>
      <c r="L13" s="48"/>
    </row>
    <row r="14" spans="2:12" ht="15.75" hidden="1" customHeight="1" x14ac:dyDescent="0.25">
      <c r="B14" s="49"/>
      <c r="C14" s="13"/>
      <c r="D14" s="9"/>
      <c r="E14" s="9"/>
      <c r="F14" s="9"/>
      <c r="G14" s="9"/>
      <c r="H14" s="9"/>
      <c r="I14" s="30"/>
      <c r="J14" s="30"/>
      <c r="K14" s="30"/>
      <c r="L14" s="48"/>
    </row>
    <row r="15" spans="2:12" ht="15.75" x14ac:dyDescent="0.25">
      <c r="B15" s="47"/>
      <c r="C15" s="12"/>
      <c r="D15" s="8"/>
      <c r="E15" s="8"/>
      <c r="F15" s="8"/>
      <c r="G15" s="8"/>
      <c r="H15" s="8"/>
      <c r="I15" s="30"/>
      <c r="J15" s="30"/>
      <c r="K15" s="30"/>
      <c r="L15" s="48"/>
    </row>
    <row r="16" spans="2:12" ht="15.75" x14ac:dyDescent="0.25">
      <c r="B16" s="47"/>
      <c r="C16" s="26" t="s">
        <v>34</v>
      </c>
      <c r="D16" s="8" t="s">
        <v>30</v>
      </c>
      <c r="E16" s="10" t="str">
        <f>VLOOKUP($E$17,SCORE!$B$18:$S$35,2,0)</f>
        <v>KAYIREBWA PEACE</v>
      </c>
      <c r="F16" s="8"/>
      <c r="G16" s="8"/>
      <c r="H16" s="8"/>
      <c r="I16" s="30"/>
      <c r="J16" s="30"/>
      <c r="K16" s="30"/>
      <c r="L16" s="48"/>
    </row>
    <row r="17" spans="2:12" ht="15.75" x14ac:dyDescent="0.25">
      <c r="B17" s="47"/>
      <c r="C17" s="26" t="s">
        <v>31</v>
      </c>
      <c r="D17" s="8" t="s">
        <v>30</v>
      </c>
      <c r="E17" s="14">
        <v>18</v>
      </c>
      <c r="F17" s="8"/>
      <c r="G17" s="8"/>
      <c r="H17" s="8"/>
      <c r="I17" s="30"/>
      <c r="J17" s="30"/>
      <c r="K17" s="30"/>
      <c r="L17" s="48"/>
    </row>
    <row r="18" spans="2:12" ht="15.75" x14ac:dyDescent="0.25">
      <c r="B18" s="47"/>
      <c r="C18" s="26" t="s">
        <v>32</v>
      </c>
      <c r="D18" s="8" t="s">
        <v>30</v>
      </c>
      <c r="E18" s="14" t="s">
        <v>35</v>
      </c>
      <c r="F18" s="8"/>
      <c r="G18" s="8"/>
      <c r="H18" s="8"/>
      <c r="I18" s="30"/>
      <c r="J18" s="30"/>
      <c r="K18" s="30"/>
      <c r="L18" s="48"/>
    </row>
    <row r="19" spans="2:12" ht="21" customHeight="1" x14ac:dyDescent="0.25">
      <c r="B19" s="49"/>
      <c r="C19" s="27" t="s">
        <v>33</v>
      </c>
      <c r="D19" s="9" t="s">
        <v>30</v>
      </c>
      <c r="E19" s="11" t="s">
        <v>47</v>
      </c>
      <c r="F19" s="9"/>
      <c r="G19" s="9"/>
      <c r="H19" s="9"/>
      <c r="I19" s="30"/>
      <c r="J19" s="30"/>
      <c r="K19" s="30"/>
      <c r="L19" s="48"/>
    </row>
    <row r="20" spans="2:12" ht="0.75" customHeight="1" thickBot="1" x14ac:dyDescent="0.3">
      <c r="B20" s="47"/>
      <c r="C20" s="12"/>
      <c r="D20" s="8"/>
      <c r="E20" s="8"/>
      <c r="F20" s="8"/>
      <c r="G20" s="8"/>
      <c r="H20" s="8"/>
      <c r="I20" s="22"/>
      <c r="J20" s="25"/>
      <c r="K20" s="25"/>
      <c r="L20" s="50"/>
    </row>
    <row r="21" spans="2:12" ht="16.5" thickTop="1" x14ac:dyDescent="0.25">
      <c r="B21" s="51"/>
      <c r="C21" s="97" t="s">
        <v>36</v>
      </c>
      <c r="D21" s="95" t="s">
        <v>37</v>
      </c>
      <c r="E21" s="95"/>
      <c r="F21" s="95" t="s">
        <v>45</v>
      </c>
      <c r="G21" s="95"/>
      <c r="H21" s="95"/>
      <c r="I21" s="95"/>
      <c r="J21" s="67" t="s">
        <v>94</v>
      </c>
      <c r="K21" s="67"/>
      <c r="L21" s="68"/>
    </row>
    <row r="22" spans="2:12" ht="15.75" x14ac:dyDescent="0.25">
      <c r="B22" s="52"/>
      <c r="C22" s="98"/>
      <c r="D22" s="96"/>
      <c r="E22" s="96"/>
      <c r="F22" s="96"/>
      <c r="G22" s="96"/>
      <c r="H22" s="96"/>
      <c r="I22" s="96"/>
      <c r="J22" s="69"/>
      <c r="K22" s="69"/>
      <c r="L22" s="70"/>
    </row>
    <row r="23" spans="2:12" s="17" customFormat="1" ht="15.75" x14ac:dyDescent="0.25">
      <c r="B23" s="53"/>
      <c r="C23" s="19"/>
      <c r="D23" s="15" t="s">
        <v>29</v>
      </c>
      <c r="E23" s="15" t="s">
        <v>38</v>
      </c>
      <c r="F23" s="15" t="s">
        <v>39</v>
      </c>
      <c r="G23" s="15" t="s">
        <v>29</v>
      </c>
      <c r="H23" s="15" t="s">
        <v>38</v>
      </c>
      <c r="I23" s="15" t="s">
        <v>39</v>
      </c>
      <c r="J23" s="28" t="s">
        <v>29</v>
      </c>
      <c r="K23" s="28" t="s">
        <v>38</v>
      </c>
      <c r="L23" s="54" t="s">
        <v>39</v>
      </c>
    </row>
    <row r="24" spans="2:12" ht="15.75" x14ac:dyDescent="0.25">
      <c r="B24" s="52"/>
      <c r="C24" s="19" t="s">
        <v>44</v>
      </c>
      <c r="D24" s="89">
        <v>40</v>
      </c>
      <c r="E24" s="89"/>
      <c r="F24" s="89"/>
      <c r="G24" s="89">
        <v>38</v>
      </c>
      <c r="H24" s="89"/>
      <c r="I24" s="89"/>
      <c r="J24" s="69">
        <v>36</v>
      </c>
      <c r="K24" s="69"/>
      <c r="L24" s="70"/>
    </row>
    <row r="25" spans="2:12" ht="15.75" x14ac:dyDescent="0.25">
      <c r="B25" s="52"/>
      <c r="C25" s="6" t="s">
        <v>15</v>
      </c>
      <c r="D25" s="15">
        <v>50</v>
      </c>
      <c r="E25" s="15">
        <v>50</v>
      </c>
      <c r="F25" s="15">
        <f>SUM(D25:E25)</f>
        <v>100</v>
      </c>
      <c r="G25" s="15">
        <f>VLOOKUP($E$17,SCORE!$B$18:$X$35,18,0)</f>
        <v>0</v>
      </c>
      <c r="H25" s="15">
        <f>VLOOKUP($E$17,SCORE!$B$18:$S$35,4,0)</f>
        <v>0</v>
      </c>
      <c r="I25" s="15">
        <f>SUM(G25:H25)</f>
        <v>0</v>
      </c>
      <c r="J25" s="40">
        <f>VLOOKUP($E$17,SCORE!$B$15:$BM$35,33,0)</f>
        <v>47</v>
      </c>
      <c r="K25" s="40">
        <f>VLOOKUP($E$17,SCORE!$B$15:$BM$35,32,0)</f>
        <v>38</v>
      </c>
      <c r="L25" s="55">
        <f>SUM(J25:K25)</f>
        <v>85</v>
      </c>
    </row>
    <row r="26" spans="2:12" ht="15.75" x14ac:dyDescent="0.25">
      <c r="B26" s="52"/>
      <c r="C26" s="6" t="s">
        <v>55</v>
      </c>
      <c r="D26" s="15" t="s">
        <v>101</v>
      </c>
      <c r="E26" s="15">
        <v>50</v>
      </c>
      <c r="F26" s="15">
        <v>100</v>
      </c>
      <c r="G26" s="15"/>
      <c r="H26" s="15"/>
      <c r="I26" s="15"/>
      <c r="J26" s="40">
        <f>VLOOKUP($E$17,SCORE!$B$15:$BM$35,26,0)</f>
        <v>28</v>
      </c>
      <c r="K26" s="40">
        <f>VLOOKUP($E$17,SCORE!$B$15:$BM$35,27,0)</f>
        <v>41</v>
      </c>
      <c r="L26" s="55">
        <f>SUM(J26:K26)</f>
        <v>69</v>
      </c>
    </row>
    <row r="27" spans="2:12" ht="15.75" x14ac:dyDescent="0.25">
      <c r="B27" s="52"/>
      <c r="C27" s="6" t="s">
        <v>100</v>
      </c>
      <c r="D27" s="15">
        <v>50</v>
      </c>
      <c r="E27" s="15">
        <v>50</v>
      </c>
      <c r="F27" s="15">
        <f>SUM(D27:E27)</f>
        <v>100</v>
      </c>
      <c r="G27" s="15"/>
      <c r="H27" s="15"/>
      <c r="I27" s="15"/>
      <c r="J27" s="40">
        <f>VLOOKUP($E$17,SCORE!$B$15:$BM$35,43,0)</f>
        <v>0</v>
      </c>
      <c r="K27" s="40">
        <f>VLOOKUP($E$17,SCORE!$B$15:$BM$35,44,0)</f>
        <v>10</v>
      </c>
      <c r="L27" s="55">
        <f>SUM(J27:K27)</f>
        <v>10</v>
      </c>
    </row>
    <row r="28" spans="2:12" ht="15.75" x14ac:dyDescent="0.25">
      <c r="B28" s="52"/>
      <c r="C28" s="6" t="s">
        <v>14</v>
      </c>
      <c r="D28" s="15">
        <v>50</v>
      </c>
      <c r="E28" s="15">
        <v>50</v>
      </c>
      <c r="F28" s="15">
        <f t="shared" ref="F28:F40" si="0">SUM(D28:E28)</f>
        <v>100</v>
      </c>
      <c r="G28" s="15">
        <f>VLOOKUP($E$17,SCORE!$B$18:$X$35,22,0)</f>
        <v>0</v>
      </c>
      <c r="H28" s="15">
        <f>VLOOKUP($E$17,SCORE!$B$18:$S$35,5,0)</f>
        <v>0</v>
      </c>
      <c r="I28" s="15">
        <f t="shared" ref="I28:I40" si="1">SUM(G28:H28)</f>
        <v>0</v>
      </c>
      <c r="J28" s="40">
        <f>VLOOKUP($E$17,SCORE!$B$15:$BM$35,50,0)</f>
        <v>44</v>
      </c>
      <c r="K28" s="40">
        <f>VLOOKUP($E$17,SCORE!$B$15:$BM$35,51,0)</f>
        <v>37</v>
      </c>
      <c r="L28" s="55">
        <f t="shared" ref="L28:L41" si="2">SUM(J28:K28)</f>
        <v>81</v>
      </c>
    </row>
    <row r="29" spans="2:12" ht="15.75" x14ac:dyDescent="0.25">
      <c r="B29" s="52"/>
      <c r="C29" s="6" t="s">
        <v>13</v>
      </c>
      <c r="D29" s="15">
        <v>50</v>
      </c>
      <c r="E29" s="15">
        <v>50</v>
      </c>
      <c r="F29" s="15">
        <f t="shared" si="0"/>
        <v>100</v>
      </c>
      <c r="G29" s="15">
        <v>47</v>
      </c>
      <c r="H29" s="15">
        <f>VLOOKUP($E$17,SCORE!$B$18:$S$35,6,0)</f>
        <v>0</v>
      </c>
      <c r="I29" s="15">
        <f t="shared" si="1"/>
        <v>47</v>
      </c>
      <c r="J29" s="40"/>
      <c r="K29" s="40"/>
      <c r="L29" s="55">
        <f t="shared" si="2"/>
        <v>0</v>
      </c>
    </row>
    <row r="30" spans="2:12" ht="15.75" x14ac:dyDescent="0.25">
      <c r="B30" s="52"/>
      <c r="C30" s="6" t="s">
        <v>17</v>
      </c>
      <c r="D30" s="15">
        <v>50</v>
      </c>
      <c r="E30" s="15">
        <v>50</v>
      </c>
      <c r="F30" s="15">
        <f t="shared" si="0"/>
        <v>100</v>
      </c>
      <c r="G30" s="15">
        <f>VLOOKUP($E$17,SCORE!$B$18:$S$35,18,0)</f>
        <v>0</v>
      </c>
      <c r="H30" s="15">
        <f>VLOOKUP($E$17,SCORE!$B$18:$S$35,7,0)</f>
        <v>0</v>
      </c>
      <c r="I30" s="15">
        <f t="shared" si="1"/>
        <v>0</v>
      </c>
      <c r="J30" s="40">
        <f>VLOOKUP($E$17,SCORE!$B$15:$BM$35,59,0)</f>
        <v>44</v>
      </c>
      <c r="K30" s="40">
        <f>VLOOKUP($E$17,SCORE!$B$15:$BM$35,58,0)</f>
        <v>43</v>
      </c>
      <c r="L30" s="55">
        <f t="shared" si="2"/>
        <v>87</v>
      </c>
    </row>
    <row r="31" spans="2:12" ht="15.75" x14ac:dyDescent="0.25">
      <c r="B31" s="52"/>
      <c r="C31" s="6" t="s">
        <v>99</v>
      </c>
      <c r="D31" s="15">
        <v>50</v>
      </c>
      <c r="E31" s="15">
        <v>50</v>
      </c>
      <c r="F31" s="15">
        <v>100</v>
      </c>
      <c r="G31" s="15"/>
      <c r="H31" s="15"/>
      <c r="I31" s="15"/>
      <c r="J31" s="40">
        <f>VLOOKUP($E$17,SCORE!$B$15:$BM$35,50,0)</f>
        <v>44</v>
      </c>
      <c r="K31" s="40">
        <f>VLOOKUP($E$17,SCORE!$B$15:$BM$35,51,0)</f>
        <v>37</v>
      </c>
      <c r="L31" s="55">
        <f t="shared" si="2"/>
        <v>81</v>
      </c>
    </row>
    <row r="32" spans="2:12" ht="15.75" x14ac:dyDescent="0.25">
      <c r="B32" s="52"/>
      <c r="C32" s="7" t="s">
        <v>19</v>
      </c>
      <c r="D32" s="15">
        <v>50</v>
      </c>
      <c r="E32" s="15">
        <v>50</v>
      </c>
      <c r="F32" s="15">
        <f t="shared" si="0"/>
        <v>100</v>
      </c>
      <c r="G32" s="15">
        <f>VLOOKUP($E$17,SCORE!$B$18:$X$35,23,0)</f>
        <v>0</v>
      </c>
      <c r="H32" s="15">
        <f>VLOOKUP($E$17,SCORE!$B$18:$S$35,9,0)</f>
        <v>0</v>
      </c>
      <c r="I32" s="15">
        <f t="shared" si="1"/>
        <v>0</v>
      </c>
      <c r="J32" s="40"/>
      <c r="K32" s="40"/>
      <c r="L32" s="55">
        <f t="shared" si="2"/>
        <v>0</v>
      </c>
    </row>
    <row r="33" spans="2:14" ht="15.75" x14ac:dyDescent="0.25">
      <c r="B33" s="52"/>
      <c r="C33" s="7" t="s">
        <v>20</v>
      </c>
      <c r="D33" s="15">
        <v>50</v>
      </c>
      <c r="E33" s="15">
        <v>50</v>
      </c>
      <c r="F33" s="15">
        <f t="shared" si="0"/>
        <v>100</v>
      </c>
      <c r="G33" s="15">
        <f>VLOOKUP($E$17,SCORE!$B$18:$X$35,21,0)</f>
        <v>0</v>
      </c>
      <c r="H33" s="15">
        <f>VLOOKUP($E$17,SCORE!$B$18:$S$35,11,0)</f>
        <v>0</v>
      </c>
      <c r="I33" s="15">
        <f t="shared" si="1"/>
        <v>0</v>
      </c>
      <c r="J33" s="40">
        <f>VLOOKUP($E$17,SCORE!$B$15:$BM$35,39,0)</f>
        <v>47</v>
      </c>
      <c r="K33" s="40">
        <f>VLOOKUP($E$17,SCORE!$B$15:$BM$35,40,0)</f>
        <v>39.5</v>
      </c>
      <c r="L33" s="55">
        <f t="shared" si="2"/>
        <v>86.5</v>
      </c>
    </row>
    <row r="34" spans="2:14" ht="15.75" x14ac:dyDescent="0.25">
      <c r="B34" s="52"/>
      <c r="C34" s="7" t="s">
        <v>23</v>
      </c>
      <c r="D34" s="15">
        <v>50</v>
      </c>
      <c r="E34" s="15">
        <v>50</v>
      </c>
      <c r="F34" s="15">
        <f t="shared" si="0"/>
        <v>100</v>
      </c>
      <c r="G34" s="15">
        <f>VLOOKUP($E$17,SCORE!$B$18:$S$35,18,0)</f>
        <v>0</v>
      </c>
      <c r="H34" s="15">
        <f>VLOOKUP($E$17,SCORE!$B$18:$S$35,13,0)</f>
        <v>0</v>
      </c>
      <c r="I34" s="15">
        <f t="shared" si="1"/>
        <v>0</v>
      </c>
      <c r="J34" s="40">
        <f>VLOOKUP($E$17,SCORE!$B$15:$BM$35,53,0)</f>
        <v>45</v>
      </c>
      <c r="K34" s="40">
        <f>VLOOKUP($E$17,SCORE!$B$15:$BM$35,54,0)</f>
        <v>43</v>
      </c>
      <c r="L34" s="55">
        <f t="shared" si="2"/>
        <v>88</v>
      </c>
    </row>
    <row r="35" spans="2:14" ht="15.75" x14ac:dyDescent="0.25">
      <c r="B35" s="52"/>
      <c r="C35" s="7" t="s">
        <v>103</v>
      </c>
      <c r="D35" s="15">
        <v>50</v>
      </c>
      <c r="E35" s="15">
        <v>50</v>
      </c>
      <c r="F35" s="15">
        <f t="shared" si="0"/>
        <v>100</v>
      </c>
      <c r="G35" s="15"/>
      <c r="H35" s="15"/>
      <c r="I35" s="15"/>
      <c r="J35" s="40">
        <f>VLOOKUP($E$17,SCORE!$B$15:$BM$35,41,0)</f>
        <v>45</v>
      </c>
      <c r="K35" s="40">
        <f>VLOOKUP($E$17,SCORE!$B$15:$BM$35,42,0)</f>
        <v>12</v>
      </c>
      <c r="L35" s="55">
        <f t="shared" si="2"/>
        <v>57</v>
      </c>
    </row>
    <row r="36" spans="2:14" ht="15.75" x14ac:dyDescent="0.25">
      <c r="B36" s="52"/>
      <c r="C36" s="7" t="s">
        <v>25</v>
      </c>
      <c r="D36" s="15">
        <v>50</v>
      </c>
      <c r="E36" s="15">
        <v>50</v>
      </c>
      <c r="F36" s="15">
        <f t="shared" si="0"/>
        <v>100</v>
      </c>
      <c r="G36" s="15">
        <f>VLOOKUP($E$17,SCORE!$B$18:$S$35,18,0)</f>
        <v>0</v>
      </c>
      <c r="H36" s="15">
        <f>VLOOKUP($E$17,SCORE!$B$18:$S$35,15,0)</f>
        <v>0</v>
      </c>
      <c r="I36" s="15">
        <f t="shared" si="1"/>
        <v>0</v>
      </c>
      <c r="J36" s="41">
        <f>VLOOKUP($E$17,SCORE!$B$15:$BM$35,48,0)</f>
        <v>48.333333333333336</v>
      </c>
      <c r="K36" s="40">
        <f>VLOOKUP($E$17,SCORE!$B$15:$BM$35,46,0)</f>
        <v>25</v>
      </c>
      <c r="L36" s="56">
        <f t="shared" si="2"/>
        <v>73.333333333333343</v>
      </c>
    </row>
    <row r="37" spans="2:14" ht="15.75" x14ac:dyDescent="0.25">
      <c r="B37" s="52"/>
      <c r="C37" s="7" t="s">
        <v>97</v>
      </c>
      <c r="D37" s="15">
        <v>50</v>
      </c>
      <c r="E37" s="15">
        <v>50</v>
      </c>
      <c r="F37" s="15">
        <f t="shared" si="0"/>
        <v>100</v>
      </c>
      <c r="G37" s="15">
        <f>VLOOKUP($E$17,SCORE!$B$18:$S$35,18,0)</f>
        <v>0</v>
      </c>
      <c r="H37" s="15">
        <f>VLOOKUP($E$17,SCORE!$B$18:$S$35,15,0)</f>
        <v>0</v>
      </c>
      <c r="I37" s="15">
        <f t="shared" si="1"/>
        <v>0</v>
      </c>
      <c r="J37" s="40">
        <f>VLOOKUP($E$17,SCORE!$B$15:$BM$35,56,0)</f>
        <v>46</v>
      </c>
      <c r="K37" s="41">
        <f>VLOOKUP($E$17,SCORE!$B$15:$BM$35,57,0)</f>
        <v>30</v>
      </c>
      <c r="L37" s="56">
        <f t="shared" si="2"/>
        <v>76</v>
      </c>
      <c r="N37" s="25"/>
    </row>
    <row r="38" spans="2:14" ht="15.75" x14ac:dyDescent="0.25">
      <c r="B38" s="52"/>
      <c r="C38" s="7" t="s">
        <v>102</v>
      </c>
      <c r="D38" s="15">
        <v>50</v>
      </c>
      <c r="E38" s="15">
        <v>50</v>
      </c>
      <c r="F38" s="15">
        <f t="shared" si="0"/>
        <v>100</v>
      </c>
      <c r="G38" s="15"/>
      <c r="H38" s="15"/>
      <c r="I38" s="15"/>
      <c r="J38" s="40">
        <f>VLOOKUP($E$17,SCORE!$B$15:$BM$35,35,0)</f>
        <v>33.333333333333329</v>
      </c>
      <c r="K38" s="40">
        <f>VLOOKUP($E$17,SCORE!$B$15:$BM$35,56,0)</f>
        <v>46</v>
      </c>
      <c r="L38" s="56">
        <f t="shared" si="2"/>
        <v>79.333333333333329</v>
      </c>
      <c r="N38" s="25"/>
    </row>
    <row r="39" spans="2:14" ht="15.75" x14ac:dyDescent="0.25">
      <c r="B39" s="52"/>
      <c r="C39" s="7" t="s">
        <v>27</v>
      </c>
      <c r="D39" s="15">
        <v>50</v>
      </c>
      <c r="E39" s="15">
        <v>50</v>
      </c>
      <c r="F39" s="15">
        <f t="shared" si="0"/>
        <v>100</v>
      </c>
      <c r="G39" s="15">
        <f>VLOOKUP($E$17,SCORE!$B$18:$S$35,18,0)</f>
        <v>0</v>
      </c>
      <c r="H39" s="15">
        <f>VLOOKUP($E$17,SCORE!$B$18:$S$35,17,0)</f>
        <v>0</v>
      </c>
      <c r="I39" s="15">
        <f t="shared" si="1"/>
        <v>0</v>
      </c>
      <c r="J39" s="40">
        <f>VLOOKUP($E$17,SCORE!$B$15:$BM$35,30,0)</f>
        <v>45</v>
      </c>
      <c r="K39" s="40">
        <f>VLOOKUP($E$17,SCORE!$B$15:$BM$35,37,0)</f>
        <v>27.142857142857142</v>
      </c>
      <c r="L39" s="55">
        <f t="shared" si="2"/>
        <v>72.142857142857139</v>
      </c>
    </row>
    <row r="40" spans="2:14" ht="15.75" x14ac:dyDescent="0.25">
      <c r="B40" s="52"/>
      <c r="C40" s="7" t="s">
        <v>46</v>
      </c>
      <c r="D40" s="15">
        <v>50</v>
      </c>
      <c r="E40" s="15">
        <v>50</v>
      </c>
      <c r="F40" s="15">
        <f t="shared" si="0"/>
        <v>100</v>
      </c>
      <c r="G40" s="15">
        <f>VLOOKUP($E$17,SCORE!$B$18:$U$35,19,0)</f>
        <v>0</v>
      </c>
      <c r="H40" s="15">
        <f>VLOOKUP($E$17,SCORE!$B$18:$U$35,20,0)</f>
        <v>0</v>
      </c>
      <c r="I40" s="15">
        <f t="shared" si="1"/>
        <v>0</v>
      </c>
      <c r="J40" s="40">
        <f>VLOOKUP($E$17,SCORE!$B$15:$BM$35,60,0)</f>
        <v>48</v>
      </c>
      <c r="K40" s="40">
        <f>VLOOKUP($E$17,SCORE!$B$15:$BM$35,60,0)</f>
        <v>48</v>
      </c>
      <c r="L40" s="55">
        <f t="shared" si="2"/>
        <v>96</v>
      </c>
    </row>
    <row r="41" spans="2:14" ht="15.75" x14ac:dyDescent="0.25">
      <c r="B41" s="52"/>
      <c r="C41" s="6" t="s">
        <v>40</v>
      </c>
      <c r="D41" s="15">
        <f t="shared" ref="D41:I41" si="3">SUM(D25:D40)</f>
        <v>750</v>
      </c>
      <c r="E41" s="15">
        <f t="shared" si="3"/>
        <v>800</v>
      </c>
      <c r="F41" s="15">
        <f t="shared" si="3"/>
        <v>1600</v>
      </c>
      <c r="G41" s="15">
        <f t="shared" si="3"/>
        <v>47</v>
      </c>
      <c r="H41" s="15">
        <f t="shared" si="3"/>
        <v>0</v>
      </c>
      <c r="I41" s="15">
        <f t="shared" si="3"/>
        <v>47</v>
      </c>
      <c r="J41" s="41">
        <f>SUM(J25:J40)</f>
        <v>564.66666666666663</v>
      </c>
      <c r="K41" s="41">
        <f>SUM(K25:K40)</f>
        <v>476.64285714285717</v>
      </c>
      <c r="L41" s="56">
        <f t="shared" si="2"/>
        <v>1041.3095238095239</v>
      </c>
    </row>
    <row r="42" spans="2:14" ht="15.75" x14ac:dyDescent="0.25">
      <c r="B42" s="47"/>
      <c r="C42" s="32" t="s">
        <v>41</v>
      </c>
      <c r="D42" s="33">
        <f>I41/F41</f>
        <v>2.9374999999999998E-2</v>
      </c>
      <c r="E42" s="34"/>
      <c r="F42" s="34"/>
      <c r="G42" s="34"/>
      <c r="H42" s="34"/>
      <c r="I42" s="35"/>
      <c r="J42" s="77">
        <f>VLOOKUP($E$17,SCORE!$B$15:$BM$35,63,0)</f>
        <v>0.71359126984126975</v>
      </c>
      <c r="K42" s="78"/>
      <c r="L42" s="79"/>
    </row>
    <row r="43" spans="2:14" ht="16.5" thickBot="1" x14ac:dyDescent="0.3">
      <c r="B43" s="47"/>
      <c r="C43" s="58" t="s">
        <v>98</v>
      </c>
      <c r="D43" s="59"/>
      <c r="E43" s="60"/>
      <c r="F43" s="60"/>
      <c r="G43" s="60"/>
      <c r="H43" s="60"/>
      <c r="I43" s="61"/>
      <c r="J43" s="90">
        <f>VLOOKUP($E$17,SCORE!$B$15:$BM$35,64,0)</f>
        <v>10</v>
      </c>
      <c r="K43" s="91"/>
      <c r="L43" s="92"/>
    </row>
    <row r="44" spans="2:14" ht="17.25" thickTop="1" thickBot="1" x14ac:dyDescent="0.3">
      <c r="B44" s="62"/>
      <c r="C44" s="63" t="s">
        <v>104</v>
      </c>
      <c r="D44" s="64" t="str">
        <f>IF(D42&gt;=80%,"A",IF(D42&gt;=70%,"B",IF(D42&gt;=60%,"C",IF(D42&gt;=50%,"D","F"))))</f>
        <v>F</v>
      </c>
      <c r="E44" s="65"/>
      <c r="F44" s="65"/>
      <c r="G44" s="65"/>
      <c r="H44" s="65"/>
      <c r="I44" s="66"/>
      <c r="J44" s="80" t="str">
        <f>IF(J42&gt;=80%,"A",IF(J42&gt;=70%,"B",IF(J42&gt;=60%,"C",IF(J42&gt;=50%,"D","F"))))</f>
        <v>B</v>
      </c>
      <c r="K44" s="81"/>
      <c r="L44" s="82"/>
    </row>
    <row r="45" spans="2:14" ht="16.5" thickTop="1" x14ac:dyDescent="0.25">
      <c r="B45" s="47"/>
      <c r="C45" s="31" t="s">
        <v>42</v>
      </c>
      <c r="D45" s="20"/>
      <c r="E45" s="18"/>
      <c r="F45" s="18"/>
      <c r="G45" s="18"/>
      <c r="H45" s="18"/>
      <c r="I45" s="21"/>
      <c r="J45" s="83"/>
      <c r="K45" s="84"/>
      <c r="L45" s="85"/>
    </row>
    <row r="46" spans="2:14" ht="15.75" x14ac:dyDescent="0.25">
      <c r="B46" s="47"/>
      <c r="C46" s="29" t="s">
        <v>43</v>
      </c>
      <c r="D46" s="36"/>
      <c r="E46" s="37"/>
      <c r="F46" s="37"/>
      <c r="G46" s="37"/>
      <c r="H46" s="37"/>
      <c r="I46" s="38"/>
      <c r="J46" s="86"/>
      <c r="K46" s="87"/>
      <c r="L46" s="88"/>
    </row>
    <row r="47" spans="2:14" ht="15.75" x14ac:dyDescent="0.25">
      <c r="B47" s="57"/>
      <c r="C47" s="71"/>
      <c r="D47" s="72"/>
      <c r="E47" s="72"/>
      <c r="F47" s="72"/>
      <c r="G47" s="72"/>
      <c r="H47" s="72"/>
      <c r="I47" s="72"/>
      <c r="J47" s="72"/>
      <c r="K47" s="72"/>
      <c r="L47" s="73"/>
    </row>
    <row r="48" spans="2:14" ht="15.75" x14ac:dyDescent="0.25">
      <c r="B48" s="57"/>
      <c r="C48" s="71"/>
      <c r="D48" s="72"/>
      <c r="E48" s="72"/>
      <c r="F48" s="72"/>
      <c r="G48" s="72"/>
      <c r="H48" s="72"/>
      <c r="I48" s="72"/>
      <c r="J48" s="72"/>
      <c r="K48" s="72"/>
      <c r="L48" s="73"/>
    </row>
    <row r="49" spans="2:12" ht="14.45" customHeight="1" x14ac:dyDescent="0.25">
      <c r="B49" s="93"/>
      <c r="C49" s="71"/>
      <c r="D49" s="72"/>
      <c r="E49" s="72"/>
      <c r="F49" s="72"/>
      <c r="G49" s="72"/>
      <c r="H49" s="72"/>
      <c r="I49" s="72"/>
      <c r="J49" s="72"/>
      <c r="K49" s="72"/>
      <c r="L49" s="73"/>
    </row>
    <row r="50" spans="2:12" ht="14.45" customHeight="1" x14ac:dyDescent="0.25">
      <c r="B50" s="93"/>
      <c r="C50" s="71"/>
      <c r="D50" s="72"/>
      <c r="E50" s="72"/>
      <c r="F50" s="72"/>
      <c r="G50" s="72"/>
      <c r="H50" s="72"/>
      <c r="I50" s="72"/>
      <c r="J50" s="72"/>
      <c r="K50" s="72"/>
      <c r="L50" s="73"/>
    </row>
    <row r="51" spans="2:12" ht="15.75" customHeight="1" thickBot="1" x14ac:dyDescent="0.3">
      <c r="B51" s="94"/>
      <c r="C51" s="74"/>
      <c r="D51" s="75"/>
      <c r="E51" s="75"/>
      <c r="F51" s="75"/>
      <c r="G51" s="75"/>
      <c r="H51" s="75"/>
      <c r="I51" s="75"/>
      <c r="J51" s="75"/>
      <c r="K51" s="75"/>
      <c r="L51" s="76"/>
    </row>
    <row r="52" spans="2:12" ht="15.75" thickTop="1" x14ac:dyDescent="0.25"/>
  </sheetData>
  <mergeCells count="14">
    <mergeCell ref="B49:B51"/>
    <mergeCell ref="D21:E22"/>
    <mergeCell ref="F21:I22"/>
    <mergeCell ref="C21:C22"/>
    <mergeCell ref="J21:L22"/>
    <mergeCell ref="C47:L51"/>
    <mergeCell ref="J42:L42"/>
    <mergeCell ref="J44:L44"/>
    <mergeCell ref="J45:L45"/>
    <mergeCell ref="J46:L46"/>
    <mergeCell ref="D24:F24"/>
    <mergeCell ref="G24:I24"/>
    <mergeCell ref="J24:L24"/>
    <mergeCell ref="J43:L43"/>
  </mergeCells>
  <pageMargins left="0.7" right="0.7" top="0.75" bottom="0.75" header="0.3" footer="0.3"/>
  <pageSetup scale="57" fitToWidth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SCORE!$B$18:$B$35</xm:f>
          </x14:formula1>
          <xm:sqref>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SCORE</vt:lpstr>
      <vt:lpstr>second</vt:lpstr>
      <vt:lpstr>report</vt:lpstr>
      <vt:lpstr>Sheet1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2024-04-04T12:49:10Z</cp:lastPrinted>
  <dcterms:created xsi:type="dcterms:W3CDTF">2023-12-25T13:05:00Z</dcterms:created>
  <dcterms:modified xsi:type="dcterms:W3CDTF">2024-04-05T21:09:46Z</dcterms:modified>
</cp:coreProperties>
</file>